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典型户型修正" sheetId="31" state="hidden"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商业）" sheetId="70" r:id="rId32"/>
    <sheet name="不动产收益法（办公）" sheetId="15" state="hidden" r:id="rId33"/>
    <sheet name="不动产比较法-办公" sheetId="34" r:id="rId34"/>
    <sheet name="酒店收入计算" sheetId="57" state="hidden" r:id="rId35"/>
    <sheet name="成本逼近法" sheetId="11" state="hidden" r:id="rId36"/>
    <sheet name="不动产比较法-商业" sheetId="33"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土地案例" sheetId="68" r:id="rId42"/>
    <sheet name="假开案例" sheetId="69" r:id="rId43"/>
  </sheets>
  <externalReferences>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0" i="39" l="1"/>
  <c r="E60" i="34" l="1"/>
  <c r="F60" i="34" s="1"/>
  <c r="G60" i="34" s="1"/>
  <c r="H60" i="34" s="1"/>
  <c r="I60" i="34" s="1"/>
  <c r="J60" i="34" s="1"/>
  <c r="K60" i="34" s="1"/>
  <c r="D60" i="34"/>
  <c r="E47" i="21" l="1"/>
  <c r="C15" i="66" l="1"/>
  <c r="B15" i="66"/>
  <c r="I48" i="34"/>
  <c r="G48" i="34"/>
  <c r="E48" i="34"/>
  <c r="Q73" i="70"/>
  <c r="Q60" i="70"/>
  <c r="D60" i="70"/>
  <c r="Q59" i="70"/>
  <c r="K59" i="70"/>
  <c r="P75" i="70" s="1"/>
  <c r="P62" i="70" l="1"/>
  <c r="Q52" i="70"/>
  <c r="J50" i="70"/>
  <c r="J51" i="70" s="1"/>
  <c r="M47" i="70"/>
  <c r="L46" i="70" l="1"/>
  <c r="F33" i="70"/>
  <c r="F60" i="70" s="1"/>
  <c r="F23" i="70"/>
  <c r="D24" i="70" s="1"/>
  <c r="D23" i="70" l="1"/>
  <c r="D22" i="70"/>
  <c r="F21" i="70"/>
  <c r="F20" i="70"/>
  <c r="M19" i="70"/>
  <c r="F18" i="70"/>
  <c r="F17" i="70" l="1"/>
  <c r="F15" i="70"/>
  <c r="D68" i="21"/>
  <c r="E68" i="21" s="1"/>
  <c r="F68" i="21" s="1"/>
  <c r="G68" i="21" s="1"/>
  <c r="H68" i="21" s="1"/>
  <c r="I68" i="21" s="1"/>
  <c r="D104" i="21"/>
  <c r="E104" i="21" s="1"/>
  <c r="F104" i="21" s="1"/>
  <c r="G104" i="21" s="1"/>
  <c r="H104" i="21" s="1"/>
  <c r="I104" i="21" s="1"/>
  <c r="D103" i="21"/>
  <c r="E103" i="21" s="1"/>
  <c r="F103" i="21" s="1"/>
  <c r="G103" i="21" s="1"/>
  <c r="H103" i="21" s="1"/>
  <c r="I103" i="21" s="1"/>
  <c r="I47" i="21"/>
  <c r="G47" i="21"/>
  <c r="D119" i="39"/>
  <c r="E119" i="39" s="1"/>
  <c r="F119" i="39" s="1"/>
  <c r="G119" i="39" s="1"/>
  <c r="H119" i="39" s="1"/>
  <c r="I119" i="39" s="1"/>
  <c r="J119" i="39" s="1"/>
  <c r="D73" i="39"/>
  <c r="E73" i="39" s="1"/>
  <c r="F73" i="39" s="1"/>
  <c r="G73" i="39" s="1"/>
  <c r="H73" i="39" s="1"/>
  <c r="I73" i="39" s="1"/>
  <c r="J73" i="39" s="1"/>
  <c r="K73" i="39" s="1"/>
  <c r="L73" i="39" s="1"/>
  <c r="M73" i="39" s="1"/>
  <c r="N73" i="39" s="1"/>
  <c r="D120" i="39"/>
  <c r="E120" i="39" s="1"/>
  <c r="F120" i="39" s="1"/>
  <c r="G120" i="39" s="1"/>
  <c r="H120" i="39" s="1"/>
  <c r="I120" i="39" s="1"/>
  <c r="J120" i="39" s="1"/>
  <c r="E48" i="39" l="1"/>
  <c r="E40" i="39"/>
  <c r="E9" i="39"/>
  <c r="E7" i="39"/>
  <c r="B25" i="31" l="1"/>
  <c r="I48" i="39"/>
  <c r="G48" i="39"/>
  <c r="I40" i="39"/>
  <c r="G40" i="39"/>
  <c r="D82" i="39" l="1"/>
  <c r="E82" i="39" s="1"/>
  <c r="F82" i="39" s="1"/>
  <c r="G82" i="39" s="1"/>
  <c r="H82" i="39" s="1"/>
  <c r="I82" i="39" s="1"/>
  <c r="J82" i="39" s="1"/>
  <c r="I9" i="39"/>
  <c r="G9" i="39"/>
  <c r="I7" i="39"/>
  <c r="G7" i="39"/>
  <c r="F21" i="6" l="1"/>
  <c r="F20" i="6"/>
  <c r="F19" i="6"/>
  <c r="AL13" i="3"/>
  <c r="L3" i="59" l="1"/>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Q74" i="44"/>
  <c r="Q61" i="44"/>
  <c r="Q60" i="44"/>
  <c r="Q53" i="44"/>
  <c r="J51" i="44"/>
  <c r="J52" i="44"/>
  <c r="M48" i="44"/>
  <c r="A16" i="55"/>
  <c r="B67" i="63" s="1"/>
  <c r="A15" i="55"/>
  <c r="B66" i="63" s="1"/>
  <c r="A14" i="55"/>
  <c r="A11" i="55"/>
  <c r="A10" i="55"/>
  <c r="A9" i="55"/>
  <c r="A8" i="55"/>
  <c r="B59" i="63" s="1"/>
  <c r="A6" i="54"/>
  <c r="B49" i="63" s="1"/>
  <c r="A8" i="54"/>
  <c r="B53" i="63" s="1"/>
  <c r="A7" i="54"/>
  <c r="A28" i="51"/>
  <c r="B21" i="63" s="1"/>
  <c r="A27" i="51"/>
  <c r="B20" i="63" s="1"/>
  <c r="D5" i="46"/>
  <c r="Q10" i="59"/>
  <c r="O10" i="59"/>
  <c r="N11" i="59"/>
  <c r="O11" i="59"/>
  <c r="P11" i="59"/>
  <c r="Q11" i="59"/>
  <c r="N10" i="59"/>
  <c r="P10" i="59"/>
  <c r="F12" i="59"/>
  <c r="V12" i="59" s="1"/>
  <c r="K75" i="9"/>
  <c r="K6" i="4"/>
  <c r="L76" i="9"/>
  <c r="E16" i="66"/>
  <c r="F16" i="66"/>
  <c r="E17" i="66"/>
  <c r="F17" i="66"/>
  <c r="E18" i="66"/>
  <c r="F18" i="66"/>
  <c r="E19" i="66"/>
  <c r="F19" i="66"/>
  <c r="E20" i="66"/>
  <c r="F20" i="66"/>
  <c r="E21" i="66"/>
  <c r="F21" i="66"/>
  <c r="E22" i="66"/>
  <c r="F22" i="66"/>
  <c r="E23" i="66"/>
  <c r="F23" i="66"/>
  <c r="B3" i="66"/>
  <c r="E8" i="59"/>
  <c r="E7" i="59" s="1"/>
  <c r="E6" i="59" s="1"/>
  <c r="E5" i="59" s="1"/>
  <c r="F11" i="59"/>
  <c r="F10" i="59" s="1"/>
  <c r="F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K40" i="9" s="1"/>
  <c r="A44" i="9"/>
  <c r="K39" i="9" s="1"/>
  <c r="C57" i="10"/>
  <c r="A28" i="64" s="1"/>
  <c r="C56" i="10"/>
  <c r="A26" i="51" s="1"/>
  <c r="B19" i="63" s="1"/>
  <c r="C55" i="10"/>
  <c r="C54" i="10"/>
  <c r="B44" i="63"/>
  <c r="B40" i="63"/>
  <c r="B30" i="63"/>
  <c r="B27" i="63"/>
  <c r="B25" i="63"/>
  <c r="A11" i="51"/>
  <c r="B10" i="63" s="1"/>
  <c r="B58" i="63"/>
  <c r="B51" i="63"/>
  <c r="A46" i="9"/>
  <c r="K41" i="9" s="1"/>
  <c r="B8" i="63"/>
  <c r="A21" i="55"/>
  <c r="B71" i="63" s="1"/>
  <c r="A20" i="55"/>
  <c r="B69" i="63" s="1"/>
  <c r="B26" i="63"/>
  <c r="B28" i="63"/>
  <c r="B29" i="63"/>
  <c r="B31" i="63"/>
  <c r="B33" i="63"/>
  <c r="B35" i="63"/>
  <c r="B36" i="63"/>
  <c r="B37" i="63"/>
  <c r="B63" i="63"/>
  <c r="B64" i="63"/>
  <c r="B68" i="63"/>
  <c r="D51" i="10"/>
  <c r="B61" i="63"/>
  <c r="B60" i="63"/>
  <c r="B51" i="10"/>
  <c r="A15" i="51"/>
  <c r="B12" i="63" s="1"/>
  <c r="A14" i="51"/>
  <c r="B11" i="63" s="1"/>
  <c r="A4" i="55"/>
  <c r="B57" i="63" s="1"/>
  <c r="B41" i="63"/>
  <c r="G5" i="54"/>
  <c r="B34" i="63"/>
  <c r="E5" i="54"/>
  <c r="B32" i="63" s="1"/>
  <c r="R2" i="54"/>
  <c r="B24" i="63" s="1"/>
  <c r="B49" i="50"/>
  <c r="B5" i="63" s="1"/>
  <c r="B40" i="50"/>
  <c r="B3" i="63" s="1"/>
  <c r="I19" i="46"/>
  <c r="Q12" i="59"/>
  <c r="P12" i="59"/>
  <c r="E12" i="59" s="1"/>
  <c r="E11" i="59" s="1"/>
  <c r="E10" i="59" s="1"/>
  <c r="O12" i="59"/>
  <c r="C12" i="59" s="1"/>
  <c r="N12" i="59"/>
  <c r="B12" i="59" s="1"/>
  <c r="D73" i="59"/>
  <c r="F72" i="59"/>
  <c r="F71" i="59" s="1"/>
  <c r="F70" i="59" s="1"/>
  <c r="E72" i="59"/>
  <c r="E71" i="59"/>
  <c r="E70" i="59" s="1"/>
  <c r="C72" i="59"/>
  <c r="D72" i="59" s="1"/>
  <c r="B72" i="59"/>
  <c r="B71" i="59" s="1"/>
  <c r="B70" i="59"/>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Q50" i="59" s="1"/>
  <c r="B51" i="59"/>
  <c r="D49" i="59"/>
  <c r="Q48" i="59"/>
  <c r="P48" i="59"/>
  <c r="O48" i="59"/>
  <c r="N48" i="59"/>
  <c r="Q47" i="59"/>
  <c r="P47" i="59"/>
  <c r="O47" i="59"/>
  <c r="N47" i="59"/>
  <c r="Q46" i="59"/>
  <c r="P46" i="59"/>
  <c r="O46" i="59"/>
  <c r="N46" i="59"/>
  <c r="Q45" i="59"/>
  <c r="F46" i="59"/>
  <c r="P45" i="59"/>
  <c r="E46" i="59"/>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P41" i="59"/>
  <c r="E42" i="59" s="1"/>
  <c r="E43" i="59" s="1"/>
  <c r="E44" i="59" s="1"/>
  <c r="U44" i="59" s="1"/>
  <c r="O41" i="59"/>
  <c r="C42" i="59"/>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O33" i="59"/>
  <c r="C34" i="59"/>
  <c r="N33" i="59"/>
  <c r="B34" i="59"/>
  <c r="D33" i="59"/>
  <c r="T32" i="59"/>
  <c r="Q32" i="59"/>
  <c r="P32" i="59"/>
  <c r="O32" i="59"/>
  <c r="N32" i="59"/>
  <c r="D32" i="59"/>
  <c r="Q31" i="59"/>
  <c r="P31" i="59"/>
  <c r="O31" i="59"/>
  <c r="N31" i="59"/>
  <c r="Q30" i="59"/>
  <c r="P30" i="59"/>
  <c r="O30" i="59"/>
  <c r="N30" i="59"/>
  <c r="Q29" i="59"/>
  <c r="F30" i="59" s="1"/>
  <c r="P29" i="59"/>
  <c r="E30" i="59" s="1"/>
  <c r="E31" i="59"/>
  <c r="E32" i="59" s="1"/>
  <c r="U32" i="59" s="1"/>
  <c r="O29" i="59"/>
  <c r="C30" i="59"/>
  <c r="N29" i="59"/>
  <c r="B30" i="59"/>
  <c r="B31" i="59" s="1"/>
  <c r="B32" i="59"/>
  <c r="S32" i="59" s="1"/>
  <c r="D29" i="59"/>
  <c r="Q28" i="59"/>
  <c r="P28" i="59"/>
  <c r="O28" i="59"/>
  <c r="N28" i="59"/>
  <c r="Q27" i="59"/>
  <c r="P27" i="59"/>
  <c r="O27" i="59"/>
  <c r="N27" i="59"/>
  <c r="Q26" i="59"/>
  <c r="P26" i="59"/>
  <c r="O26" i="59"/>
  <c r="N26" i="59"/>
  <c r="Q25" i="59"/>
  <c r="F26" i="59"/>
  <c r="P25" i="59"/>
  <c r="E26" i="59"/>
  <c r="E27" i="59" s="1"/>
  <c r="E28" i="59"/>
  <c r="U28" i="59" s="1"/>
  <c r="O25" i="59"/>
  <c r="C26" i="59" s="1"/>
  <c r="N25" i="59"/>
  <c r="B26" i="59" s="1"/>
  <c r="B27" i="59" s="1"/>
  <c r="B28" i="59" s="1"/>
  <c r="S28" i="59" s="1"/>
  <c r="D25" i="59"/>
  <c r="Q24" i="59"/>
  <c r="P24" i="59"/>
  <c r="O24" i="59"/>
  <c r="N24" i="59"/>
  <c r="Q23" i="59"/>
  <c r="AB23" i="59" s="1"/>
  <c r="P23" i="59"/>
  <c r="O23" i="59"/>
  <c r="Y23" i="59"/>
  <c r="Z23" i="59" s="1"/>
  <c r="N23" i="59"/>
  <c r="X23" i="59" s="1"/>
  <c r="Q22" i="59"/>
  <c r="P22" i="59"/>
  <c r="O22" i="59"/>
  <c r="Y22" i="59" s="1"/>
  <c r="N22" i="59"/>
  <c r="Q21" i="59"/>
  <c r="P21" i="59"/>
  <c r="O21" i="59"/>
  <c r="Y21" i="59" s="1"/>
  <c r="Z21" i="59" s="1"/>
  <c r="C22" i="59"/>
  <c r="N21" i="59"/>
  <c r="B22" i="59"/>
  <c r="B23" i="59" s="1"/>
  <c r="B24" i="59" s="1"/>
  <c r="S24"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AB17" i="59" s="1"/>
  <c r="P17" i="59"/>
  <c r="AA17" i="59" s="1"/>
  <c r="O17" i="59"/>
  <c r="C18" i="59"/>
  <c r="N17" i="59"/>
  <c r="B18" i="59"/>
  <c r="B19" i="59" s="1"/>
  <c r="B20" i="59" s="1"/>
  <c r="S20" i="59" s="1"/>
  <c r="D17" i="59"/>
  <c r="Q16" i="59"/>
  <c r="P16" i="59"/>
  <c r="AA16" i="59" s="1"/>
  <c r="O16" i="59"/>
  <c r="N16" i="59"/>
  <c r="X16" i="59" s="1"/>
  <c r="Q15" i="59"/>
  <c r="P15" i="59"/>
  <c r="AA15" i="59" s="1"/>
  <c r="O15" i="59"/>
  <c r="N15" i="59"/>
  <c r="X15" i="59" s="1"/>
  <c r="Q14" i="59"/>
  <c r="P14" i="59"/>
  <c r="AA14" i="59" s="1"/>
  <c r="O14" i="59"/>
  <c r="N14" i="59"/>
  <c r="X14" i="59" s="1"/>
  <c r="Q13" i="59"/>
  <c r="F14" i="59"/>
  <c r="P13" i="59"/>
  <c r="O13" i="59"/>
  <c r="C14" i="59" s="1"/>
  <c r="N13" i="59"/>
  <c r="X13" i="59" s="1"/>
  <c r="D13" i="59"/>
  <c r="X9" i="59"/>
  <c r="X11" i="59"/>
  <c r="AA3" i="59"/>
  <c r="AA10" i="59"/>
  <c r="AA12" i="59"/>
  <c r="AB12" i="59"/>
  <c r="AB3" i="59"/>
  <c r="AB9" i="59"/>
  <c r="AB10" i="59"/>
  <c r="AB11" i="59"/>
  <c r="E14" i="59"/>
  <c r="E15" i="59"/>
  <c r="E16" i="59" s="1"/>
  <c r="U16" i="59" s="1"/>
  <c r="B35" i="59"/>
  <c r="B36" i="59"/>
  <c r="S36" i="59" s="1"/>
  <c r="E35" i="59"/>
  <c r="E36" i="59" s="1"/>
  <c r="U36" i="59" s="1"/>
  <c r="S52" i="59"/>
  <c r="Z22" i="59"/>
  <c r="AA23" i="59"/>
  <c r="F15" i="59"/>
  <c r="F16" i="59" s="1"/>
  <c r="V16" i="59" s="1"/>
  <c r="F27" i="59"/>
  <c r="F28" i="59"/>
  <c r="V28" i="59" s="1"/>
  <c r="F31" i="59"/>
  <c r="F32" i="59" s="1"/>
  <c r="V32" i="59" s="1"/>
  <c r="F39" i="59"/>
  <c r="F40" i="59"/>
  <c r="V40" i="59" s="1"/>
  <c r="F43" i="59"/>
  <c r="F44" i="59" s="1"/>
  <c r="V44" i="59" s="1"/>
  <c r="F47" i="59"/>
  <c r="F48" i="59"/>
  <c r="V48" i="59" s="1"/>
  <c r="C23" i="59"/>
  <c r="D22" i="59"/>
  <c r="C27" i="59"/>
  <c r="D26" i="59"/>
  <c r="C31" i="59"/>
  <c r="D31" i="59" s="1"/>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s="1"/>
  <c r="D55" i="59"/>
  <c r="C54" i="59"/>
  <c r="D54" i="59"/>
  <c r="C50" i="59"/>
  <c r="O51" i="59"/>
  <c r="D51" i="59"/>
  <c r="D67" i="59"/>
  <c r="C66" i="59"/>
  <c r="D66" i="59"/>
  <c r="D59" i="59"/>
  <c r="C58" i="59"/>
  <c r="D58" i="59" s="1"/>
  <c r="N49" i="59"/>
  <c r="N50" i="59"/>
  <c r="C20" i="59"/>
  <c r="D19" i="59"/>
  <c r="C48" i="59"/>
  <c r="D47" i="59"/>
  <c r="D43" i="59"/>
  <c r="C44" i="59"/>
  <c r="C40" i="59"/>
  <c r="D40" i="59" s="1"/>
  <c r="D39" i="59"/>
  <c r="C36" i="59"/>
  <c r="D36" i="59" s="1"/>
  <c r="D35" i="59"/>
  <c r="C28" i="59"/>
  <c r="D28" i="59" s="1"/>
  <c r="D27" i="59"/>
  <c r="C24" i="59"/>
  <c r="D24" i="59" s="1"/>
  <c r="D23" i="59"/>
  <c r="T44" i="59"/>
  <c r="D44" i="59"/>
  <c r="T24" i="59"/>
  <c r="T28" i="59"/>
  <c r="T36" i="59"/>
  <c r="T40" i="59"/>
  <c r="T48" i="59"/>
  <c r="D48" i="59"/>
  <c r="T20" i="59"/>
  <c r="D20" i="59"/>
  <c r="O50" i="59"/>
  <c r="D50" i="59"/>
  <c r="O4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Z21" i="21"/>
  <c r="Q21" i="21"/>
  <c r="D83" i="21"/>
  <c r="E83" i="21" s="1"/>
  <c r="F83" i="21" s="1"/>
  <c r="G83" i="21" s="1"/>
  <c r="F21" i="21"/>
  <c r="S21" i="21" s="1"/>
  <c r="C21" i="21"/>
  <c r="Z27" i="40"/>
  <c r="Q27" i="40"/>
  <c r="D96" i="40"/>
  <c r="E96" i="40" s="1"/>
  <c r="F96" i="40" s="1"/>
  <c r="F27" i="40"/>
  <c r="AA27" i="40" s="1"/>
  <c r="Z31" i="39"/>
  <c r="Q31" i="39"/>
  <c r="D105" i="39"/>
  <c r="E105" i="39" s="1"/>
  <c r="F105" i="39" s="1"/>
  <c r="F31" i="39"/>
  <c r="AA31" i="39" s="1"/>
  <c r="G20" i="20"/>
  <c r="B85" i="46"/>
  <c r="C22" i="20"/>
  <c r="B65" i="46"/>
  <c r="S18" i="36"/>
  <c r="S18" i="35"/>
  <c r="S21" i="37"/>
  <c r="S27" i="40"/>
  <c r="C27" i="40"/>
  <c r="C31" i="39"/>
  <c r="B54" i="46"/>
  <c r="B74" i="46"/>
  <c r="E66" i="36"/>
  <c r="H18" i="35"/>
  <c r="J18" i="35"/>
  <c r="H21" i="37"/>
  <c r="J21" i="37"/>
  <c r="E84" i="34"/>
  <c r="F84" i="34"/>
  <c r="G84" i="34" s="1"/>
  <c r="J21" i="34"/>
  <c r="AC21" i="34" s="1"/>
  <c r="H21" i="34"/>
  <c r="AB21" i="34" s="1"/>
  <c r="F21" i="33"/>
  <c r="H21" i="33"/>
  <c r="J21" i="33"/>
  <c r="H21" i="21"/>
  <c r="U21" i="21" s="1"/>
  <c r="J21" i="21"/>
  <c r="W21" i="21" s="1"/>
  <c r="H27" i="40"/>
  <c r="H31" i="39"/>
  <c r="U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6"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G19" i="46" s="1"/>
  <c r="A12" i="1"/>
  <c r="R12" i="1" s="1"/>
  <c r="A13" i="1"/>
  <c r="B13" i="1" s="1"/>
  <c r="E13" i="1" s="1"/>
  <c r="A7" i="1"/>
  <c r="A8" i="1"/>
  <c r="A9" i="1"/>
  <c r="R9" i="1" s="1"/>
  <c r="A10" i="1"/>
  <c r="R10" i="1"/>
  <c r="A11" i="1"/>
  <c r="B11" i="1" s="1"/>
  <c r="E11" i="1" s="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R288" i="31"/>
  <c r="R289" i="31"/>
  <c r="S289" i="31" s="1"/>
  <c r="R290" i="31"/>
  <c r="S290" i="31" s="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R304" i="31"/>
  <c r="R305" i="31"/>
  <c r="S305" i="31" s="1"/>
  <c r="R306" i="31"/>
  <c r="S306" i="31" s="1"/>
  <c r="R307" i="31"/>
  <c r="S307" i="31" s="1"/>
  <c r="R308" i="31"/>
  <c r="R309" i="31"/>
  <c r="S309" i="31" s="1"/>
  <c r="R310" i="31"/>
  <c r="S310" i="31" s="1"/>
  <c r="R311" i="31"/>
  <c r="S311" i="31" s="1"/>
  <c r="R312" i="31"/>
  <c r="R313" i="31"/>
  <c r="S313" i="31" s="1"/>
  <c r="R314" i="31"/>
  <c r="S314" i="31" s="1"/>
  <c r="R315" i="31"/>
  <c r="R316" i="31"/>
  <c r="R317" i="31"/>
  <c r="S317" i="31" s="1"/>
  <c r="R318" i="31"/>
  <c r="S318" i="31" s="1"/>
  <c r="R319" i="31"/>
  <c r="S319" i="31" s="1"/>
  <c r="R320" i="3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c r="F23" i="4"/>
  <c r="D19" i="4"/>
  <c r="F6" i="1" s="1"/>
  <c r="I19" i="4"/>
  <c r="H19" i="4"/>
  <c r="G19" i="4"/>
  <c r="F9" i="1"/>
  <c r="G9" i="1" s="1"/>
  <c r="F19" i="4"/>
  <c r="F8" i="1"/>
  <c r="E19" i="4"/>
  <c r="F7" i="1" s="1"/>
  <c r="B2" i="52"/>
  <c r="E17" i="52" s="1"/>
  <c r="I2" i="46"/>
  <c r="H12" i="48" s="1"/>
  <c r="A7" i="46"/>
  <c r="F41" i="4"/>
  <c r="J52" i="40"/>
  <c r="H61" i="49"/>
  <c r="H39" i="46"/>
  <c r="H38" i="46"/>
  <c r="H37" i="46"/>
  <c r="H36" i="46"/>
  <c r="H35" i="46"/>
  <c r="H34" i="46"/>
  <c r="H33" i="46"/>
  <c r="G20" i="46"/>
  <c r="J20" i="46"/>
  <c r="C18" i="46"/>
  <c r="F15" i="46"/>
  <c r="E15" i="46"/>
  <c r="D15" i="46"/>
  <c r="C15" i="46"/>
  <c r="C10" i="46"/>
  <c r="C11" i="46" s="1"/>
  <c r="C9" i="46"/>
  <c r="E19" i="6"/>
  <c r="K6" i="1" s="1"/>
  <c r="M6" i="1" s="1"/>
  <c r="E20" i="6"/>
  <c r="E21" i="6"/>
  <c r="E9" i="12" s="1"/>
  <c r="E22" i="6"/>
  <c r="E23" i="6"/>
  <c r="E24" i="6"/>
  <c r="E25" i="6"/>
  <c r="E26" i="6"/>
  <c r="C35" i="4"/>
  <c r="E16" i="12"/>
  <c r="F14" i="12"/>
  <c r="F15" i="12"/>
  <c r="F17" i="12"/>
  <c r="E19" i="12"/>
  <c r="E21" i="12"/>
  <c r="E22" i="12"/>
  <c r="F23" i="12"/>
  <c r="F24" i="12"/>
  <c r="F25" i="12"/>
  <c r="C43" i="9"/>
  <c r="K47" i="9"/>
  <c r="B65" i="63"/>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389" i="31"/>
  <c r="S357" i="31"/>
  <c r="S325" i="31"/>
  <c r="S320" i="31"/>
  <c r="S316" i="31"/>
  <c r="S315" i="31"/>
  <c r="S312" i="31"/>
  <c r="S308" i="31"/>
  <c r="S304" i="31"/>
  <c r="S303" i="31"/>
  <c r="S300" i="31"/>
  <c r="S298" i="31"/>
  <c r="S296" i="31"/>
  <c r="S292" i="31"/>
  <c r="S288" i="31"/>
  <c r="S287" i="31"/>
  <c r="S284" i="31"/>
  <c r="S280" i="31"/>
  <c r="S276" i="31"/>
  <c r="S272" i="31"/>
  <c r="S268" i="31"/>
  <c r="S267" i="31"/>
  <c r="S264" i="31"/>
  <c r="S260" i="31"/>
  <c r="S256" i="31"/>
  <c r="S252" i="31"/>
  <c r="S248" i="31"/>
  <c r="S244" i="31"/>
  <c r="S240" i="31"/>
  <c r="S236" i="31"/>
  <c r="S234" i="31"/>
  <c r="S232" i="31"/>
  <c r="S228" i="31"/>
  <c r="S224" i="31"/>
  <c r="S219" i="31"/>
  <c r="S199" i="31"/>
  <c r="S173" i="31"/>
  <c r="S143" i="31"/>
  <c r="S123" i="31"/>
  <c r="S496" i="31"/>
  <c r="S483" i="31"/>
  <c r="S469" i="31"/>
  <c r="S431" i="31"/>
  <c r="S459" i="31"/>
  <c r="S61" i="31"/>
  <c r="S91" i="31"/>
  <c r="S99" i="31"/>
  <c r="B52" i="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AA38" i="34" s="1"/>
  <c r="D112" i="34"/>
  <c r="E112" i="34" s="1"/>
  <c r="F112" i="34" s="1"/>
  <c r="G112" i="34" s="1"/>
  <c r="F40" i="33"/>
  <c r="J41" i="33"/>
  <c r="AC41" i="33"/>
  <c r="D113" i="33"/>
  <c r="F37" i="33"/>
  <c r="AA37" i="33" s="1"/>
  <c r="D111" i="33"/>
  <c r="E111" i="33" s="1"/>
  <c r="F111" i="33" s="1"/>
  <c r="G111" i="33" s="1"/>
  <c r="H111" i="33" s="1"/>
  <c r="I111" i="33" s="1"/>
  <c r="J111" i="33" s="1"/>
  <c r="K111" i="33" s="1"/>
  <c r="L111" i="33" s="1"/>
  <c r="M111" i="33" s="1"/>
  <c r="S519" i="31"/>
  <c r="F41" i="21"/>
  <c r="AA41" i="21" s="1"/>
  <c r="J41" i="21"/>
  <c r="W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s="1"/>
  <c r="Q43" i="39"/>
  <c r="Q44" i="39"/>
  <c r="Z44" i="39"/>
  <c r="Q45" i="39"/>
  <c r="Z45" i="39" s="1"/>
  <c r="Q46" i="39"/>
  <c r="Z46" i="39" s="1"/>
  <c r="Q47" i="39"/>
  <c r="Z47" i="39"/>
  <c r="Q40" i="39"/>
  <c r="Z40" i="39"/>
  <c r="Q38" i="39"/>
  <c r="Z38" i="39" s="1"/>
  <c r="Q39" i="39"/>
  <c r="Z39" i="39" s="1"/>
  <c r="Z43" i="39"/>
  <c r="M118" i="39"/>
  <c r="L118" i="39"/>
  <c r="K118" i="39"/>
  <c r="J118" i="39"/>
  <c r="I118" i="39"/>
  <c r="H118" i="39"/>
  <c r="G118" i="39"/>
  <c r="F118" i="39"/>
  <c r="E118" i="39"/>
  <c r="D118" i="39"/>
  <c r="C118" i="39"/>
  <c r="B133" i="39"/>
  <c r="B131" i="39"/>
  <c r="B129" i="39"/>
  <c r="F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H33" i="39" s="1"/>
  <c r="D99" i="39"/>
  <c r="E99" i="39" s="1"/>
  <c r="F99" i="39" s="1"/>
  <c r="G99" i="39" s="1"/>
  <c r="D97" i="39"/>
  <c r="D95" i="39"/>
  <c r="E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c r="Q14" i="39"/>
  <c r="Z14" i="39"/>
  <c r="Q13" i="39"/>
  <c r="Z13" i="39"/>
  <c r="Q12" i="39"/>
  <c r="Z12" i="39"/>
  <c r="Q11" i="39"/>
  <c r="Z11" i="39"/>
  <c r="U10" i="39"/>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F47" i="34" s="1"/>
  <c r="B129" i="34"/>
  <c r="H46" i="34" s="1"/>
  <c r="B127" i="34"/>
  <c r="B99" i="34"/>
  <c r="B97" i="34"/>
  <c r="H31" i="34" s="1"/>
  <c r="B95" i="34"/>
  <c r="F30" i="34" s="1"/>
  <c r="B93" i="34"/>
  <c r="B75" i="34"/>
  <c r="B73" i="34"/>
  <c r="H13" i="34" s="1"/>
  <c r="B71" i="34"/>
  <c r="H12" i="34" s="1"/>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s="1"/>
  <c r="I67" i="34" s="1"/>
  <c r="H10" i="34"/>
  <c r="U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AB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s="1"/>
  <c r="Q44" i="34"/>
  <c r="Z44" i="34" s="1"/>
  <c r="H44" i="34"/>
  <c r="AB44" i="34" s="1"/>
  <c r="Q43" i="34"/>
  <c r="Z43" i="34"/>
  <c r="F43" i="34"/>
  <c r="AA43" i="34" s="1"/>
  <c r="Q42" i="34"/>
  <c r="Z42" i="34" s="1"/>
  <c r="Q41" i="34"/>
  <c r="Z41" i="34" s="1"/>
  <c r="Q40" i="34"/>
  <c r="Z40" i="34" s="1"/>
  <c r="F40" i="34"/>
  <c r="AA40" i="34" s="1"/>
  <c r="Q39" i="34"/>
  <c r="Z39" i="34"/>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c r="Q14" i="34"/>
  <c r="Z14" i="34" s="1"/>
  <c r="Q13" i="34"/>
  <c r="Z13" i="34" s="1"/>
  <c r="Q12" i="34"/>
  <c r="Z12" i="34" s="1"/>
  <c r="Q11" i="34"/>
  <c r="Z11" i="34" s="1"/>
  <c r="Q10" i="34"/>
  <c r="Z10" i="34" s="1"/>
  <c r="F10" i="34"/>
  <c r="S10" i="34" s="1"/>
  <c r="Q9" i="34"/>
  <c r="Z9" i="34"/>
  <c r="J8" i="34"/>
  <c r="AC8" i="34" s="1"/>
  <c r="H8" i="34"/>
  <c r="U8" i="34" s="1"/>
  <c r="F8" i="34"/>
  <c r="AA8"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J17" i="21" s="1"/>
  <c r="AC17" i="21" s="1"/>
  <c r="D85" i="21"/>
  <c r="E85" i="21"/>
  <c r="D81" i="21"/>
  <c r="E81" i="21"/>
  <c r="F81" i="21" s="1"/>
  <c r="G81" i="21" s="1"/>
  <c r="D77" i="21"/>
  <c r="E77" i="21" s="1"/>
  <c r="F77" i="21" s="1"/>
  <c r="G77" i="21" s="1"/>
  <c r="B130" i="21"/>
  <c r="J46" i="21" s="1"/>
  <c r="W46" i="21" s="1"/>
  <c r="B128" i="21"/>
  <c r="F45" i="21" s="1"/>
  <c r="B126" i="21"/>
  <c r="H44" i="21" s="1"/>
  <c r="B98" i="21"/>
  <c r="H31" i="21" s="1"/>
  <c r="B96" i="21"/>
  <c r="B94" i="21"/>
  <c r="J29" i="21" s="1"/>
  <c r="B92" i="21"/>
  <c r="H28" i="21" s="1"/>
  <c r="B90" i="21"/>
  <c r="J27" i="21" s="1"/>
  <c r="B74" i="21"/>
  <c r="F14" i="21" s="1"/>
  <c r="B72" i="21"/>
  <c r="B70" i="21"/>
  <c r="H12" i="21" s="1"/>
  <c r="F10" i="21"/>
  <c r="S10"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c r="Q32" i="21"/>
  <c r="Z32" i="21"/>
  <c r="Q33" i="21"/>
  <c r="Z33" i="21"/>
  <c r="Q34" i="21"/>
  <c r="Z34" i="21"/>
  <c r="Q35" i="21"/>
  <c r="Z35" i="21"/>
  <c r="Q36" i="21"/>
  <c r="Z36" i="21"/>
  <c r="Q37" i="21"/>
  <c r="Z37" i="21"/>
  <c r="J38" i="21"/>
  <c r="AC38" i="21" s="1"/>
  <c r="Q38" i="21"/>
  <c r="Z38" i="21" s="1"/>
  <c r="J39" i="21"/>
  <c r="W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AB34" i="21" s="1"/>
  <c r="F43" i="21"/>
  <c r="AA43" i="21" s="1"/>
  <c r="H38" i="21"/>
  <c r="U38" i="21" s="1"/>
  <c r="H43" i="21"/>
  <c r="U43" i="21" s="1"/>
  <c r="F32" i="21"/>
  <c r="S32" i="21" s="1"/>
  <c r="F38" i="21"/>
  <c r="S38" i="21" s="1"/>
  <c r="F36" i="21"/>
  <c r="S36" i="21" s="1"/>
  <c r="F39" i="21"/>
  <c r="S39" i="21" s="1"/>
  <c r="J8" i="21"/>
  <c r="AC8" i="21" s="1"/>
  <c r="J9" i="21"/>
  <c r="AC9" i="21" s="1"/>
  <c r="H8" i="21"/>
  <c r="H9" i="21"/>
  <c r="AB9" i="21"/>
  <c r="H10" i="21"/>
  <c r="U10" i="21" s="1"/>
  <c r="H39" i="21"/>
  <c r="AB39" i="21" s="1"/>
  <c r="J34" i="21"/>
  <c r="W34" i="21" s="1"/>
  <c r="H36" i="21"/>
  <c r="AB36" i="21" s="1"/>
  <c r="J10" i="21"/>
  <c r="W10" i="21" s="1"/>
  <c r="H26" i="21"/>
  <c r="U26" i="21" s="1"/>
  <c r="F19" i="21"/>
  <c r="S19" i="21" s="1"/>
  <c r="H19" i="21"/>
  <c r="AB19" i="21" s="1"/>
  <c r="J19" i="21"/>
  <c r="AC19" i="21" s="1"/>
  <c r="J26" i="21"/>
  <c r="W26" i="21" s="1"/>
  <c r="F26" i="21"/>
  <c r="AA26" i="21" s="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s="1"/>
  <c r="H39" i="33"/>
  <c r="AB39" i="33"/>
  <c r="F26" i="33"/>
  <c r="AA26" i="33"/>
  <c r="U33" i="33"/>
  <c r="W38" i="33"/>
  <c r="S40" i="33"/>
  <c r="S33" i="33"/>
  <c r="W33" i="33"/>
  <c r="U38" i="33"/>
  <c r="W8" i="21"/>
  <c r="H39" i="37"/>
  <c r="AB39" i="37"/>
  <c r="AB27" i="35"/>
  <c r="S10" i="40"/>
  <c r="W10" i="40"/>
  <c r="S11" i="40"/>
  <c r="U11" i="40"/>
  <c r="S36" i="40"/>
  <c r="U36" i="40"/>
  <c r="S36" i="39"/>
  <c r="C29" i="39"/>
  <c r="C23" i="39"/>
  <c r="S42" i="39"/>
  <c r="H32" i="33"/>
  <c r="AB32" i="33" s="1"/>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3" i="34" s="1"/>
  <c r="U42" i="34"/>
  <c r="E114" i="34"/>
  <c r="H36" i="34"/>
  <c r="U36" i="34" s="1"/>
  <c r="F33" i="34"/>
  <c r="S33" i="34" s="1"/>
  <c r="F19" i="34"/>
  <c r="S19" i="34" s="1"/>
  <c r="J10" i="34"/>
  <c r="AC10" i="34" s="1"/>
  <c r="J28" i="34"/>
  <c r="W28" i="34"/>
  <c r="S38" i="33"/>
  <c r="E113" i="33"/>
  <c r="F36" i="33"/>
  <c r="S36" i="33"/>
  <c r="F19" i="33"/>
  <c r="S19" i="33"/>
  <c r="J19" i="33"/>
  <c r="W40" i="33"/>
  <c r="AB30" i="36"/>
  <c r="AC34"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J37" i="33"/>
  <c r="W37" i="33"/>
  <c r="J42" i="21"/>
  <c r="W42" i="21" s="1"/>
  <c r="J44" i="34"/>
  <c r="AC44" i="34" s="1"/>
  <c r="F44" i="34"/>
  <c r="S44" i="34" s="1"/>
  <c r="J10" i="35"/>
  <c r="W10" i="35" s="1"/>
  <c r="AL5" i="3"/>
  <c r="BQ13" i="3"/>
  <c r="BL13" i="3"/>
  <c r="BL572" i="3"/>
  <c r="J14" i="21"/>
  <c r="AC14" i="21" s="1"/>
  <c r="F28" i="21"/>
  <c r="AA28" i="21" s="1"/>
  <c r="H30" i="21"/>
  <c r="U30" i="21" s="1"/>
  <c r="F30" i="21"/>
  <c r="S30" i="21" s="1"/>
  <c r="J30" i="21"/>
  <c r="AC30" i="21" s="1"/>
  <c r="J44" i="21"/>
  <c r="AC44" i="21" s="1"/>
  <c r="H46" i="21"/>
  <c r="AB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s="1"/>
  <c r="J13" i="21"/>
  <c r="AC13" i="21" s="1"/>
  <c r="F13" i="21"/>
  <c r="AA13" i="21"/>
  <c r="H27" i="21"/>
  <c r="AB27" i="21" s="1"/>
  <c r="F27" i="21"/>
  <c r="AA27" i="21" s="1"/>
  <c r="J31" i="21"/>
  <c r="AC31" i="21" s="1"/>
  <c r="F31" i="21"/>
  <c r="S31" i="21" s="1"/>
  <c r="J45" i="21"/>
  <c r="W45" i="21" s="1"/>
  <c r="H45" i="21"/>
  <c r="AB45" i="21" s="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AB36" i="37"/>
  <c r="J37" i="37"/>
  <c r="AC37" i="37"/>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J29" i="34"/>
  <c r="AC29" i="34" s="1"/>
  <c r="F29" i="34"/>
  <c r="S29" i="34"/>
  <c r="H29" i="34"/>
  <c r="U29" i="34" s="1"/>
  <c r="H45" i="34"/>
  <c r="U45" i="34" s="1"/>
  <c r="J45" i="34"/>
  <c r="AC45" i="34" s="1"/>
  <c r="F45" i="34"/>
  <c r="AA45" i="34" s="1"/>
  <c r="H47" i="34"/>
  <c r="U47" i="34" s="1"/>
  <c r="J47" i="34"/>
  <c r="AC47" i="34" s="1"/>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13" i="21"/>
  <c r="W30" i="21"/>
  <c r="S46" i="33"/>
  <c r="U36" i="37"/>
  <c r="AC13" i="36"/>
  <c r="AB31" i="33"/>
  <c r="AA27"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c r="BQ560" i="3"/>
  <c r="BL560" i="3" s="1"/>
  <c r="BQ558" i="3"/>
  <c r="BL558" i="3" s="1"/>
  <c r="BQ556" i="3"/>
  <c r="BL556" i="3" s="1"/>
  <c r="AZ556" i="3"/>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c r="AC506" i="3"/>
  <c r="G506" i="3"/>
  <c r="BQ506" i="3"/>
  <c r="G502" i="3"/>
  <c r="G498" i="3"/>
  <c r="BQ504" i="3"/>
  <c r="BQ502" i="3"/>
  <c r="BL502" i="3"/>
  <c r="AZ502" i="3" s="1"/>
  <c r="BQ500" i="3"/>
  <c r="BL500" i="3"/>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F42" i="33"/>
  <c r="AA42" i="33"/>
  <c r="H28" i="34"/>
  <c r="AB28" i="34" s="1"/>
  <c r="F22" i="36"/>
  <c r="S22" i="36" s="1"/>
  <c r="H35" i="34"/>
  <c r="AB35" i="34" s="1"/>
  <c r="F41" i="34"/>
  <c r="S41" i="34"/>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B8" i="34"/>
  <c r="AC37" i="33"/>
  <c r="AA13" i="33"/>
  <c r="AC45" i="33"/>
  <c r="F43" i="33"/>
  <c r="AA43" i="33" s="1"/>
  <c r="AA23" i="37"/>
  <c r="AB44" i="33"/>
  <c r="G107" i="37"/>
  <c r="H107" i="37"/>
  <c r="I107" i="37" s="1"/>
  <c r="J107" i="37" s="1"/>
  <c r="K107" i="37" s="1"/>
  <c r="L107" i="37" s="1"/>
  <c r="M107" i="37" s="1"/>
  <c r="AA9" i="2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AZ558" i="3"/>
  <c r="AZ540" i="3"/>
  <c r="AZ560" i="3"/>
  <c r="G483" i="3"/>
  <c r="G515" i="3"/>
  <c r="G507" i="3"/>
  <c r="G501" i="3"/>
  <c r="BA15" i="3"/>
  <c r="BL17" i="3"/>
  <c r="BL15" i="3"/>
  <c r="BT5" i="3"/>
  <c r="J57" i="39"/>
  <c r="H13" i="40"/>
  <c r="U13" i="40" s="1"/>
  <c r="I4" i="4"/>
  <c r="K141" i="21"/>
  <c r="K143" i="21"/>
  <c r="K144" i="2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5" i="46"/>
  <c r="C12" i="46"/>
  <c r="AB16" i="35"/>
  <c r="AA13" i="40"/>
  <c r="E78" i="40"/>
  <c r="F78" i="40"/>
  <c r="G78" i="40" s="1"/>
  <c r="H78" i="40" s="1"/>
  <c r="I78" i="40" s="1"/>
  <c r="J78" i="40" s="1"/>
  <c r="K78" i="40" s="1"/>
  <c r="L78" i="40" s="1"/>
  <c r="M78" i="40" s="1"/>
  <c r="BH5" i="3"/>
  <c r="R16" i="4"/>
  <c r="P16" i="4"/>
  <c r="D3" i="35"/>
  <c r="G4" i="4"/>
  <c r="J16" i="35"/>
  <c r="W16" i="35"/>
  <c r="AC26" i="36"/>
  <c r="W25" i="35"/>
  <c r="AZ354" i="3"/>
  <c r="AA36" i="35"/>
  <c r="H11" i="37"/>
  <c r="AB11" i="37"/>
  <c r="W37" i="37"/>
  <c r="AA30" i="33"/>
  <c r="AA36" i="37"/>
  <c r="S42" i="33"/>
  <c r="U32" i="33"/>
  <c r="AB17" i="37"/>
  <c r="AZ508" i="3"/>
  <c r="AZ516" i="3"/>
  <c r="AZ524" i="3"/>
  <c r="AZ532" i="3"/>
  <c r="AZ546" i="3"/>
  <c r="AC29" i="33"/>
  <c r="AA45" i="33"/>
  <c r="AC11" i="36"/>
  <c r="AC10" i="36"/>
  <c r="AB45" i="34"/>
  <c r="AC14" i="37"/>
  <c r="AB35" i="35"/>
  <c r="S25" i="35"/>
  <c r="W44" i="33"/>
  <c r="AC30" i="33"/>
  <c r="W30" i="33"/>
  <c r="AC29" i="37"/>
  <c r="W32" i="36"/>
  <c r="AC32" i="36"/>
  <c r="U28" i="33"/>
  <c r="AB28" i="33"/>
  <c r="J33" i="34"/>
  <c r="AC33" i="34" s="1"/>
  <c r="J40" i="34"/>
  <c r="AC40" i="34" s="1"/>
  <c r="F16" i="35"/>
  <c r="AA16" i="35"/>
  <c r="S24" i="36"/>
  <c r="W42" i="33"/>
  <c r="J35" i="34"/>
  <c r="W35" i="34" s="1"/>
  <c r="S30" i="36"/>
  <c r="H16" i="36"/>
  <c r="AB16" i="36"/>
  <c r="G103" i="37"/>
  <c r="H103" i="37"/>
  <c r="I103" i="37" s="1"/>
  <c r="J103" i="37" s="1"/>
  <c r="K103" i="37" s="1"/>
  <c r="L103" i="37" s="1"/>
  <c r="M103" i="37" s="1"/>
  <c r="H35" i="37"/>
  <c r="AB35" i="37" s="1"/>
  <c r="S26" i="21"/>
  <c r="H32" i="21"/>
  <c r="U32" i="21" s="1"/>
  <c r="AB26" i="21"/>
  <c r="W9" i="21"/>
  <c r="J32" i="21"/>
  <c r="AC32" i="21" s="1"/>
  <c r="G13" i="3"/>
  <c r="F17" i="21"/>
  <c r="AA17" i="21" s="1"/>
  <c r="H40" i="21"/>
  <c r="U40" i="21" s="1"/>
  <c r="AA8" i="33"/>
  <c r="S8" i="33"/>
  <c r="AC8" i="33"/>
  <c r="H66" i="33"/>
  <c r="F10" i="33"/>
  <c r="AA10" i="33" s="1"/>
  <c r="F11" i="33"/>
  <c r="S11" i="33" s="1"/>
  <c r="J15" i="33"/>
  <c r="W15" i="33" s="1"/>
  <c r="H19" i="33"/>
  <c r="AB19" i="33" s="1"/>
  <c r="F32" i="33"/>
  <c r="AA32" i="33" s="1"/>
  <c r="J32" i="33"/>
  <c r="AC32" i="33" s="1"/>
  <c r="F35" i="33"/>
  <c r="AA35" i="33" s="1"/>
  <c r="AC27" i="34"/>
  <c r="W27" i="34"/>
  <c r="S12" i="35"/>
  <c r="AB28" i="35"/>
  <c r="U28" i="35"/>
  <c r="J13" i="33"/>
  <c r="W13" i="33"/>
  <c r="H13" i="33"/>
  <c r="U13" i="33"/>
  <c r="H29" i="33"/>
  <c r="AB29" i="33"/>
  <c r="F29" i="33"/>
  <c r="AA29" i="33"/>
  <c r="J12" i="34"/>
  <c r="AC12" i="34" s="1"/>
  <c r="F12" i="34"/>
  <c r="S12" i="34" s="1"/>
  <c r="J14" i="34"/>
  <c r="W14" i="34"/>
  <c r="F14" i="34"/>
  <c r="AA14" i="34" s="1"/>
  <c r="H14" i="34"/>
  <c r="AB14" i="34" s="1"/>
  <c r="H30" i="34"/>
  <c r="U30" i="34" s="1"/>
  <c r="J30" i="34"/>
  <c r="AC30" i="34" s="1"/>
  <c r="H32" i="34"/>
  <c r="AB32" i="34" s="1"/>
  <c r="F32" i="34"/>
  <c r="S32" i="34" s="1"/>
  <c r="J32" i="34"/>
  <c r="W32" i="34" s="1"/>
  <c r="F46" i="34"/>
  <c r="AA46" i="34" s="1"/>
  <c r="H11" i="35"/>
  <c r="J11" i="35"/>
  <c r="AC11" i="35"/>
  <c r="F96" i="37"/>
  <c r="H32" i="37"/>
  <c r="AB32" i="37" s="1"/>
  <c r="F19" i="39"/>
  <c r="S19" i="39" s="1"/>
  <c r="H19" i="39"/>
  <c r="U19" i="39" s="1"/>
  <c r="J19" i="39"/>
  <c r="W19" i="39" s="1"/>
  <c r="F43" i="39"/>
  <c r="AA43" i="39" s="1"/>
  <c r="H43" i="39"/>
  <c r="U43" i="39" s="1"/>
  <c r="J43" i="39"/>
  <c r="AC43" i="39" s="1"/>
  <c r="F99" i="37"/>
  <c r="AC27" i="37"/>
  <c r="U25" i="35"/>
  <c r="S45" i="34"/>
  <c r="AC40" i="37"/>
  <c r="W40" i="37"/>
  <c r="W27" i="33"/>
  <c r="AC45" i="21"/>
  <c r="S28" i="33"/>
  <c r="AB29" i="35"/>
  <c r="U29" i="35"/>
  <c r="AC19" i="33"/>
  <c r="W19" i="33"/>
  <c r="AC34" i="37"/>
  <c r="S35" i="37"/>
  <c r="AA35" i="37"/>
  <c r="AB10" i="35"/>
  <c r="BL571" i="3"/>
  <c r="BA571" i="3"/>
  <c r="AZ571" i="3" s="1"/>
  <c r="BL570" i="3"/>
  <c r="AZ570" i="3" s="1"/>
  <c r="BE5" i="3"/>
  <c r="AB40" i="33"/>
  <c r="U40" i="33"/>
  <c r="E90" i="34"/>
  <c r="F90" i="34" s="1"/>
  <c r="G90" i="34" s="1"/>
  <c r="H90" i="34" s="1"/>
  <c r="I90" i="34" s="1"/>
  <c r="J90" i="34" s="1"/>
  <c r="K90" i="34" s="1"/>
  <c r="L90" i="34" s="1"/>
  <c r="M90" i="34" s="1"/>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J33" i="39"/>
  <c r="AC33" i="39" s="1"/>
  <c r="F44" i="39"/>
  <c r="S44" i="39" s="1"/>
  <c r="H44" i="39"/>
  <c r="U44" i="39" s="1"/>
  <c r="J44" i="39"/>
  <c r="W44" i="39" s="1"/>
  <c r="F46" i="39"/>
  <c r="S46" i="39" s="1"/>
  <c r="H46" i="39"/>
  <c r="U46" i="39" s="1"/>
  <c r="J46" i="39"/>
  <c r="W46" i="39" s="1"/>
  <c r="E103" i="39"/>
  <c r="F29" i="39" s="1"/>
  <c r="AA29" i="39" s="1"/>
  <c r="F34" i="39"/>
  <c r="AA34" i="39" s="1"/>
  <c r="H34" i="39"/>
  <c r="AB34" i="39" s="1"/>
  <c r="J34" i="39"/>
  <c r="AC34" i="39" s="1"/>
  <c r="F39" i="39"/>
  <c r="H39" i="39"/>
  <c r="AB39" i="39" s="1"/>
  <c r="J39" i="39"/>
  <c r="W39" i="39" s="1"/>
  <c r="J29" i="35"/>
  <c r="AC29" i="35"/>
  <c r="F29" i="35"/>
  <c r="S29" i="35"/>
  <c r="W30" i="36"/>
  <c r="AC30" i="36"/>
  <c r="F37" i="39"/>
  <c r="AA37" i="39" s="1"/>
  <c r="H37" i="39"/>
  <c r="U37" i="39" s="1"/>
  <c r="J37" i="39"/>
  <c r="AC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E5" i="6" s="1"/>
  <c r="D21" i="12" s="1"/>
  <c r="C21" i="12" s="1"/>
  <c r="BL19" i="3"/>
  <c r="AZ19" i="3"/>
  <c r="BA18" i="3"/>
  <c r="F36" i="44"/>
  <c r="F114" i="34"/>
  <c r="G114" i="34"/>
  <c r="H114" i="34" s="1"/>
  <c r="I114" i="34" s="1"/>
  <c r="J114" i="34" s="1"/>
  <c r="K114" i="34" s="1"/>
  <c r="L114" i="34" s="1"/>
  <c r="M114" i="34" s="1"/>
  <c r="H38" i="34"/>
  <c r="U38" i="34"/>
  <c r="H30" i="40"/>
  <c r="AB30" i="40"/>
  <c r="G100" i="40"/>
  <c r="J30" i="40"/>
  <c r="AC30" i="40" s="1"/>
  <c r="F38" i="40"/>
  <c r="AA38" i="40" s="1"/>
  <c r="U8" i="21"/>
  <c r="AB8" i="21"/>
  <c r="AB8" i="33"/>
  <c r="U8" i="33"/>
  <c r="E106" i="33"/>
  <c r="H34" i="33"/>
  <c r="U34" i="33"/>
  <c r="F34" i="33"/>
  <c r="S34" i="33"/>
  <c r="E121" i="33"/>
  <c r="F41" i="33"/>
  <c r="S41" i="33" s="1"/>
  <c r="AA39"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AB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F15" i="39"/>
  <c r="AA15" i="39" s="1"/>
  <c r="H15" i="39"/>
  <c r="U15" i="39" s="1"/>
  <c r="J15" i="39"/>
  <c r="AC15" i="39" s="1"/>
  <c r="H25" i="39"/>
  <c r="U25" i="39" s="1"/>
  <c r="J25" i="39"/>
  <c r="AC25" i="39" s="1"/>
  <c r="F25" i="39"/>
  <c r="AA25" i="39" s="1"/>
  <c r="H45" i="39"/>
  <c r="U45" i="39" s="1"/>
  <c r="F47" i="39"/>
  <c r="AA47" i="39" s="1"/>
  <c r="H47" i="39"/>
  <c r="AB47" i="39" s="1"/>
  <c r="J47" i="39"/>
  <c r="W47" i="39" s="1"/>
  <c r="F41" i="39"/>
  <c r="AA41" i="39" s="1"/>
  <c r="H41" i="39"/>
  <c r="U41" i="39" s="1"/>
  <c r="J41" i="39"/>
  <c r="AC41" i="39" s="1"/>
  <c r="E94" i="40"/>
  <c r="J25" i="40"/>
  <c r="AC25" i="40"/>
  <c r="J32" i="40"/>
  <c r="AC32" i="40" s="1"/>
  <c r="H32" i="40"/>
  <c r="U32" i="40" s="1"/>
  <c r="H33" i="40"/>
  <c r="AB33" i="40"/>
  <c r="F33" i="40"/>
  <c r="AA33" i="40"/>
  <c r="J33" i="40"/>
  <c r="AC33" i="40"/>
  <c r="H35" i="40"/>
  <c r="AB35" i="40"/>
  <c r="F35" i="40"/>
  <c r="AA35" i="40"/>
  <c r="J35" i="40"/>
  <c r="AC35" i="40"/>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N2" i="46"/>
  <c r="F58" i="46"/>
  <c r="H61" i="46" s="1"/>
  <c r="F47" i="46"/>
  <c r="H47"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AZ164" i="3"/>
  <c r="AZ167" i="3"/>
  <c r="AZ177" i="3"/>
  <c r="AZ180" i="3"/>
  <c r="AZ24" i="3"/>
  <c r="AZ32" i="3"/>
  <c r="AZ40" i="3"/>
  <c r="AZ48" i="3"/>
  <c r="AZ56" i="3"/>
  <c r="AZ63" i="3"/>
  <c r="AZ71" i="3"/>
  <c r="AZ79" i="3"/>
  <c r="AZ91" i="3"/>
  <c r="AZ99" i="3"/>
  <c r="AZ107" i="3"/>
  <c r="AZ112" i="3"/>
  <c r="J13" i="40"/>
  <c r="W13" i="40"/>
  <c r="W40" i="40"/>
  <c r="F27" i="43"/>
  <c r="F71" i="9"/>
  <c r="AC14" i="40"/>
  <c r="W35" i="40"/>
  <c r="S33" i="40"/>
  <c r="AC47" i="39"/>
  <c r="W41" i="40"/>
  <c r="J23" i="40"/>
  <c r="AC23" i="40" s="1"/>
  <c r="F23" i="40"/>
  <c r="S23" i="40"/>
  <c r="AC15" i="40"/>
  <c r="W15" i="40"/>
  <c r="AB23" i="35"/>
  <c r="H20" i="35"/>
  <c r="F20" i="35"/>
  <c r="S20" i="35"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AB33" i="36"/>
  <c r="AA11" i="36"/>
  <c r="AA14" i="35"/>
  <c r="S14" i="35"/>
  <c r="G99" i="37"/>
  <c r="F33" i="37"/>
  <c r="W12" i="34"/>
  <c r="U29" i="33"/>
  <c r="AC13" i="33"/>
  <c r="W32" i="33"/>
  <c r="H15" i="33"/>
  <c r="U15" i="33" s="1"/>
  <c r="AA11" i="33"/>
  <c r="W34" i="40"/>
  <c r="AB42" i="40"/>
  <c r="U42" i="40"/>
  <c r="AC16" i="40"/>
  <c r="W32" i="40"/>
  <c r="H25" i="40"/>
  <c r="AB25" i="40" s="1"/>
  <c r="F94" i="40"/>
  <c r="G94" i="40" s="1"/>
  <c r="U47" i="39"/>
  <c r="J36" i="33"/>
  <c r="W36" i="33"/>
  <c r="AB23" i="40"/>
  <c r="H23" i="39"/>
  <c r="AB23" i="39" s="1"/>
  <c r="J23" i="39"/>
  <c r="AC23" i="39" s="1"/>
  <c r="F97" i="39"/>
  <c r="G97" i="39" s="1"/>
  <c r="AA41" i="33"/>
  <c r="AA34" i="33"/>
  <c r="F106" i="33"/>
  <c r="G106" i="33" s="1"/>
  <c r="H106" i="33" s="1"/>
  <c r="I106" i="33" s="1"/>
  <c r="J106" i="33" s="1"/>
  <c r="K106" i="33" s="1"/>
  <c r="L106" i="33" s="1"/>
  <c r="M106" i="33" s="1"/>
  <c r="J34" i="33"/>
  <c r="AC34" i="33" s="1"/>
  <c r="U30" i="40"/>
  <c r="W29" i="35"/>
  <c r="AC39" i="39"/>
  <c r="AA39" i="39"/>
  <c r="S39" i="39"/>
  <c r="U11" i="36"/>
  <c r="F80" i="35"/>
  <c r="G80" i="35"/>
  <c r="H80" i="35" s="1"/>
  <c r="I80" i="35" s="1"/>
  <c r="J80" i="35" s="1"/>
  <c r="K80" i="35" s="1"/>
  <c r="L80" i="35" s="1"/>
  <c r="M80" i="35" s="1"/>
  <c r="W14" i="35"/>
  <c r="F27" i="34"/>
  <c r="S27" i="34" s="1"/>
  <c r="S43" i="39"/>
  <c r="G96" i="37"/>
  <c r="H96" i="37"/>
  <c r="I96" i="37" s="1"/>
  <c r="J96" i="37" s="1"/>
  <c r="K96" i="37" s="1"/>
  <c r="L96" i="37" s="1"/>
  <c r="M96" i="37" s="1"/>
  <c r="F32" i="37"/>
  <c r="S32" i="37" s="1"/>
  <c r="U11" i="35"/>
  <c r="AB11" i="35"/>
  <c r="S46" i="34"/>
  <c r="U32" i="34"/>
  <c r="U14" i="34"/>
  <c r="AC14" i="34"/>
  <c r="AB13" i="33"/>
  <c r="J35" i="33"/>
  <c r="W35" i="33"/>
  <c r="S32" i="33"/>
  <c r="AC15" i="33"/>
  <c r="H11" i="33"/>
  <c r="U11" i="33"/>
  <c r="H10" i="33"/>
  <c r="U10" i="33"/>
  <c r="I66" i="33"/>
  <c r="J10" i="33"/>
  <c r="AC10" i="33" s="1"/>
  <c r="U11" i="37"/>
  <c r="AC16" i="35"/>
  <c r="AC13" i="40"/>
  <c r="AC36" i="33"/>
  <c r="F25" i="40"/>
  <c r="AA25" i="40" s="1"/>
  <c r="J11" i="33"/>
  <c r="W11" i="33" s="1"/>
  <c r="H33" i="37"/>
  <c r="AB33" i="37" s="1"/>
  <c r="U20" i="35"/>
  <c r="AB20" i="35"/>
  <c r="W23" i="40"/>
  <c r="D73" i="9"/>
  <c r="N73" i="9" s="1"/>
  <c r="K11" i="1"/>
  <c r="M11" i="1" s="1"/>
  <c r="B9" i="1"/>
  <c r="E9" i="1" s="1"/>
  <c r="K9" i="1"/>
  <c r="M9" i="1" s="1"/>
  <c r="K7" i="1"/>
  <c r="M7" i="1" s="1"/>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AB33" i="34"/>
  <c r="AC32" i="34"/>
  <c r="U44" i="34"/>
  <c r="J25" i="34"/>
  <c r="W25" i="34" s="1"/>
  <c r="H25" i="34"/>
  <c r="AB25" i="34" s="1"/>
  <c r="F25" i="34"/>
  <c r="S25" i="34" s="1"/>
  <c r="J23" i="34"/>
  <c r="W23" i="34" s="1"/>
  <c r="F23" i="34"/>
  <c r="S23" i="34" s="1"/>
  <c r="H23" i="34"/>
  <c r="AB23" i="34" s="1"/>
  <c r="AB41" i="34"/>
  <c r="AA41"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7" i="33" s="1"/>
  <c r="AC11" i="33"/>
  <c r="S10" i="33"/>
  <c r="S14" i="33"/>
  <c r="AC21" i="33"/>
  <c r="W21" i="33"/>
  <c r="W14" i="33"/>
  <c r="AB10" i="33"/>
  <c r="U25" i="33"/>
  <c r="AB21" i="33"/>
  <c r="U21" i="33"/>
  <c r="AA21" i="33"/>
  <c r="S21" i="33"/>
  <c r="AA44" i="33"/>
  <c r="AA36" i="33"/>
  <c r="AC26" i="21"/>
  <c r="F85" i="21"/>
  <c r="G85" i="21" s="1"/>
  <c r="J23" i="21"/>
  <c r="W23" i="21" s="1"/>
  <c r="F23" i="21"/>
  <c r="S23" i="21" s="1"/>
  <c r="H23" i="21"/>
  <c r="U23" i="21" s="1"/>
  <c r="AB21" i="21"/>
  <c r="AA30" i="21"/>
  <c r="AA31" i="21"/>
  <c r="W33" i="40"/>
  <c r="U33" i="40"/>
  <c r="S35" i="40"/>
  <c r="U15" i="40"/>
  <c r="S14" i="40"/>
  <c r="S15" i="40"/>
  <c r="AB13" i="40"/>
  <c r="S16" i="40"/>
  <c r="W11" i="40"/>
  <c r="AA21" i="40"/>
  <c r="U21" i="40"/>
  <c r="W25" i="40"/>
  <c r="W42" i="40"/>
  <c r="U3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S11" i="39"/>
  <c r="AB45" i="39"/>
  <c r="U11" i="39"/>
  <c r="D96" i="9"/>
  <c r="M18" i="15"/>
  <c r="A18" i="64"/>
  <c r="B74" i="63" s="1"/>
  <c r="C53" i="10"/>
  <c r="A25" i="64" s="1"/>
  <c r="A18" i="51"/>
  <c r="B14" i="63" s="1"/>
  <c r="BA16" i="3"/>
  <c r="AZ16" i="3" s="1"/>
  <c r="BA17" i="3"/>
  <c r="AZ17" i="3"/>
  <c r="G1" i="44"/>
  <c r="AZ15" i="3"/>
  <c r="BK5" i="3"/>
  <c r="BO5" i="3"/>
  <c r="BP5" i="3"/>
  <c r="BN5" i="3"/>
  <c r="BL18" i="3"/>
  <c r="AZ18" i="3"/>
  <c r="BR5" i="3"/>
  <c r="G28" i="6" s="1"/>
  <c r="BS5" i="3"/>
  <c r="F28" i="6" s="1"/>
  <c r="BQ5" i="3"/>
  <c r="BL16" i="3"/>
  <c r="BL5" i="3" s="1"/>
  <c r="BM5" i="3"/>
  <c r="BA13" i="3"/>
  <c r="G28" i="12"/>
  <c r="G22" i="43"/>
  <c r="G26" i="12"/>
  <c r="D24" i="44"/>
  <c r="G27" i="12"/>
  <c r="G23" i="43"/>
  <c r="G21" i="43"/>
  <c r="N8" i="46"/>
  <c r="F69" i="46"/>
  <c r="H76" i="46" s="1"/>
  <c r="C6" i="46"/>
  <c r="F36" i="46"/>
  <c r="H13" i="48"/>
  <c r="D71" i="46"/>
  <c r="D84" i="46"/>
  <c r="E80" i="46"/>
  <c r="B78" i="46" s="1"/>
  <c r="D69" i="46"/>
  <c r="E69" i="46" s="1"/>
  <c r="B67" i="46" s="1"/>
  <c r="E47" i="46"/>
  <c r="E58" i="46"/>
  <c r="A4" i="64"/>
  <c r="A4" i="51"/>
  <c r="B6" i="63" s="1"/>
  <c r="C51" i="10"/>
  <c r="H62" i="46"/>
  <c r="I100" i="46"/>
  <c r="B56" i="46"/>
  <c r="C24" i="46"/>
  <c r="N100" i="46"/>
  <c r="H100" i="46"/>
  <c r="F108" i="46"/>
  <c r="H80" i="46"/>
  <c r="B45" i="46"/>
  <c r="E100" i="46"/>
  <c r="G100" i="46"/>
  <c r="H84" i="46"/>
  <c r="H66" i="46"/>
  <c r="C100" i="46"/>
  <c r="J100" i="46"/>
  <c r="M100" i="46"/>
  <c r="AA12" i="36"/>
  <c r="U12" i="35"/>
  <c r="AB12" i="35"/>
  <c r="W11" i="35"/>
  <c r="AA11" i="35"/>
  <c r="S14" i="37"/>
  <c r="U13" i="37"/>
  <c r="S13" i="21"/>
  <c r="C24" i="9"/>
  <c r="C25" i="9"/>
  <c r="AP8" i="1"/>
  <c r="I20" i="46"/>
  <c r="L5" i="54"/>
  <c r="B39" i="63" s="1"/>
  <c r="K5" i="54"/>
  <c r="B38" i="63" s="1"/>
  <c r="T41" i="4"/>
  <c r="A17" i="64" s="1"/>
  <c r="B46" i="50"/>
  <c r="B4" i="63" s="1"/>
  <c r="H82" i="46"/>
  <c r="H59" i="46"/>
  <c r="H64" i="46"/>
  <c r="H60" i="46"/>
  <c r="H87" i="46"/>
  <c r="H83" i="46"/>
  <c r="K10" i="1"/>
  <c r="M10" i="1" s="1"/>
  <c r="S11" i="1"/>
  <c r="R11" i="1"/>
  <c r="S13" i="1"/>
  <c r="R13" i="1"/>
  <c r="B10" i="1"/>
  <c r="E10" i="1" s="1"/>
  <c r="S10" i="1"/>
  <c r="B8" i="1"/>
  <c r="E8" i="1" s="1"/>
  <c r="B12" i="1"/>
  <c r="E12" i="1" s="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W47" i="34"/>
  <c r="AB29" i="34"/>
  <c r="AA29" i="34"/>
  <c r="S8" i="34"/>
  <c r="AA19" i="33"/>
  <c r="AC25" i="33"/>
  <c r="S43" i="33"/>
  <c r="AB42" i="33"/>
  <c r="AB14" i="33"/>
  <c r="S26" i="33"/>
  <c r="AB12" i="33"/>
  <c r="S15" i="33"/>
  <c r="AB25" i="21"/>
  <c r="W25" i="21"/>
  <c r="U27" i="21"/>
  <c r="W31" i="21"/>
  <c r="G96" i="40"/>
  <c r="J27" i="40"/>
  <c r="AC27" i="40" s="1"/>
  <c r="W37" i="40"/>
  <c r="S17" i="40"/>
  <c r="W30" i="40"/>
  <c r="S34" i="40"/>
  <c r="U17" i="40"/>
  <c r="U38" i="40"/>
  <c r="S40" i="40"/>
  <c r="S42" i="40"/>
  <c r="G105" i="39"/>
  <c r="J31" i="39"/>
  <c r="AC31" i="39" s="1"/>
  <c r="W41" i="39"/>
  <c r="AC46" i="39"/>
  <c r="W42" i="39"/>
  <c r="W36" i="39"/>
  <c r="AA46"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A25" i="34"/>
  <c r="AA23" i="34"/>
  <c r="AA25" i="33"/>
  <c r="S25" i="33"/>
  <c r="U23" i="33"/>
  <c r="AB23" i="33"/>
  <c r="W23" i="33"/>
  <c r="AC23" i="33"/>
  <c r="S23" i="33"/>
  <c r="AA23" i="33"/>
  <c r="W17" i="33"/>
  <c r="AA17" i="33"/>
  <c r="S17" i="33"/>
  <c r="U17" i="33"/>
  <c r="AB17" i="33"/>
  <c r="AA23" i="21"/>
  <c r="AB39" i="40"/>
  <c r="U39" i="40"/>
  <c r="W39" i="40"/>
  <c r="AA39" i="40"/>
  <c r="S39" i="40"/>
  <c r="U37" i="40"/>
  <c r="AB37" i="40"/>
  <c r="S37" i="40"/>
  <c r="U29" i="40"/>
  <c r="AB29" i="40"/>
  <c r="W29" i="40"/>
  <c r="S29" i="40"/>
  <c r="AC19" i="40"/>
  <c r="S19" i="40"/>
  <c r="AB19" i="40"/>
  <c r="U19" i="40"/>
  <c r="AT6" i="3"/>
  <c r="AZ13" i="3"/>
  <c r="G29" i="6"/>
  <c r="E29" i="6" s="1"/>
  <c r="K15" i="1" s="1"/>
  <c r="H72" i="46"/>
  <c r="A9" i="64"/>
  <c r="A9" i="51"/>
  <c r="B9" i="63" s="1"/>
  <c r="E4" i="4"/>
  <c r="B21" i="55" s="1"/>
  <c r="B72" i="63" s="1"/>
  <c r="C4" i="4"/>
  <c r="B20" i="55" s="1"/>
  <c r="B70" i="63" s="1"/>
  <c r="G66" i="36"/>
  <c r="J18" i="36"/>
  <c r="AE6" i="1"/>
  <c r="W18" i="36"/>
  <c r="AC18" i="36"/>
  <c r="AG6" i="1"/>
  <c r="L20" i="6"/>
  <c r="S9" i="1"/>
  <c r="C45" i="9"/>
  <c r="H14" i="66" s="1"/>
  <c r="B7" i="66" s="1"/>
  <c r="C44" i="9"/>
  <c r="G14" i="66" s="1"/>
  <c r="B6" i="66" s="1"/>
  <c r="K29" i="9"/>
  <c r="K30" i="9" s="1"/>
  <c r="N76" i="9"/>
  <c r="C46" i="9"/>
  <c r="K33" i="9" s="1"/>
  <c r="O41" i="9"/>
  <c r="R8" i="54" s="1"/>
  <c r="B54" i="63" s="1"/>
  <c r="I14" i="66"/>
  <c r="B8" i="66" s="1"/>
  <c r="L49" i="44"/>
  <c r="F9" i="67"/>
  <c r="F11" i="44"/>
  <c r="M28" i="44"/>
  <c r="E8" i="67"/>
  <c r="J17" i="44"/>
  <c r="M26" i="44"/>
  <c r="C19" i="44"/>
  <c r="E9" i="67"/>
  <c r="M25" i="44"/>
  <c r="F14" i="67"/>
  <c r="M24" i="44"/>
  <c r="B13" i="67"/>
  <c r="F8" i="44"/>
  <c r="E13" i="67"/>
  <c r="F37" i="44"/>
  <c r="M23" i="44"/>
  <c r="B14" i="67"/>
  <c r="F9" i="44"/>
  <c r="F11" i="67"/>
  <c r="E10" i="67"/>
  <c r="F45" i="44"/>
  <c r="F39" i="44"/>
  <c r="L48" i="44"/>
  <c r="F28" i="44"/>
  <c r="B12" i="67"/>
  <c r="F40" i="44"/>
  <c r="B8" i="67"/>
  <c r="B10" i="67"/>
  <c r="F38" i="44"/>
  <c r="M8" i="44"/>
  <c r="M30" i="44"/>
  <c r="E11" i="67"/>
  <c r="F10" i="67"/>
  <c r="F8" i="67"/>
  <c r="M31" i="44"/>
  <c r="F13" i="67"/>
  <c r="F18" i="44"/>
  <c r="F10" i="44"/>
  <c r="M29" i="44"/>
  <c r="F43" i="44"/>
  <c r="B11" i="67"/>
  <c r="E14" i="67"/>
  <c r="M10" i="44"/>
  <c r="F46" i="44"/>
  <c r="F15" i="44"/>
  <c r="F12" i="67"/>
  <c r="B9" i="67"/>
  <c r="M11" i="44"/>
  <c r="E12" i="67"/>
  <c r="W27" i="40" l="1"/>
  <c r="AZ520" i="3"/>
  <c r="AZ544" i="3"/>
  <c r="AZ562" i="3"/>
  <c r="AA31" i="33"/>
  <c r="S31" i="33"/>
  <c r="U45" i="33"/>
  <c r="AB45" i="33"/>
  <c r="AZ389" i="3"/>
  <c r="K34" i="9"/>
  <c r="A3" i="55"/>
  <c r="B56" i="63" s="1"/>
  <c r="A17" i="51"/>
  <c r="B13" i="63" s="1"/>
  <c r="H69" i="46"/>
  <c r="U25" i="40"/>
  <c r="W10" i="33"/>
  <c r="AB15" i="33"/>
  <c r="AB41" i="33"/>
  <c r="AA27" i="34"/>
  <c r="AA32" i="37"/>
  <c r="AA20" i="35"/>
  <c r="AB46" i="39"/>
  <c r="S41" i="40"/>
  <c r="AB34" i="40"/>
  <c r="U16" i="40"/>
  <c r="U39" i="39"/>
  <c r="AB37" i="39"/>
  <c r="U41" i="40"/>
  <c r="AB14" i="40"/>
  <c r="F34" i="44"/>
  <c r="F28" i="70"/>
  <c r="F32" i="70"/>
  <c r="F59" i="70" s="1"/>
  <c r="M18" i="70"/>
  <c r="AB15" i="37"/>
  <c r="U12" i="37"/>
  <c r="S10" i="35"/>
  <c r="S39" i="33"/>
  <c r="AC41" i="34"/>
  <c r="AZ492" i="3"/>
  <c r="AZ493" i="3"/>
  <c r="W9" i="34"/>
  <c r="AC9" i="34"/>
  <c r="AZ393" i="3"/>
  <c r="BI5" i="3"/>
  <c r="F34" i="15"/>
  <c r="F61" i="15" s="1"/>
  <c r="F34" i="70"/>
  <c r="F61" i="70" s="1"/>
  <c r="M20" i="70"/>
  <c r="D3" i="34"/>
  <c r="BA14" i="3"/>
  <c r="AZ404" i="3"/>
  <c r="AZ406" i="3"/>
  <c r="AZ412" i="3"/>
  <c r="AZ416" i="3"/>
  <c r="AZ419" i="3"/>
  <c r="AZ421" i="3"/>
  <c r="AZ425" i="3"/>
  <c r="AZ440" i="3"/>
  <c r="AZ445" i="3"/>
  <c r="AZ460" i="3"/>
  <c r="AZ472" i="3"/>
  <c r="AZ476" i="3"/>
  <c r="AZ368" i="3"/>
  <c r="AZ384" i="3"/>
  <c r="AZ386" i="3"/>
  <c r="AZ206" i="3"/>
  <c r="AZ218" i="3"/>
  <c r="AZ222" i="3"/>
  <c r="AZ234" i="3"/>
  <c r="AZ238" i="3"/>
  <c r="AZ250" i="3"/>
  <c r="AZ254" i="3"/>
  <c r="AZ266" i="3"/>
  <c r="H5" i="3"/>
  <c r="F9" i="33"/>
  <c r="H9" i="33"/>
  <c r="F9" i="34"/>
  <c r="H9" i="34"/>
  <c r="BD5" i="3"/>
  <c r="AZ275" i="3"/>
  <c r="AZ279" i="3"/>
  <c r="AZ291" i="3"/>
  <c r="AZ294" i="3"/>
  <c r="AZ113" i="3"/>
  <c r="AZ116" i="3"/>
  <c r="AZ129" i="3"/>
  <c r="AZ132" i="3"/>
  <c r="AZ145" i="3"/>
  <c r="AZ148" i="3"/>
  <c r="AZ194" i="3"/>
  <c r="AZ22" i="3"/>
  <c r="AZ33" i="3"/>
  <c r="AZ38" i="3"/>
  <c r="AZ50" i="3"/>
  <c r="AZ53" i="3"/>
  <c r="AZ60" i="3"/>
  <c r="AZ72" i="3"/>
  <c r="AZ77" i="3"/>
  <c r="AZ92" i="3"/>
  <c r="AZ97" i="3"/>
  <c r="AZ108" i="3"/>
  <c r="C15" i="59"/>
  <c r="D14" i="59"/>
  <c r="I21" i="57"/>
  <c r="D1" i="57"/>
  <c r="E10" i="57" s="1"/>
  <c r="K1" i="12"/>
  <c r="D100" i="46"/>
  <c r="S31" i="39"/>
  <c r="Y3" i="59"/>
  <c r="Z3" i="59" s="1"/>
  <c r="Y12" i="59"/>
  <c r="Z12" i="59" s="1"/>
  <c r="Y11" i="59"/>
  <c r="Z11" i="59" s="1"/>
  <c r="Y10" i="59"/>
  <c r="Z10" i="59" s="1"/>
  <c r="Y9" i="59"/>
  <c r="Z9" i="59" s="1"/>
  <c r="AA11" i="59"/>
  <c r="AA9" i="59"/>
  <c r="X12" i="59"/>
  <c r="X10" i="59"/>
  <c r="X3" i="59"/>
  <c r="B14" i="59"/>
  <c r="B15" i="59" s="1"/>
  <c r="B16" i="59" s="1"/>
  <c r="S16" i="59" s="1"/>
  <c r="AA13" i="59"/>
  <c r="AB13" i="59"/>
  <c r="AB7" i="59"/>
  <c r="AB8" i="59"/>
  <c r="Y14" i="59"/>
  <c r="Z14" i="59" s="1"/>
  <c r="AB14" i="59"/>
  <c r="Y15" i="59"/>
  <c r="Z15" i="59" s="1"/>
  <c r="AB15" i="59"/>
  <c r="Y16" i="59"/>
  <c r="Z16" i="59" s="1"/>
  <c r="AB16" i="59"/>
  <c r="X17" i="59"/>
  <c r="Y17" i="59"/>
  <c r="Z17" i="59" s="1"/>
  <c r="E18" i="59"/>
  <c r="E19" i="59" s="1"/>
  <c r="E20" i="59" s="1"/>
  <c r="U20" i="59" s="1"/>
  <c r="F18" i="59"/>
  <c r="F19" i="59" s="1"/>
  <c r="F20" i="59" s="1"/>
  <c r="V20" i="59" s="1"/>
  <c r="X18" i="59"/>
  <c r="AA18" i="59"/>
  <c r="X19" i="59"/>
  <c r="AA19" i="59"/>
  <c r="X20" i="59"/>
  <c r="AA20" i="59"/>
  <c r="AB21" i="59"/>
  <c r="F22" i="59"/>
  <c r="F23" i="59" s="1"/>
  <c r="F24" i="59" s="1"/>
  <c r="V24" i="59" s="1"/>
  <c r="AB22" i="59"/>
  <c r="Y13" i="59"/>
  <c r="Z13" i="59" s="1"/>
  <c r="Y7" i="59"/>
  <c r="Z7" i="59" s="1"/>
  <c r="Y8" i="59"/>
  <c r="Z8" i="59" s="1"/>
  <c r="AA21" i="59"/>
  <c r="E22" i="59"/>
  <c r="E23" i="59" s="1"/>
  <c r="E24" i="59" s="1"/>
  <c r="U24" i="59" s="1"/>
  <c r="B11" i="59"/>
  <c r="B10" i="59" s="1"/>
  <c r="S12" i="59"/>
  <c r="X21" i="59"/>
  <c r="X22" i="59"/>
  <c r="AA22" i="59"/>
  <c r="Q49" i="59"/>
  <c r="T12" i="59"/>
  <c r="C11" i="59"/>
  <c r="V8" i="59"/>
  <c r="F7" i="59"/>
  <c r="F6" i="59" s="1"/>
  <c r="F5" i="59" s="1"/>
  <c r="U12" i="59"/>
  <c r="D12" i="59"/>
  <c r="AA8" i="59"/>
  <c r="AA7" i="59"/>
  <c r="X6" i="59"/>
  <c r="AA5" i="59"/>
  <c r="X5" i="59"/>
  <c r="Y5" i="59"/>
  <c r="Z5" i="59" s="1"/>
  <c r="AB5" i="59"/>
  <c r="AI10" i="46"/>
  <c r="AI12" i="46"/>
  <c r="AE10" i="46"/>
  <c r="AE12" i="46"/>
  <c r="AA10" i="46"/>
  <c r="AA12" i="46"/>
  <c r="N1" i="65"/>
  <c r="H1" i="65"/>
  <c r="T8" i="59"/>
  <c r="C7" i="59"/>
  <c r="U8" i="59"/>
  <c r="O76" i="9"/>
  <c r="K76" i="9"/>
  <c r="K77" i="9" s="1"/>
  <c r="K79" i="9" s="1"/>
  <c r="K81" i="9" s="1"/>
  <c r="X7" i="59"/>
  <c r="X8" i="59"/>
  <c r="B8" i="59"/>
  <c r="Y6" i="59"/>
  <c r="Z6" i="59" s="1"/>
  <c r="AA6" i="59"/>
  <c r="AB6" i="59"/>
  <c r="H71" i="46"/>
  <c r="I17" i="46"/>
  <c r="F34" i="46"/>
  <c r="H15" i="48"/>
  <c r="M4" i="46"/>
  <c r="N4" i="46"/>
  <c r="AB32" i="40"/>
  <c r="O40" i="9"/>
  <c r="R7" i="54" s="1"/>
  <c r="B52" i="63" s="1"/>
  <c r="H77" i="46"/>
  <c r="H75" i="46"/>
  <c r="E17" i="46"/>
  <c r="C17" i="46"/>
  <c r="H5" i="48"/>
  <c r="M12" i="46"/>
  <c r="M2" i="46"/>
  <c r="N3" i="46"/>
  <c r="E28" i="6"/>
  <c r="G1" i="15"/>
  <c r="H16" i="48"/>
  <c r="H113" i="46"/>
  <c r="C9" i="39"/>
  <c r="C70" i="39" s="1"/>
  <c r="D70" i="39" s="1"/>
  <c r="D38" i="4"/>
  <c r="C39" i="4" s="1"/>
  <c r="G1" i="70"/>
  <c r="N69" i="9"/>
  <c r="M87" i="9" s="1"/>
  <c r="N87" i="9" s="1"/>
  <c r="A25" i="51"/>
  <c r="B18" i="63" s="1"/>
  <c r="H70" i="46"/>
  <c r="B6" i="1"/>
  <c r="E6" i="1" s="1"/>
  <c r="H10" i="48"/>
  <c r="H63" i="46"/>
  <c r="H73" i="46"/>
  <c r="H58" i="46"/>
  <c r="F39" i="46"/>
  <c r="F38" i="46"/>
  <c r="M5" i="46"/>
  <c r="N11" i="46"/>
  <c r="H55" i="46"/>
  <c r="H52" i="46"/>
  <c r="F3" i="35"/>
  <c r="B7" i="1"/>
  <c r="E7" i="1" s="1"/>
  <c r="N6" i="46"/>
  <c r="M10" i="46"/>
  <c r="H17" i="46"/>
  <c r="C7" i="34"/>
  <c r="C59" i="34" s="1"/>
  <c r="D59" i="34" s="1"/>
  <c r="E59" i="34" s="1"/>
  <c r="G17" i="46"/>
  <c r="N4" i="63"/>
  <c r="H74" i="46"/>
  <c r="F37" i="46"/>
  <c r="C9" i="12"/>
  <c r="G8" i="1"/>
  <c r="K13" i="1"/>
  <c r="M13" i="1" s="1"/>
  <c r="C18" i="9"/>
  <c r="D18" i="9" s="1"/>
  <c r="M44" i="9" s="1"/>
  <c r="H35" i="21"/>
  <c r="U35" i="21" s="1"/>
  <c r="F35" i="21"/>
  <c r="AA35" i="21" s="1"/>
  <c r="J40" i="21"/>
  <c r="W40" i="21" s="1"/>
  <c r="F40" i="21"/>
  <c r="S40" i="21" s="1"/>
  <c r="S43" i="34"/>
  <c r="W44" i="34"/>
  <c r="AA44" i="34"/>
  <c r="W43" i="34"/>
  <c r="AB43" i="34"/>
  <c r="AB39" i="34"/>
  <c r="W39" i="34"/>
  <c r="S40" i="34"/>
  <c r="U40" i="34"/>
  <c r="W40" i="34"/>
  <c r="J37" i="34"/>
  <c r="H112" i="34"/>
  <c r="I112" i="34" s="1"/>
  <c r="J112" i="34" s="1"/>
  <c r="K112" i="34" s="1"/>
  <c r="L112" i="34" s="1"/>
  <c r="M112" i="34" s="1"/>
  <c r="F37" i="34"/>
  <c r="H37" i="34"/>
  <c r="U37" i="34" s="1"/>
  <c r="S38" i="34"/>
  <c r="U35" i="34"/>
  <c r="AA35" i="34"/>
  <c r="AC35" i="34"/>
  <c r="S34" i="34"/>
  <c r="W33" i="34"/>
  <c r="AA36" i="34"/>
  <c r="AB36" i="34"/>
  <c r="AA33" i="34"/>
  <c r="AB31" i="34"/>
  <c r="U31" i="34"/>
  <c r="AA30" i="34"/>
  <c r="S30" i="34"/>
  <c r="AC25" i="34"/>
  <c r="AA32" i="34"/>
  <c r="W30" i="34"/>
  <c r="AB30" i="34"/>
  <c r="S28" i="34"/>
  <c r="U27" i="34"/>
  <c r="F31" i="34"/>
  <c r="J31" i="34"/>
  <c r="W29" i="34"/>
  <c r="U28" i="34"/>
  <c r="AC23" i="34"/>
  <c r="U23" i="34"/>
  <c r="S21" i="34"/>
  <c r="W21" i="34"/>
  <c r="U21" i="34"/>
  <c r="W19" i="34"/>
  <c r="U19" i="34"/>
  <c r="AA19" i="34"/>
  <c r="H17" i="34"/>
  <c r="AB17" i="34" s="1"/>
  <c r="F17" i="34"/>
  <c r="J17" i="34"/>
  <c r="W17" i="34" s="1"/>
  <c r="F80" i="34"/>
  <c r="G80" i="34" s="1"/>
  <c r="F15" i="34"/>
  <c r="AA15" i="34" s="1"/>
  <c r="H15" i="34"/>
  <c r="AB15" i="34" s="1"/>
  <c r="J15" i="34"/>
  <c r="AC15" i="34" s="1"/>
  <c r="F78" i="34"/>
  <c r="G78" i="34" s="1"/>
  <c r="AA10" i="34"/>
  <c r="W10" i="34"/>
  <c r="AB10" i="34"/>
  <c r="AB13" i="34"/>
  <c r="U13" i="34"/>
  <c r="U12" i="34"/>
  <c r="AB12" i="34"/>
  <c r="J13" i="34"/>
  <c r="AA12" i="34"/>
  <c r="S14" i="34"/>
  <c r="F13" i="34"/>
  <c r="AC17" i="34"/>
  <c r="W15" i="34"/>
  <c r="AA47" i="34"/>
  <c r="S47" i="34"/>
  <c r="AB46" i="34"/>
  <c r="U46" i="34"/>
  <c r="W45" i="34"/>
  <c r="AB47" i="34"/>
  <c r="J46" i="34"/>
  <c r="AB37" i="34"/>
  <c r="W34" i="34"/>
  <c r="U34" i="34"/>
  <c r="W8" i="34"/>
  <c r="F44" i="21"/>
  <c r="AA44" i="21" s="1"/>
  <c r="J43" i="21"/>
  <c r="AC43" i="21" s="1"/>
  <c r="AC39" i="21"/>
  <c r="S46" i="21"/>
  <c r="U46" i="21"/>
  <c r="U36" i="21"/>
  <c r="J35" i="21"/>
  <c r="AC35" i="21" s="1"/>
  <c r="AA36" i="21"/>
  <c r="AA45" i="21"/>
  <c r="S45" i="21"/>
  <c r="AB44" i="21"/>
  <c r="U44" i="21"/>
  <c r="U45" i="21"/>
  <c r="AC46" i="21"/>
  <c r="W44" i="21"/>
  <c r="U39" i="21"/>
  <c r="AB43" i="21"/>
  <c r="S43" i="21"/>
  <c r="AB40" i="21"/>
  <c r="W38" i="21"/>
  <c r="F37" i="21"/>
  <c r="S37" i="21" s="1"/>
  <c r="J37" i="21"/>
  <c r="H37" i="21"/>
  <c r="U37" i="21" s="1"/>
  <c r="H113" i="21"/>
  <c r="S34" i="21"/>
  <c r="AC34" i="21"/>
  <c r="W35" i="21"/>
  <c r="AB35" i="21"/>
  <c r="U34" i="21"/>
  <c r="AB32" i="21"/>
  <c r="W32" i="21"/>
  <c r="AA32" i="21"/>
  <c r="AB23" i="21"/>
  <c r="AC23" i="21"/>
  <c r="H17" i="21"/>
  <c r="AB17" i="21" s="1"/>
  <c r="E79" i="21"/>
  <c r="F79" i="21" s="1"/>
  <c r="G79" i="21" s="1"/>
  <c r="H15" i="21"/>
  <c r="AB15" i="21" s="1"/>
  <c r="F15" i="21"/>
  <c r="AA15" i="21" s="1"/>
  <c r="J15" i="21"/>
  <c r="AC15" i="21" s="1"/>
  <c r="AC21" i="21"/>
  <c r="AA21" i="21"/>
  <c r="U19" i="21"/>
  <c r="AA19" i="21"/>
  <c r="W19" i="21"/>
  <c r="W17" i="21"/>
  <c r="S17" i="21"/>
  <c r="U17" i="21"/>
  <c r="U15" i="21"/>
  <c r="W25" i="39"/>
  <c r="W27" i="21"/>
  <c r="AC27" i="21"/>
  <c r="U28" i="21"/>
  <c r="AB28" i="21"/>
  <c r="AB31" i="21"/>
  <c r="U31" i="21"/>
  <c r="W29" i="21"/>
  <c r="AC29" i="21"/>
  <c r="AA25" i="21"/>
  <c r="AB30" i="21"/>
  <c r="H29" i="21"/>
  <c r="S27" i="21"/>
  <c r="S28" i="21"/>
  <c r="J28" i="21"/>
  <c r="F29" i="21"/>
  <c r="W13" i="21"/>
  <c r="G69" i="21"/>
  <c r="H69" i="21" s="1"/>
  <c r="I69" i="21" s="1"/>
  <c r="J69" i="21" s="1"/>
  <c r="K69" i="21" s="1"/>
  <c r="L69" i="21" s="1"/>
  <c r="M69" i="21" s="1"/>
  <c r="G123" i="21"/>
  <c r="H123" i="21" s="1"/>
  <c r="I123" i="21" s="1"/>
  <c r="J123" i="21" s="1"/>
  <c r="K123" i="21" s="1"/>
  <c r="L123" i="21" s="1"/>
  <c r="M123" i="21" s="1"/>
  <c r="F42" i="21"/>
  <c r="AA42" i="21" s="1"/>
  <c r="U42" i="21"/>
  <c r="AC10" i="21"/>
  <c r="AB10" i="21"/>
  <c r="AA10" i="21"/>
  <c r="S8" i="21"/>
  <c r="AC42" i="21"/>
  <c r="AB41" i="21"/>
  <c r="S41" i="21"/>
  <c r="AC41" i="21"/>
  <c r="AC36" i="21"/>
  <c r="AA38" i="21"/>
  <c r="AB38" i="21"/>
  <c r="AA39" i="21"/>
  <c r="U40" i="39"/>
  <c r="W40" i="39"/>
  <c r="S40" i="39"/>
  <c r="AA14" i="21"/>
  <c r="S14" i="21"/>
  <c r="H14" i="21"/>
  <c r="AB12" i="21"/>
  <c r="U12" i="21"/>
  <c r="W14" i="21"/>
  <c r="F12" i="21"/>
  <c r="J12" i="21"/>
  <c r="U33" i="39"/>
  <c r="AB33" i="39"/>
  <c r="W33" i="39"/>
  <c r="F33" i="39"/>
  <c r="S34" i="39"/>
  <c r="U34" i="39"/>
  <c r="W34" i="39"/>
  <c r="W38" i="39"/>
  <c r="AC38" i="39"/>
  <c r="H38" i="39"/>
  <c r="W37" i="39"/>
  <c r="S37" i="39"/>
  <c r="F38" i="39"/>
  <c r="U36" i="39"/>
  <c r="AA45" i="39"/>
  <c r="S45" i="39"/>
  <c r="S47" i="39"/>
  <c r="J45" i="39"/>
  <c r="S41" i="39"/>
  <c r="AA44" i="39"/>
  <c r="W43" i="39"/>
  <c r="AC44" i="39"/>
  <c r="AB44" i="39"/>
  <c r="AB43" i="39"/>
  <c r="AB41" i="39"/>
  <c r="AB31" i="39"/>
  <c r="W31" i="39"/>
  <c r="F103" i="39"/>
  <c r="G103" i="39" s="1"/>
  <c r="J29" i="39"/>
  <c r="AC29" i="39" s="1"/>
  <c r="H29" i="39"/>
  <c r="U29" i="39" s="1"/>
  <c r="S25" i="39"/>
  <c r="AB25" i="39"/>
  <c r="H21" i="39"/>
  <c r="AB21" i="39" s="1"/>
  <c r="F21" i="39"/>
  <c r="S21" i="39" s="1"/>
  <c r="F95" i="39"/>
  <c r="G95" i="39" s="1"/>
  <c r="J21" i="39"/>
  <c r="W21" i="39" s="1"/>
  <c r="W16" i="39"/>
  <c r="S16" i="39"/>
  <c r="U16" i="39"/>
  <c r="I4" i="6"/>
  <c r="AC5" i="3"/>
  <c r="G5" i="3"/>
  <c r="B3" i="3" s="1"/>
  <c r="J6" i="3" s="1"/>
  <c r="AZ14" i="3"/>
  <c r="AZ5" i="3" s="1"/>
  <c r="E3" i="6" s="1"/>
  <c r="BA5" i="3"/>
  <c r="E481" i="3"/>
  <c r="E356" i="3"/>
  <c r="E326" i="3"/>
  <c r="E484" i="3"/>
  <c r="E382" i="3"/>
  <c r="E301" i="3"/>
  <c r="E240" i="3"/>
  <c r="E137" i="3"/>
  <c r="E71" i="3"/>
  <c r="E244" i="3"/>
  <c r="E488" i="3"/>
  <c r="E406" i="3"/>
  <c r="E227" i="3"/>
  <c r="E504" i="3"/>
  <c r="E516" i="3"/>
  <c r="E510" i="3"/>
  <c r="E572" i="3"/>
  <c r="E368" i="3"/>
  <c r="E522" i="3"/>
  <c r="AL6" i="3"/>
  <c r="E342" i="3"/>
  <c r="E351" i="3"/>
  <c r="E364" i="3"/>
  <c r="E163" i="3"/>
  <c r="E378" i="3"/>
  <c r="E226" i="3"/>
  <c r="E118" i="3"/>
  <c r="E169" i="3"/>
  <c r="E106" i="3"/>
  <c r="E339" i="3"/>
  <c r="E210" i="3"/>
  <c r="E153" i="3"/>
  <c r="E90" i="3"/>
  <c r="E432" i="3"/>
  <c r="E307" i="3"/>
  <c r="E260" i="3"/>
  <c r="E177" i="3"/>
  <c r="E436" i="3"/>
  <c r="E217" i="3"/>
  <c r="E173" i="3"/>
  <c r="E403"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469" i="3"/>
  <c r="E405" i="3"/>
  <c r="E412" i="3"/>
  <c r="E53" i="3"/>
  <c r="E27" i="3"/>
  <c r="E313" i="3"/>
  <c r="E148" i="3"/>
  <c r="E151" i="3"/>
  <c r="E185" i="3"/>
  <c r="E38" i="3"/>
  <c r="E109" i="3"/>
  <c r="E70" i="3"/>
  <c r="E468" i="3"/>
  <c r="E431" i="3"/>
  <c r="E410" i="3"/>
  <c r="AP6" i="3"/>
  <c r="E142" i="3"/>
  <c r="E84" i="3"/>
  <c r="E343" i="3"/>
  <c r="E143" i="3"/>
  <c r="E230" i="3"/>
  <c r="E389" i="3"/>
  <c r="E62" i="3"/>
  <c r="E200" i="3"/>
  <c r="E103" i="3"/>
  <c r="E327" i="3"/>
  <c r="E299" i="3"/>
  <c r="AD6" i="3"/>
  <c r="AA6" i="3"/>
  <c r="E534" i="3"/>
  <c r="E296" i="3"/>
  <c r="E158" i="3"/>
  <c r="E390" i="3"/>
  <c r="E337" i="3"/>
  <c r="E78" i="3"/>
  <c r="AM6" i="3"/>
  <c r="E194" i="3"/>
  <c r="E265" i="3"/>
  <c r="E443" i="3"/>
  <c r="E250" i="3"/>
  <c r="E411" i="3"/>
  <c r="BC5" i="3"/>
  <c r="E8" i="6" s="1"/>
  <c r="E13" i="3"/>
  <c r="E557" i="3"/>
  <c r="E523" i="3"/>
  <c r="E541" i="3"/>
  <c r="E544" i="3"/>
  <c r="E346" i="3"/>
  <c r="E252" i="3"/>
  <c r="E155" i="3"/>
  <c r="E519"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569" i="3"/>
  <c r="E353" i="3"/>
  <c r="E456" i="3"/>
  <c r="K6" i="3"/>
  <c r="E319" i="3"/>
  <c r="E525"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455" i="3"/>
  <c r="AE6" i="3"/>
  <c r="E438" i="3"/>
  <c r="E97" i="3"/>
  <c r="E48" i="3"/>
  <c r="E500" i="3"/>
  <c r="E119" i="3"/>
  <c r="E178" i="3"/>
  <c r="Q6" i="3"/>
  <c r="E75" i="3"/>
  <c r="E33" i="3"/>
  <c r="E60" i="3"/>
  <c r="E447" i="3"/>
  <c r="E426" i="3"/>
  <c r="E547" i="3"/>
  <c r="E292" i="3"/>
  <c r="E32" i="3"/>
  <c r="E463" i="3"/>
  <c r="E274" i="3"/>
  <c r="E101" i="3"/>
  <c r="E262" i="3"/>
  <c r="E99" i="3"/>
  <c r="E164" i="3"/>
  <c r="E82" i="3"/>
  <c r="E424" i="3"/>
  <c r="E263" i="3"/>
  <c r="E311" i="3"/>
  <c r="E186" i="3"/>
  <c r="E492" i="3"/>
  <c r="E202" i="3"/>
  <c r="E44" i="3"/>
  <c r="E414" i="3"/>
  <c r="E238" i="3"/>
  <c r="E92" i="3"/>
  <c r="E408" i="3"/>
  <c r="E418" i="3"/>
  <c r="E471" i="3"/>
  <c r="E41" i="3"/>
  <c r="E535" i="3"/>
  <c r="E283" i="3"/>
  <c r="E297" i="3"/>
  <c r="P24" i="46"/>
  <c r="B68" i="40" s="1"/>
  <c r="P22" i="46"/>
  <c r="P21" i="46"/>
  <c r="O19" i="46"/>
  <c r="P25" i="46"/>
  <c r="B73" i="39" s="1"/>
  <c r="P23" i="46"/>
  <c r="E10" i="46"/>
  <c r="E9" i="46"/>
  <c r="E8" i="46"/>
  <c r="E11" i="46"/>
  <c r="G30" i="6"/>
  <c r="G31" i="6" s="1"/>
  <c r="H51" i="46"/>
  <c r="H53" i="46"/>
  <c r="H49" i="46"/>
  <c r="E32" i="6"/>
  <c r="N12" i="46"/>
  <c r="G11" i="1"/>
  <c r="H81" i="46"/>
  <c r="O39" i="9"/>
  <c r="R6" i="54" s="1"/>
  <c r="B50" i="63" s="1"/>
  <c r="M83" i="9"/>
  <c r="N83" i="9" s="1"/>
  <c r="N89" i="9" s="1"/>
  <c r="O89" i="9" s="1"/>
  <c r="L19" i="6"/>
  <c r="L27" i="6" s="1"/>
  <c r="C20" i="46"/>
  <c r="H65" i="46"/>
  <c r="H11" i="48"/>
  <c r="J17" i="46"/>
  <c r="C16" i="46" s="1"/>
  <c r="C5" i="46" s="1"/>
  <c r="H14" i="48"/>
  <c r="H6" i="48"/>
  <c r="M8" i="46"/>
  <c r="N9" i="46"/>
  <c r="N1" i="46"/>
  <c r="H54" i="46"/>
  <c r="D26" i="44"/>
  <c r="K1" i="43"/>
  <c r="N10" i="46"/>
  <c r="M7" i="46"/>
  <c r="N7" i="46"/>
  <c r="N5" i="46"/>
  <c r="M1" i="46"/>
  <c r="H9" i="48"/>
  <c r="F33" i="46"/>
  <c r="C7" i="21"/>
  <c r="C58" i="21" s="1"/>
  <c r="C7" i="35"/>
  <c r="C48" i="35" s="1"/>
  <c r="D48" i="35" s="1"/>
  <c r="C7" i="36"/>
  <c r="C46" i="36" s="1"/>
  <c r="D46" i="36" s="1"/>
  <c r="E46" i="36" s="1"/>
  <c r="F46" i="36" s="1"/>
  <c r="G46" i="36" s="1"/>
  <c r="H46" i="36" s="1"/>
  <c r="I46" i="36" s="1"/>
  <c r="J46" i="36" s="1"/>
  <c r="K46" i="36" s="1"/>
  <c r="C7" i="37"/>
  <c r="C52" i="37" s="1"/>
  <c r="D52" i="37" s="1"/>
  <c r="E52" i="37" s="1"/>
  <c r="F52" i="37" s="1"/>
  <c r="G52" i="37" s="1"/>
  <c r="H52" i="37" s="1"/>
  <c r="C9" i="40"/>
  <c r="C65" i="40" s="1"/>
  <c r="C42" i="1"/>
  <c r="C28" i="70" s="1"/>
  <c r="A26" i="64"/>
  <c r="H85" i="46"/>
  <c r="M3" i="46"/>
  <c r="M9" i="46"/>
  <c r="H50" i="46"/>
  <c r="H48" i="46"/>
  <c r="M11" i="46"/>
  <c r="M6" i="46"/>
  <c r="H8" i="48"/>
  <c r="H7" i="48"/>
  <c r="N67" i="9"/>
  <c r="C110" i="9"/>
  <c r="K8" i="1"/>
  <c r="H16" i="1" s="1"/>
  <c r="P75" i="15"/>
  <c r="M22" i="44"/>
  <c r="J22" i="44" s="1"/>
  <c r="M20" i="15"/>
  <c r="AP11" i="1"/>
  <c r="N16" i="4"/>
  <c r="G7" i="1"/>
  <c r="AP7" i="1"/>
  <c r="G13" i="1"/>
  <c r="AP6" i="1"/>
  <c r="G6" i="1"/>
  <c r="AP9" i="1"/>
  <c r="G10" i="1"/>
  <c r="G12" i="1"/>
  <c r="AC19" i="39"/>
  <c r="U21" i="39"/>
  <c r="AB19" i="39"/>
  <c r="U27" i="39"/>
  <c r="W27" i="39"/>
  <c r="S27" i="39"/>
  <c r="AA19" i="39"/>
  <c r="AB17" i="39"/>
  <c r="S15" i="39"/>
  <c r="U14" i="39"/>
  <c r="S14" i="39"/>
  <c r="W14" i="39"/>
  <c r="W15" i="39"/>
  <c r="AB15" i="39"/>
  <c r="F30" i="6"/>
  <c r="L16" i="4"/>
  <c r="S29" i="39"/>
  <c r="F91" i="39"/>
  <c r="G91" i="39" s="1"/>
  <c r="F17" i="39"/>
  <c r="AA17" i="39" s="1"/>
  <c r="S23" i="39"/>
  <c r="U23" i="39"/>
  <c r="W23" i="39"/>
  <c r="AC17" i="39"/>
  <c r="A30" i="64"/>
  <c r="A30" i="51"/>
  <c r="B22" i="63" s="1"/>
  <c r="F28" i="15"/>
  <c r="C28" i="15" s="1"/>
  <c r="F30" i="44"/>
  <c r="C30" i="44" s="1"/>
  <c r="M20" i="44"/>
  <c r="F70" i="9"/>
  <c r="F72" i="9"/>
  <c r="F66" i="9"/>
  <c r="P72" i="9" s="1"/>
  <c r="D23" i="15"/>
  <c r="E11" i="52"/>
  <c r="E30" i="6"/>
  <c r="K14" i="1"/>
  <c r="M14" i="1" s="1"/>
  <c r="E10" i="6"/>
  <c r="E14" i="6"/>
  <c r="E61" i="40"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D12" i="11"/>
  <c r="C12" i="11" s="1"/>
  <c r="O10" i="1"/>
  <c r="P10" i="1" s="1"/>
  <c r="O9" i="1"/>
  <c r="P9" i="1" s="1"/>
  <c r="O12" i="1"/>
  <c r="P12" i="1" s="1"/>
  <c r="O6" i="1"/>
  <c r="O7" i="1"/>
  <c r="P7" i="1" s="1"/>
  <c r="O11" i="1"/>
  <c r="P11" i="1" s="1"/>
  <c r="O13" i="1"/>
  <c r="P13" i="1" s="1"/>
  <c r="E48" i="35"/>
  <c r="E58" i="33"/>
  <c r="F58" i="33" s="1"/>
  <c r="G58" i="33" s="1"/>
  <c r="H58" i="33" s="1"/>
  <c r="I58" i="33" s="1"/>
  <c r="J58" i="33" s="1"/>
  <c r="K58" i="33" s="1"/>
  <c r="L58" i="33" s="1"/>
  <c r="M58" i="33" s="1"/>
  <c r="N58" i="33" s="1"/>
  <c r="O58" i="33" s="1"/>
  <c r="F59" i="34"/>
  <c r="E14" i="52"/>
  <c r="E15" i="52"/>
  <c r="B15" i="52"/>
  <c r="E13" i="52"/>
  <c r="E5" i="52"/>
  <c r="B14" i="52"/>
  <c r="E9" i="52"/>
  <c r="E8" i="52"/>
  <c r="E6" i="52"/>
  <c r="E16" i="52"/>
  <c r="B4" i="52"/>
  <c r="B5" i="52"/>
  <c r="B7" i="52"/>
  <c r="B9" i="52"/>
  <c r="B11" i="52"/>
  <c r="B16" i="52"/>
  <c r="B6" i="52"/>
  <c r="B8" i="52"/>
  <c r="B10" i="52"/>
  <c r="B13" i="52"/>
  <c r="E4" i="52"/>
  <c r="E10" i="52"/>
  <c r="B22" i="52"/>
  <c r="E21" i="52"/>
  <c r="E7" i="52"/>
  <c r="E22" i="52"/>
  <c r="C36" i="44"/>
  <c r="C8" i="44"/>
  <c r="C29" i="44"/>
  <c r="I1" i="65"/>
  <c r="Q73" i="44"/>
  <c r="M9" i="44"/>
  <c r="J8" i="44" s="1"/>
  <c r="L60" i="44"/>
  <c r="L59" i="44"/>
  <c r="I55" i="44"/>
  <c r="J60" i="44"/>
  <c r="L57" i="44"/>
  <c r="J54" i="44"/>
  <c r="J58" i="44"/>
  <c r="J56" i="44" s="1"/>
  <c r="J59" i="44" s="1"/>
  <c r="Q52" i="44" s="1"/>
  <c r="J61" i="44"/>
  <c r="Q50" i="44" s="1"/>
  <c r="F7" i="70"/>
  <c r="F8" i="15"/>
  <c r="F40" i="70"/>
  <c r="F26" i="70"/>
  <c r="F38" i="15"/>
  <c r="F43" i="70"/>
  <c r="C18" i="44"/>
  <c r="F16" i="70"/>
  <c r="F13" i="70"/>
  <c r="M26" i="70"/>
  <c r="L48" i="70"/>
  <c r="F6" i="70"/>
  <c r="M9" i="70"/>
  <c r="M19" i="44"/>
  <c r="F42" i="70"/>
  <c r="M27" i="70"/>
  <c r="F37" i="70"/>
  <c r="J15" i="15"/>
  <c r="M6" i="15"/>
  <c r="J36" i="15"/>
  <c r="M8" i="15"/>
  <c r="M29" i="70"/>
  <c r="M8" i="70"/>
  <c r="F26" i="15"/>
  <c r="M6" i="70"/>
  <c r="M22" i="70"/>
  <c r="M29" i="15"/>
  <c r="F36" i="15"/>
  <c r="F6" i="15"/>
  <c r="M28" i="70"/>
  <c r="L47" i="15"/>
  <c r="F7" i="15"/>
  <c r="F40" i="15"/>
  <c r="J36" i="70"/>
  <c r="F33" i="44"/>
  <c r="F8" i="70"/>
  <c r="M26" i="15"/>
  <c r="F38" i="70"/>
  <c r="L47" i="70"/>
  <c r="F9" i="70"/>
  <c r="M23" i="70"/>
  <c r="L48" i="15"/>
  <c r="M24" i="70"/>
  <c r="J15" i="70"/>
  <c r="F36" i="70"/>
  <c r="AC21" i="39" l="1"/>
  <c r="C10" i="59"/>
  <c r="D10" i="59" s="1"/>
  <c r="D11" i="59"/>
  <c r="AA9" i="34"/>
  <c r="S9" i="34"/>
  <c r="AA9" i="33"/>
  <c r="S9" i="33"/>
  <c r="E13" i="6"/>
  <c r="E60" i="40" s="1"/>
  <c r="E11" i="6"/>
  <c r="E63" i="39" s="1"/>
  <c r="K31" i="9"/>
  <c r="K32" i="9" s="1"/>
  <c r="C15" i="43"/>
  <c r="W43" i="21"/>
  <c r="AC40" i="21"/>
  <c r="S8" i="59"/>
  <c r="B7" i="59"/>
  <c r="B6" i="59" s="1"/>
  <c r="B5" i="59" s="1"/>
  <c r="C6" i="59"/>
  <c r="D7" i="59"/>
  <c r="C16" i="59"/>
  <c r="D15" i="59"/>
  <c r="U9" i="34"/>
  <c r="AB9" i="34"/>
  <c r="AB9" i="33"/>
  <c r="U9" i="33"/>
  <c r="F65" i="15"/>
  <c r="F67" i="15"/>
  <c r="F63" i="15"/>
  <c r="C27" i="15"/>
  <c r="Q72" i="15"/>
  <c r="F50" i="15"/>
  <c r="L59" i="15"/>
  <c r="Q62" i="15" s="1"/>
  <c r="L58" i="15"/>
  <c r="Q74" i="15" s="1"/>
  <c r="I54" i="15"/>
  <c r="J53" i="15"/>
  <c r="F1" i="15" s="1"/>
  <c r="L56" i="15"/>
  <c r="J57" i="15"/>
  <c r="J55" i="15" s="1"/>
  <c r="J58" i="15" s="1"/>
  <c r="Q51" i="15" s="1"/>
  <c r="J57" i="70"/>
  <c r="J55" i="70" s="1"/>
  <c r="J58" i="70" s="1"/>
  <c r="Q51" i="70" s="1"/>
  <c r="J53" i="70"/>
  <c r="L57" i="70"/>
  <c r="L60" i="70"/>
  <c r="I54" i="70"/>
  <c r="L56" i="70"/>
  <c r="F70" i="70"/>
  <c r="Q72" i="70"/>
  <c r="C27" i="70"/>
  <c r="C6" i="70"/>
  <c r="L59" i="70"/>
  <c r="L58" i="70"/>
  <c r="F67" i="70"/>
  <c r="F64" i="70"/>
  <c r="F65" i="70"/>
  <c r="F49" i="70"/>
  <c r="M7" i="70"/>
  <c r="F63" i="70"/>
  <c r="F50" i="70"/>
  <c r="C33" i="21"/>
  <c r="F34" i="6"/>
  <c r="G3" i="46"/>
  <c r="N104" i="45" s="1"/>
  <c r="C11" i="21"/>
  <c r="C72" i="39"/>
  <c r="M84" i="9"/>
  <c r="N84" i="9" s="1"/>
  <c r="M85" i="9"/>
  <c r="N85" i="9" s="1"/>
  <c r="M88" i="9"/>
  <c r="N88" i="9" s="1"/>
  <c r="M86" i="9"/>
  <c r="N86" i="9" s="1"/>
  <c r="C27" i="43"/>
  <c r="C7" i="46"/>
  <c r="M43" i="9"/>
  <c r="S35" i="21"/>
  <c r="AA40" i="21"/>
  <c r="AA37" i="34"/>
  <c r="S37" i="34"/>
  <c r="AC37" i="34"/>
  <c r="W37" i="34"/>
  <c r="AA31" i="34"/>
  <c r="S31" i="34"/>
  <c r="AC31" i="34"/>
  <c r="W31" i="34"/>
  <c r="AA17" i="34"/>
  <c r="S17" i="34"/>
  <c r="U17" i="34"/>
  <c r="U15" i="34"/>
  <c r="S15" i="34"/>
  <c r="AC13" i="34"/>
  <c r="W13" i="34"/>
  <c r="S13" i="34"/>
  <c r="AA13" i="34"/>
  <c r="AC46" i="34"/>
  <c r="W46" i="34"/>
  <c r="S44" i="21"/>
  <c r="AA37" i="21"/>
  <c r="H11" i="21"/>
  <c r="U11" i="21" s="1"/>
  <c r="J11" i="21"/>
  <c r="AC11" i="21" s="1"/>
  <c r="F11" i="21"/>
  <c r="W37" i="21"/>
  <c r="AC37" i="21"/>
  <c r="AB37" i="21"/>
  <c r="S15" i="21"/>
  <c r="W15" i="21"/>
  <c r="AC28" i="21"/>
  <c r="W28" i="21"/>
  <c r="AA29" i="21"/>
  <c r="S29" i="21"/>
  <c r="AB29" i="21"/>
  <c r="U29" i="21"/>
  <c r="S42" i="21"/>
  <c r="U14" i="21"/>
  <c r="AB14" i="21"/>
  <c r="AC12" i="21"/>
  <c r="W12" i="21"/>
  <c r="S12" i="21"/>
  <c r="AA12" i="21"/>
  <c r="AA33" i="39"/>
  <c r="S33" i="39"/>
  <c r="S38" i="39"/>
  <c r="AA38" i="39"/>
  <c r="U38" i="39"/>
  <c r="AB38" i="39"/>
  <c r="AC45" i="39"/>
  <c r="W45" i="39"/>
  <c r="AB29" i="39"/>
  <c r="W29" i="39"/>
  <c r="AA21" i="39"/>
  <c r="B24" i="31"/>
  <c r="E395" i="3"/>
  <c r="E156" i="3"/>
  <c r="E49" i="3"/>
  <c r="E193" i="3"/>
  <c r="E104" i="3"/>
  <c r="E472" i="3"/>
  <c r="E266" i="3"/>
  <c r="I6" i="3"/>
  <c r="Z6" i="3"/>
  <c r="E520"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105" i="3"/>
  <c r="E246" i="3"/>
  <c r="E498" i="3"/>
  <c r="E361" i="3"/>
  <c r="E323" i="3"/>
  <c r="E501" i="3"/>
  <c r="E310" i="3"/>
  <c r="AB6" i="3"/>
  <c r="E511" i="3"/>
  <c r="E358" i="3"/>
  <c r="E23" i="3"/>
  <c r="E280" i="3"/>
  <c r="E270" i="3"/>
  <c r="E157" i="3"/>
  <c r="E161" i="3"/>
  <c r="E83" i="3"/>
  <c r="E222" i="3"/>
  <c r="E430" i="3"/>
  <c r="E77" i="3"/>
  <c r="E552" i="3"/>
  <c r="E223" i="3"/>
  <c r="E205" i="3"/>
  <c r="E399" i="3"/>
  <c r="E478" i="3"/>
  <c r="E317" i="3"/>
  <c r="E357" i="3"/>
  <c r="E179"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503" i="3"/>
  <c r="AN6" i="3"/>
  <c r="AC6" i="3" s="1"/>
  <c r="E6" i="3" s="1"/>
  <c r="E59" i="3"/>
  <c r="E464" i="3"/>
  <c r="E209" i="3"/>
  <c r="E450" i="3"/>
  <c r="E124" i="3"/>
  <c r="E388" i="3"/>
  <c r="E146" i="3"/>
  <c r="E434" i="3"/>
  <c r="E57" i="3"/>
  <c r="E441" i="3"/>
  <c r="E367" i="3"/>
  <c r="E415" i="3"/>
  <c r="E80" i="3"/>
  <c r="E28" i="3"/>
  <c r="E141"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380" i="3"/>
  <c r="E561" i="3"/>
  <c r="E381" i="3"/>
  <c r="E427" i="3"/>
  <c r="E278" i="3"/>
  <c r="E94" i="3"/>
  <c r="E127" i="3"/>
  <c r="E215" i="3"/>
  <c r="E548" i="3"/>
  <c r="E454" i="3"/>
  <c r="AK6" i="3"/>
  <c r="E490" i="3"/>
  <c r="E218" i="3"/>
  <c r="E442" i="3"/>
  <c r="E110" i="3"/>
  <c r="E63" i="3"/>
  <c r="E174" i="3"/>
  <c r="E129" i="3"/>
  <c r="E98" i="3"/>
  <c r="E422" i="3"/>
  <c r="E398" i="3"/>
  <c r="E533" i="3"/>
  <c r="E37" i="3"/>
  <c r="E303" i="3"/>
  <c r="E467" i="3"/>
  <c r="E67" i="3"/>
  <c r="E214" i="3"/>
  <c r="E486" i="3"/>
  <c r="E543" i="3"/>
  <c r="E264" i="3"/>
  <c r="E369" i="3"/>
  <c r="V6" i="3"/>
  <c r="AG6" i="3"/>
  <c r="E505" i="3"/>
  <c r="E419" i="3"/>
  <c r="E302" i="3"/>
  <c r="E386" i="3"/>
  <c r="E287" i="3"/>
  <c r="E188" i="3"/>
  <c r="E306" i="3"/>
  <c r="E180" i="3"/>
  <c r="E551" i="3"/>
  <c r="E16" i="3"/>
  <c r="E385" i="3"/>
  <c r="E95" i="3"/>
  <c r="E298" i="3"/>
  <c r="E315" i="3"/>
  <c r="E159" i="3"/>
  <c r="E384" i="3"/>
  <c r="E487" i="3"/>
  <c r="S6" i="3"/>
  <c r="E377" i="3"/>
  <c r="E20" i="3"/>
  <c r="Z7" i="46"/>
  <c r="I101" i="46"/>
  <c r="I104" i="46" s="1"/>
  <c r="AF11" i="46"/>
  <c r="AF13" i="46" s="1"/>
  <c r="B113" i="46"/>
  <c r="B117" i="46" s="1"/>
  <c r="C117" i="46" s="1"/>
  <c r="F101" i="46"/>
  <c r="F103" i="46" s="1"/>
  <c r="G22" i="46"/>
  <c r="Y11" i="46"/>
  <c r="Y13" i="46" s="1"/>
  <c r="J101" i="46"/>
  <c r="J106" i="46" s="1"/>
  <c r="N101" i="46"/>
  <c r="N109" i="46" s="1"/>
  <c r="AY6" i="3"/>
  <c r="AY229" i="3" s="1"/>
  <c r="E14" i="3"/>
  <c r="D101" i="46"/>
  <c r="D102" i="46" s="1"/>
  <c r="AJ11" i="46"/>
  <c r="AJ13" i="46" s="1"/>
  <c r="Z11" i="46"/>
  <c r="Z13" i="46" s="1"/>
  <c r="H6" i="3"/>
  <c r="E58" i="39"/>
  <c r="E53" i="40"/>
  <c r="F27" i="6"/>
  <c r="F31" i="6" s="1"/>
  <c r="D16" i="12"/>
  <c r="D46" i="9"/>
  <c r="D44" i="9"/>
  <c r="D10" i="11"/>
  <c r="D16" i="43"/>
  <c r="C16" i="43" s="1"/>
  <c r="AY29" i="3"/>
  <c r="D45" i="9"/>
  <c r="C21" i="4"/>
  <c r="O5" i="54" s="1"/>
  <c r="B45" i="63" s="1"/>
  <c r="AY25" i="3"/>
  <c r="E15" i="6"/>
  <c r="E67" i="39" s="1"/>
  <c r="E12" i="6"/>
  <c r="E59" i="40" s="1"/>
  <c r="L38" i="9"/>
  <c r="B14" i="66" s="1"/>
  <c r="B1" i="66" s="1"/>
  <c r="E66" i="39"/>
  <c r="E6" i="6"/>
  <c r="D22" i="12" s="1"/>
  <c r="C22" i="12" s="1"/>
  <c r="C20" i="12" s="1"/>
  <c r="M7" i="15"/>
  <c r="F49" i="15"/>
  <c r="I52" i="37"/>
  <c r="J52" i="37" s="1"/>
  <c r="K52" i="37" s="1"/>
  <c r="L52" i="37" s="1"/>
  <c r="M52" i="37" s="1"/>
  <c r="N52" i="37" s="1"/>
  <c r="O52" i="37" s="1"/>
  <c r="L46" i="36"/>
  <c r="M46" i="36" s="1"/>
  <c r="N46" i="36" s="1"/>
  <c r="O46" i="36" s="1"/>
  <c r="M8" i="1"/>
  <c r="D65" i="40"/>
  <c r="C67" i="40"/>
  <c r="D58" i="21"/>
  <c r="E58" i="21" s="1"/>
  <c r="F58" i="21" s="1"/>
  <c r="G58" i="21" s="1"/>
  <c r="H58" i="21" s="1"/>
  <c r="I58" i="21" s="1"/>
  <c r="J58" i="21" s="1"/>
  <c r="K58" i="21" s="1"/>
  <c r="L58" i="21" s="1"/>
  <c r="M58" i="21" s="1"/>
  <c r="N58" i="21" s="1"/>
  <c r="O58" i="21" s="1"/>
  <c r="F7" i="33"/>
  <c r="AA7" i="33" s="1"/>
  <c r="R48" i="33" s="1"/>
  <c r="C31" i="43"/>
  <c r="C25" i="12"/>
  <c r="E70" i="39"/>
  <c r="D72" i="39"/>
  <c r="H7" i="33"/>
  <c r="AB7" i="33" s="1"/>
  <c r="T48" i="33" s="1"/>
  <c r="G48" i="33" s="1"/>
  <c r="Q16" i="1"/>
  <c r="F33" i="12" s="1"/>
  <c r="C34" i="12" s="1"/>
  <c r="D33" i="12" s="1"/>
  <c r="K16" i="1"/>
  <c r="AY464" i="3"/>
  <c r="BD6" i="3"/>
  <c r="AY484" i="3"/>
  <c r="AY367" i="3"/>
  <c r="AY278" i="3"/>
  <c r="AY182" i="3"/>
  <c r="AY177" i="3"/>
  <c r="AY111" i="3"/>
  <c r="AY491" i="3"/>
  <c r="AY530" i="3"/>
  <c r="AY219" i="3"/>
  <c r="AY211" i="3"/>
  <c r="AY114" i="3"/>
  <c r="AY456" i="3"/>
  <c r="AY78" i="3"/>
  <c r="AY506" i="3"/>
  <c r="AY487" i="3"/>
  <c r="BJ6" i="3"/>
  <c r="AY545" i="3"/>
  <c r="AY341" i="3"/>
  <c r="AY191" i="3"/>
  <c r="AY416" i="3"/>
  <c r="AY141" i="3"/>
  <c r="AY400" i="3"/>
  <c r="AY442" i="3"/>
  <c r="AY568" i="3"/>
  <c r="AY145" i="3"/>
  <c r="AY520" i="3"/>
  <c r="AY531" i="3"/>
  <c r="AY369" i="3"/>
  <c r="AY152" i="3"/>
  <c r="AY492" i="3"/>
  <c r="AY327" i="3"/>
  <c r="AY499" i="3"/>
  <c r="AY130" i="3"/>
  <c r="AY538" i="3"/>
  <c r="AY537" i="3"/>
  <c r="AY262" i="3"/>
  <c r="AY379" i="3"/>
  <c r="AY62" i="3"/>
  <c r="AY307" i="3"/>
  <c r="AY474" i="3"/>
  <c r="AY87" i="3"/>
  <c r="AY356" i="3"/>
  <c r="AY562" i="3"/>
  <c r="AY304" i="3"/>
  <c r="AY388" i="3"/>
  <c r="AY399" i="3"/>
  <c r="AY90" i="3"/>
  <c r="AY63" i="3"/>
  <c r="AY195" i="3"/>
  <c r="BM6" i="3"/>
  <c r="AY523" i="3"/>
  <c r="AY210" i="3"/>
  <c r="AY395" i="3"/>
  <c r="AY86" i="3"/>
  <c r="AY64" i="3"/>
  <c r="AY75" i="3"/>
  <c r="AY467" i="3"/>
  <c r="AY364" i="3"/>
  <c r="AY348" i="3"/>
  <c r="AY435" i="3"/>
  <c r="AY420" i="3"/>
  <c r="AY295" i="3"/>
  <c r="AY291" i="3"/>
  <c r="AY410" i="3"/>
  <c r="AY133" i="3"/>
  <c r="BN6" i="3"/>
  <c r="AY171" i="3"/>
  <c r="K17" i="4"/>
  <c r="A22" i="51" s="1"/>
  <c r="B16" i="63" s="1"/>
  <c r="G16" i="1"/>
  <c r="AP16" i="1"/>
  <c r="F22" i="11" s="1"/>
  <c r="AY261" i="3"/>
  <c r="D13" i="11"/>
  <c r="C13" i="11" s="1"/>
  <c r="AY150" i="3"/>
  <c r="AY428" i="3"/>
  <c r="AY173" i="3"/>
  <c r="AY196" i="3"/>
  <c r="AY203" i="3"/>
  <c r="AY526" i="3"/>
  <c r="AY470" i="3"/>
  <c r="BG6" i="3"/>
  <c r="S17" i="39"/>
  <c r="O14" i="1"/>
  <c r="P14" i="1" s="1"/>
  <c r="E27" i="6"/>
  <c r="E65" i="39"/>
  <c r="E62" i="40"/>
  <c r="E58" i="40"/>
  <c r="P6" i="1"/>
  <c r="D106" i="46"/>
  <c r="D105" i="46"/>
  <c r="D104" i="46"/>
  <c r="D103" i="46"/>
  <c r="I118" i="46"/>
  <c r="J118" i="46" s="1"/>
  <c r="K118" i="46" s="1"/>
  <c r="L118" i="46" s="1"/>
  <c r="M118" i="46" s="1"/>
  <c r="I116" i="46"/>
  <c r="J116" i="46" s="1"/>
  <c r="K116" i="46" s="1"/>
  <c r="L116" i="46" s="1"/>
  <c r="M116" i="46" s="1"/>
  <c r="F106" i="46"/>
  <c r="F109" i="46"/>
  <c r="F104" i="46"/>
  <c r="F105" i="46"/>
  <c r="I106" i="46"/>
  <c r="J104" i="46"/>
  <c r="J102" i="46"/>
  <c r="N103" i="46"/>
  <c r="N106" i="46"/>
  <c r="N105" i="46"/>
  <c r="G59" i="34"/>
  <c r="S7" i="33"/>
  <c r="J7" i="33"/>
  <c r="F48" i="35"/>
  <c r="L47" i="44"/>
  <c r="Q63" i="44"/>
  <c r="Q76" i="44"/>
  <c r="Q75" i="15"/>
  <c r="Q54" i="44"/>
  <c r="F1" i="44"/>
  <c r="Q75" i="44"/>
  <c r="Q62" i="44"/>
  <c r="I5" i="65"/>
  <c r="F9" i="15"/>
  <c r="N6" i="65"/>
  <c r="C16" i="70"/>
  <c r="F42" i="15"/>
  <c r="M9" i="15"/>
  <c r="M17" i="70"/>
  <c r="F31" i="70"/>
  <c r="F31" i="15"/>
  <c r="M17" i="15"/>
  <c r="J6" i="65"/>
  <c r="F16" i="15"/>
  <c r="N4" i="65"/>
  <c r="F37" i="15"/>
  <c r="N3" i="65"/>
  <c r="J7" i="65"/>
  <c r="M27" i="15"/>
  <c r="J5" i="65"/>
  <c r="I4" i="65"/>
  <c r="I3" i="65"/>
  <c r="M28" i="15"/>
  <c r="M23" i="15"/>
  <c r="M22" i="15"/>
  <c r="F13" i="15"/>
  <c r="M24" i="15"/>
  <c r="J3" i="65"/>
  <c r="I6" i="65"/>
  <c r="N5" i="65"/>
  <c r="AE8" i="1"/>
  <c r="J4" i="65"/>
  <c r="F43" i="15"/>
  <c r="N7" i="65"/>
  <c r="F58" i="70"/>
  <c r="F58" i="15"/>
  <c r="I7" i="65"/>
  <c r="C6" i="15" l="1"/>
  <c r="F70" i="15"/>
  <c r="E20" i="46"/>
  <c r="J1" i="65"/>
  <c r="F64" i="15"/>
  <c r="C4" i="65"/>
  <c r="B39" i="1" s="1"/>
  <c r="T16" i="59"/>
  <c r="D16" i="59"/>
  <c r="D6" i="59"/>
  <c r="C5" i="59"/>
  <c r="D5" i="59" s="1"/>
  <c r="U7" i="33"/>
  <c r="N107" i="46"/>
  <c r="N102" i="46"/>
  <c r="N104" i="46"/>
  <c r="F102" i="46"/>
  <c r="F107" i="46"/>
  <c r="G118" i="46"/>
  <c r="H118" i="46" s="1"/>
  <c r="D109" i="46"/>
  <c r="D107" i="46"/>
  <c r="AY255" i="3"/>
  <c r="AY119" i="3"/>
  <c r="AY19" i="3"/>
  <c r="AY172" i="3"/>
  <c r="AY570" i="3"/>
  <c r="AY59" i="3"/>
  <c r="AY215" i="3"/>
  <c r="AY280" i="3"/>
  <c r="AY482" i="3"/>
  <c r="AY444" i="3"/>
  <c r="AY104" i="3"/>
  <c r="AY411" i="3"/>
  <c r="AY17" i="3"/>
  <c r="AY125" i="3"/>
  <c r="AY100" i="3"/>
  <c r="AY168" i="3"/>
  <c r="AY528" i="3"/>
  <c r="AY230" i="3"/>
  <c r="BK6" i="3"/>
  <c r="AY398" i="3"/>
  <c r="AY479" i="3"/>
  <c r="AY175" i="3"/>
  <c r="AY154" i="3"/>
  <c r="AY337" i="3"/>
  <c r="AY322" i="3"/>
  <c r="AY490" i="3"/>
  <c r="AY536" i="3"/>
  <c r="AY260" i="3"/>
  <c r="AY421" i="3"/>
  <c r="AY71" i="3"/>
  <c r="AY351" i="3"/>
  <c r="AY553" i="3"/>
  <c r="AY485" i="3"/>
  <c r="AY227" i="3"/>
  <c r="AY406" i="3"/>
  <c r="AY44" i="3"/>
  <c r="AY109" i="3"/>
  <c r="AY419" i="3"/>
  <c r="AY457" i="3"/>
  <c r="AY269" i="3"/>
  <c r="AY326" i="3"/>
  <c r="AY232" i="3"/>
  <c r="AY53" i="3"/>
  <c r="AY567" i="3"/>
  <c r="AY93" i="3"/>
  <c r="AY391" i="3"/>
  <c r="AY213" i="3"/>
  <c r="AY15" i="3"/>
  <c r="AY489" i="3"/>
  <c r="AY430" i="3"/>
  <c r="AY67" i="3"/>
  <c r="AY249" i="3"/>
  <c r="AY248" i="3"/>
  <c r="AY566" i="3"/>
  <c r="AY43" i="3"/>
  <c r="AY161" i="3"/>
  <c r="AY265" i="3"/>
  <c r="AY402" i="3"/>
  <c r="AY204" i="3"/>
  <c r="AY123" i="3"/>
  <c r="AY363" i="3"/>
  <c r="AY511" i="3"/>
  <c r="AY571" i="3"/>
  <c r="AY108" i="3"/>
  <c r="AY299" i="3"/>
  <c r="AY518" i="3"/>
  <c r="AY38" i="3"/>
  <c r="AY396" i="3"/>
  <c r="AY569" i="3"/>
  <c r="AY97" i="3"/>
  <c r="AY373" i="3"/>
  <c r="AY293" i="3"/>
  <c r="AY377" i="3"/>
  <c r="AY504" i="3"/>
  <c r="AY279" i="3"/>
  <c r="AY471" i="3"/>
  <c r="BF6" i="3"/>
  <c r="AY192" i="3"/>
  <c r="AY315" i="3"/>
  <c r="J7" i="36"/>
  <c r="AC7" i="36" s="1"/>
  <c r="V36" i="36" s="1"/>
  <c r="I36" i="36" s="1"/>
  <c r="F7" i="36"/>
  <c r="S7" i="36" s="1"/>
  <c r="H7" i="36"/>
  <c r="U7" i="36" s="1"/>
  <c r="AY259" i="3"/>
  <c r="AY124" i="3"/>
  <c r="AY549" i="3"/>
  <c r="AY352" i="3"/>
  <c r="C101" i="46"/>
  <c r="AC11" i="46"/>
  <c r="AC13" i="46" s="1"/>
  <c r="AH11" i="46"/>
  <c r="AH13" i="46" s="1"/>
  <c r="F22" i="46"/>
  <c r="AB11" i="46"/>
  <c r="AB13" i="46" s="1"/>
  <c r="H101" i="46"/>
  <c r="C23" i="46"/>
  <c r="C21" i="46" s="1"/>
  <c r="E101" i="46"/>
  <c r="H22" i="46"/>
  <c r="E22" i="46"/>
  <c r="AA11" i="46"/>
  <c r="AA13" i="46" s="1"/>
  <c r="M20" i="46"/>
  <c r="C19" i="46" s="1"/>
  <c r="Q53" i="15"/>
  <c r="C48" i="15"/>
  <c r="Q61" i="15"/>
  <c r="J33" i="21"/>
  <c r="F33" i="21"/>
  <c r="H33" i="21"/>
  <c r="Q61" i="70"/>
  <c r="Q74" i="70"/>
  <c r="Q67" i="70"/>
  <c r="Q58" i="70"/>
  <c r="J6" i="70"/>
  <c r="C103" i="46"/>
  <c r="C104" i="46"/>
  <c r="E105" i="46"/>
  <c r="E107" i="46"/>
  <c r="H109" i="46"/>
  <c r="H102" i="46"/>
  <c r="E16" i="6"/>
  <c r="J22" i="46"/>
  <c r="K101" i="46"/>
  <c r="AG11" i="46"/>
  <c r="AG13" i="46" s="1"/>
  <c r="AD11" i="46"/>
  <c r="AD13" i="46" s="1"/>
  <c r="AE11" i="46"/>
  <c r="AE13" i="46" s="1"/>
  <c r="L101" i="46"/>
  <c r="M101" i="46"/>
  <c r="AI11" i="46"/>
  <c r="AI13" i="46" s="1"/>
  <c r="G101" i="46"/>
  <c r="F1" i="70"/>
  <c r="Q53" i="70"/>
  <c r="Q75" i="70"/>
  <c r="Q62" i="70"/>
  <c r="AB7" i="36"/>
  <c r="T36" i="36" s="1"/>
  <c r="G36" i="36" s="1"/>
  <c r="G40" i="36" s="1"/>
  <c r="H40" i="36" s="1"/>
  <c r="C106" i="46"/>
  <c r="E109" i="46"/>
  <c r="H104" i="46"/>
  <c r="C48" i="70"/>
  <c r="S11" i="21"/>
  <c r="AA11" i="21"/>
  <c r="AB11" i="21"/>
  <c r="W11" i="21"/>
  <c r="F18" i="11"/>
  <c r="C18" i="11" s="1"/>
  <c r="J12" i="40"/>
  <c r="AC12" i="40" s="1"/>
  <c r="H12" i="39"/>
  <c r="AB12" i="39" s="1"/>
  <c r="C25" i="31"/>
  <c r="B22" i="31"/>
  <c r="AY338" i="3"/>
  <c r="AY365" i="3"/>
  <c r="AY387" i="3"/>
  <c r="AY441" i="3"/>
  <c r="AY164" i="3"/>
  <c r="AY438" i="3"/>
  <c r="AY271" i="3"/>
  <c r="AY83" i="3"/>
  <c r="AY186" i="3"/>
  <c r="AY476" i="3"/>
  <c r="AY366" i="3"/>
  <c r="AY540" i="3"/>
  <c r="AY383" i="3"/>
  <c r="AY407" i="3"/>
  <c r="AY170" i="3"/>
  <c r="AY461" i="3"/>
  <c r="AY194" i="3"/>
  <c r="AY146" i="3"/>
  <c r="AY374" i="3"/>
  <c r="AY167" i="3"/>
  <c r="AY68" i="3"/>
  <c r="AY552" i="3"/>
  <c r="BT6" i="3"/>
  <c r="AY88" i="3"/>
  <c r="AY253" i="3"/>
  <c r="AY548" i="3"/>
  <c r="AY217" i="3"/>
  <c r="AY236" i="3"/>
  <c r="AY300" i="3"/>
  <c r="AY505" i="3"/>
  <c r="AY268" i="3"/>
  <c r="AY166" i="3"/>
  <c r="AY359" i="3"/>
  <c r="AY296" i="3"/>
  <c r="AY311" i="3"/>
  <c r="AY77" i="3"/>
  <c r="AY46" i="3"/>
  <c r="AY371" i="3"/>
  <c r="AY380" i="3"/>
  <c r="AY245" i="3"/>
  <c r="AY556" i="3"/>
  <c r="AY424" i="3"/>
  <c r="AY498" i="3"/>
  <c r="AY415" i="3"/>
  <c r="AY208" i="3"/>
  <c r="AY447" i="3"/>
  <c r="AY483" i="3"/>
  <c r="AY60" i="3"/>
  <c r="AY270" i="3"/>
  <c r="AY554" i="3"/>
  <c r="AY535" i="3"/>
  <c r="AY332" i="3"/>
  <c r="AY339" i="3"/>
  <c r="AY495" i="3"/>
  <c r="AY465" i="3"/>
  <c r="AY41" i="3"/>
  <c r="AY52" i="3"/>
  <c r="AY31" i="3"/>
  <c r="AY317" i="3"/>
  <c r="AY181" i="3"/>
  <c r="AY65" i="3"/>
  <c r="AY350" i="3"/>
  <c r="AY346" i="3"/>
  <c r="AY101" i="3"/>
  <c r="AY429" i="3"/>
  <c r="AY501" i="3"/>
  <c r="AY54" i="3"/>
  <c r="AY257" i="3"/>
  <c r="AY529" i="3"/>
  <c r="AY96" i="3"/>
  <c r="AY206" i="3"/>
  <c r="AY225" i="3"/>
  <c r="AY360" i="3"/>
  <c r="AY386" i="3"/>
  <c r="AY224" i="3"/>
  <c r="AY431" i="3"/>
  <c r="AY458" i="3"/>
  <c r="AY242" i="3"/>
  <c r="AY385" i="3"/>
  <c r="AY220" i="3"/>
  <c r="AY404" i="3"/>
  <c r="AY110" i="3"/>
  <c r="AY454" i="3"/>
  <c r="AY452" i="3"/>
  <c r="AY473" i="3"/>
  <c r="AY434" i="3"/>
  <c r="AY534" i="3"/>
  <c r="BH6" i="3"/>
  <c r="AY128" i="3"/>
  <c r="AY74" i="3"/>
  <c r="AY136" i="3"/>
  <c r="AY448" i="3"/>
  <c r="AY381" i="3"/>
  <c r="AY178" i="3"/>
  <c r="AY550" i="3"/>
  <c r="AY389" i="3"/>
  <c r="AY122" i="3"/>
  <c r="BC6" i="3"/>
  <c r="AY91" i="3"/>
  <c r="AY251" i="3"/>
  <c r="AY216" i="3"/>
  <c r="AY34" i="3"/>
  <c r="AY176" i="3"/>
  <c r="AY318" i="3"/>
  <c r="AY22" i="3"/>
  <c r="AY127" i="3"/>
  <c r="AY414" i="3"/>
  <c r="AY266" i="3"/>
  <c r="AY137" i="3"/>
  <c r="BP6" i="3"/>
  <c r="AY480" i="3"/>
  <c r="AY358" i="3"/>
  <c r="AY223" i="3"/>
  <c r="AY235" i="3"/>
  <c r="AY205" i="3"/>
  <c r="AY423" i="3"/>
  <c r="AY517" i="3"/>
  <c r="AY297" i="3"/>
  <c r="AY393" i="3"/>
  <c r="AY281" i="3"/>
  <c r="AY76" i="3"/>
  <c r="BL6" i="3"/>
  <c r="AY160" i="3"/>
  <c r="AY277" i="3"/>
  <c r="AY425" i="3"/>
  <c r="AY286" i="3"/>
  <c r="AY169" i="3"/>
  <c r="AY72" i="3"/>
  <c r="AY30" i="3"/>
  <c r="AY382" i="3"/>
  <c r="AY188" i="3"/>
  <c r="AY258" i="3"/>
  <c r="AY126" i="3"/>
  <c r="AY436" i="3"/>
  <c r="AY263" i="3"/>
  <c r="AY390" i="3"/>
  <c r="AY85" i="3"/>
  <c r="AY316" i="3"/>
  <c r="AY451" i="3"/>
  <c r="AY134" i="3"/>
  <c r="AY496" i="3"/>
  <c r="AY37" i="3"/>
  <c r="BS6" i="3"/>
  <c r="AY48" i="3"/>
  <c r="AY237" i="3"/>
  <c r="AY306" i="3"/>
  <c r="AY521" i="3"/>
  <c r="AY432" i="3"/>
  <c r="AY525" i="3"/>
  <c r="AY347" i="3"/>
  <c r="AY533" i="3"/>
  <c r="AY165" i="3"/>
  <c r="AY336" i="3"/>
  <c r="AY524" i="3"/>
  <c r="AY488" i="3"/>
  <c r="AY256" i="3"/>
  <c r="AY563" i="3"/>
  <c r="AY342" i="3"/>
  <c r="AY84" i="3"/>
  <c r="AY555" i="3"/>
  <c r="AY39" i="3"/>
  <c r="AY47" i="3"/>
  <c r="AY512" i="3"/>
  <c r="AY468" i="3"/>
  <c r="AY519" i="3"/>
  <c r="AY159" i="3"/>
  <c r="AY368" i="3"/>
  <c r="AY35" i="3"/>
  <c r="AY81" i="3"/>
  <c r="AY427" i="3"/>
  <c r="AY246" i="3"/>
  <c r="AY551" i="3"/>
  <c r="AY357" i="3"/>
  <c r="AY140" i="3"/>
  <c r="AY323" i="3"/>
  <c r="AY129" i="3"/>
  <c r="AY284" i="3"/>
  <c r="AY437" i="3"/>
  <c r="AY198" i="3"/>
  <c r="AY443" i="3"/>
  <c r="AY148" i="3"/>
  <c r="AY446" i="3"/>
  <c r="AY221" i="3"/>
  <c r="AY274" i="3"/>
  <c r="AY558" i="3"/>
  <c r="AY27" i="3"/>
  <c r="AY112" i="3"/>
  <c r="AY20" i="3"/>
  <c r="AY153" i="3"/>
  <c r="AY559" i="3"/>
  <c r="AY240" i="3"/>
  <c r="AY331" i="3"/>
  <c r="AY509" i="3"/>
  <c r="AY564" i="3"/>
  <c r="AY51" i="3"/>
  <c r="AY433" i="3"/>
  <c r="AY267" i="3"/>
  <c r="AY481" i="3"/>
  <c r="AY333" i="3"/>
  <c r="AY21" i="3"/>
  <c r="AY92" i="3"/>
  <c r="AY209" i="3"/>
  <c r="AY55" i="3"/>
  <c r="AY560" i="3"/>
  <c r="AY310" i="3"/>
  <c r="AY226" i="3"/>
  <c r="AY340" i="3"/>
  <c r="AY405" i="3"/>
  <c r="AY572" i="3"/>
  <c r="AY79" i="3"/>
  <c r="AY493" i="3"/>
  <c r="AY26" i="3"/>
  <c r="AY472" i="3"/>
  <c r="AY131" i="3"/>
  <c r="AY453" i="3"/>
  <c r="AY151" i="3"/>
  <c r="AY105" i="3"/>
  <c r="AY335" i="3"/>
  <c r="AY320" i="3"/>
  <c r="AY107" i="3"/>
  <c r="AY546" i="3"/>
  <c r="AY163" i="3"/>
  <c r="AY355" i="3"/>
  <c r="AY285" i="3"/>
  <c r="AY502" i="3"/>
  <c r="AY514" i="3"/>
  <c r="AY507" i="3"/>
  <c r="AY541" i="3"/>
  <c r="AY289" i="3"/>
  <c r="AY557" i="3"/>
  <c r="AY516" i="3"/>
  <c r="AY408" i="3"/>
  <c r="AY73" i="3"/>
  <c r="AY57" i="3"/>
  <c r="AY349" i="3"/>
  <c r="AY149" i="3"/>
  <c r="AY463" i="3"/>
  <c r="AY372" i="3"/>
  <c r="AY376" i="3"/>
  <c r="AY450" i="3"/>
  <c r="AY412" i="3"/>
  <c r="AY330" i="3"/>
  <c r="AY353" i="3"/>
  <c r="AY254" i="3"/>
  <c r="AY142" i="3"/>
  <c r="AY392" i="3"/>
  <c r="AY288" i="3"/>
  <c r="AY162" i="3"/>
  <c r="AY303" i="3"/>
  <c r="AY275" i="3"/>
  <c r="AY120" i="3"/>
  <c r="J107" i="46"/>
  <c r="J109" i="46"/>
  <c r="D115" i="46"/>
  <c r="E115" i="46" s="1"/>
  <c r="F115" i="46" s="1"/>
  <c r="G115" i="46" s="1"/>
  <c r="H115" i="46" s="1"/>
  <c r="I117" i="46"/>
  <c r="J117" i="46" s="1"/>
  <c r="K117" i="46" s="1"/>
  <c r="L117" i="46" s="1"/>
  <c r="M117" i="46" s="1"/>
  <c r="B116" i="46"/>
  <c r="C116" i="46" s="1"/>
  <c r="I103" i="46"/>
  <c r="I107" i="46"/>
  <c r="J103" i="46"/>
  <c r="I109" i="46"/>
  <c r="B115" i="46"/>
  <c r="C115" i="46" s="1"/>
  <c r="D116" i="46"/>
  <c r="E116" i="46" s="1"/>
  <c r="F116" i="46" s="1"/>
  <c r="G116" i="46" s="1"/>
  <c r="H116" i="46" s="1"/>
  <c r="D118" i="46"/>
  <c r="E118" i="46" s="1"/>
  <c r="F118" i="46" s="1"/>
  <c r="AY354" i="3"/>
  <c r="AY89" i="3"/>
  <c r="AY513" i="3"/>
  <c r="AY394" i="3"/>
  <c r="BE6" i="3"/>
  <c r="AY522" i="3"/>
  <c r="AY61" i="3"/>
  <c r="AY282" i="3"/>
  <c r="AY426" i="3"/>
  <c r="AY460" i="3"/>
  <c r="AY28" i="3"/>
  <c r="AY370" i="3"/>
  <c r="AY325" i="3"/>
  <c r="AY292" i="3"/>
  <c r="AY82" i="3"/>
  <c r="AY324" i="3"/>
  <c r="AY157" i="3"/>
  <c r="AY542" i="3"/>
  <c r="AY115" i="3"/>
  <c r="AY70" i="3"/>
  <c r="AY202" i="3"/>
  <c r="AY264" i="3"/>
  <c r="AY42" i="3"/>
  <c r="AY117" i="3"/>
  <c r="AY40" i="3"/>
  <c r="BO6" i="3"/>
  <c r="AY94" i="3"/>
  <c r="AY228" i="3"/>
  <c r="AY362" i="3"/>
  <c r="AY190" i="3"/>
  <c r="AY328" i="3"/>
  <c r="AY199" i="3"/>
  <c r="AY565" i="3"/>
  <c r="AY14" i="3"/>
  <c r="AY80" i="3"/>
  <c r="AY147" i="3"/>
  <c r="AY218" i="3"/>
  <c r="AY212" i="3"/>
  <c r="AY201" i="3"/>
  <c r="AY155" i="3"/>
  <c r="AY135" i="3"/>
  <c r="AY397" i="3"/>
  <c r="AY144" i="3"/>
  <c r="AY197" i="3"/>
  <c r="AY418" i="3"/>
  <c r="AY477" i="3"/>
  <c r="AY298" i="3"/>
  <c r="BR6" i="3"/>
  <c r="AY417" i="3"/>
  <c r="AY239" i="3"/>
  <c r="AY187" i="3"/>
  <c r="AY184" i="3"/>
  <c r="AY233" i="3"/>
  <c r="AY95" i="3"/>
  <c r="AY99" i="3"/>
  <c r="AY272" i="3"/>
  <c r="AY459" i="3"/>
  <c r="AY250" i="3"/>
  <c r="AY118" i="3"/>
  <c r="AY13" i="3"/>
  <c r="AY401" i="3"/>
  <c r="AY455" i="3"/>
  <c r="AY539" i="3"/>
  <c r="AY475" i="3"/>
  <c r="AY375" i="3"/>
  <c r="AY247" i="3"/>
  <c r="AY156" i="3"/>
  <c r="AY32" i="3"/>
  <c r="BA6" i="3"/>
  <c r="AY158" i="3"/>
  <c r="BB6" i="3"/>
  <c r="AY138" i="3"/>
  <c r="AY222" i="3"/>
  <c r="AY113" i="3"/>
  <c r="AY116" i="3"/>
  <c r="AY273" i="3"/>
  <c r="AY314" i="3"/>
  <c r="AY231" i="3"/>
  <c r="AY361" i="3"/>
  <c r="AY308" i="3"/>
  <c r="AY313" i="3"/>
  <c r="AY180" i="3"/>
  <c r="AY45" i="3"/>
  <c r="D22" i="46"/>
  <c r="J105" i="46"/>
  <c r="I102" i="46"/>
  <c r="I105" i="46"/>
  <c r="D117" i="46"/>
  <c r="E117" i="46" s="1"/>
  <c r="F117" i="46" s="1"/>
  <c r="G117" i="46" s="1"/>
  <c r="H117" i="46" s="1"/>
  <c r="B118" i="46"/>
  <c r="C118" i="46" s="1"/>
  <c r="I115" i="46"/>
  <c r="J115" i="46" s="1"/>
  <c r="K115" i="46" s="1"/>
  <c r="L115" i="46" s="1"/>
  <c r="M115" i="46" s="1"/>
  <c r="AY121" i="3"/>
  <c r="AY102" i="3"/>
  <c r="AY345" i="3"/>
  <c r="AY544" i="3"/>
  <c r="AY508" i="3"/>
  <c r="AY33" i="3"/>
  <c r="AY23" i="3"/>
  <c r="AY24" i="3"/>
  <c r="D3" i="6"/>
  <c r="D11" i="6" s="1"/>
  <c r="AY301" i="3"/>
  <c r="AY312" i="3"/>
  <c r="AY413" i="3"/>
  <c r="AY527" i="3"/>
  <c r="BI6" i="3"/>
  <c r="AY321" i="3"/>
  <c r="AY422" i="3"/>
  <c r="AY16" i="3"/>
  <c r="AY132" i="3"/>
  <c r="AY241" i="3"/>
  <c r="AY238" i="3"/>
  <c r="AY139" i="3"/>
  <c r="AY384" i="3"/>
  <c r="AY515" i="3"/>
  <c r="AY36" i="3"/>
  <c r="AY207" i="3"/>
  <c r="AY189" i="3"/>
  <c r="AY462" i="3"/>
  <c r="AY18" i="3"/>
  <c r="AY252" i="3"/>
  <c r="AY440" i="3"/>
  <c r="AY344" i="3"/>
  <c r="AY174" i="3"/>
  <c r="AY244" i="3"/>
  <c r="AY193" i="3"/>
  <c r="AY179" i="3"/>
  <c r="AY561" i="3"/>
  <c r="AY309" i="3"/>
  <c r="AY449" i="3"/>
  <c r="AY543" i="3"/>
  <c r="AY302" i="3"/>
  <c r="AY294" i="3"/>
  <c r="AY49" i="3"/>
  <c r="AY98" i="3"/>
  <c r="AY183" i="3"/>
  <c r="AY478" i="3"/>
  <c r="AY439" i="3"/>
  <c r="AY403" i="3"/>
  <c r="AY497" i="3"/>
  <c r="AY287" i="3"/>
  <c r="AY500" i="3"/>
  <c r="AY445" i="3"/>
  <c r="BQ6" i="3"/>
  <c r="AY329" i="3"/>
  <c r="AY69" i="3"/>
  <c r="AY466" i="3"/>
  <c r="AY305" i="3"/>
  <c r="AY50" i="3"/>
  <c r="AY343" i="3"/>
  <c r="AY234" i="3"/>
  <c r="AY103" i="3"/>
  <c r="AY510" i="3"/>
  <c r="AY547" i="3"/>
  <c r="AY532" i="3"/>
  <c r="AY334" i="3"/>
  <c r="AY185" i="3"/>
  <c r="AY503" i="3"/>
  <c r="AY378" i="3"/>
  <c r="AY58" i="3"/>
  <c r="AY283" i="3"/>
  <c r="AY290" i="3"/>
  <c r="AY494" i="3"/>
  <c r="AY409" i="3"/>
  <c r="AY66" i="3"/>
  <c r="AY56" i="3"/>
  <c r="AY214" i="3"/>
  <c r="AY243" i="3"/>
  <c r="AY200" i="3"/>
  <c r="AY469" i="3"/>
  <c r="AY106" i="3"/>
  <c r="AY143" i="3"/>
  <c r="AY486" i="3"/>
  <c r="AY319" i="3"/>
  <c r="AY276" i="3"/>
  <c r="H106" i="46"/>
  <c r="C6" i="66"/>
  <c r="C8" i="66"/>
  <c r="C7" i="66"/>
  <c r="D19" i="12"/>
  <c r="C19" i="12" s="1"/>
  <c r="C16" i="12"/>
  <c r="E64" i="39"/>
  <c r="E68" i="39" s="1"/>
  <c r="E72" i="39"/>
  <c r="F70" i="39"/>
  <c r="O8" i="1"/>
  <c r="P8" i="1" s="1"/>
  <c r="P16" i="1" s="1"/>
  <c r="C13" i="12" s="1"/>
  <c r="C14" i="12" s="1"/>
  <c r="J6" i="15"/>
  <c r="E65" i="40"/>
  <c r="D67" i="40"/>
  <c r="J7" i="21"/>
  <c r="F7" i="37"/>
  <c r="W7" i="36"/>
  <c r="AA7" i="36"/>
  <c r="R36" i="36" s="1"/>
  <c r="R37" i="36" s="1"/>
  <c r="F24" i="43"/>
  <c r="C26" i="43" s="1"/>
  <c r="D24" i="43" s="1"/>
  <c r="M16" i="1"/>
  <c r="F7" i="21"/>
  <c r="H7" i="37"/>
  <c r="J7" i="37"/>
  <c r="F12" i="40"/>
  <c r="S12" i="40" s="1"/>
  <c r="H7" i="21"/>
  <c r="J12" i="39"/>
  <c r="F12" i="39"/>
  <c r="S12" i="39" s="1"/>
  <c r="H12" i="40"/>
  <c r="D9" i="6"/>
  <c r="D20" i="6"/>
  <c r="E44" i="9"/>
  <c r="E46" i="9"/>
  <c r="D26" i="6"/>
  <c r="D8" i="6"/>
  <c r="F45" i="9"/>
  <c r="F44" i="9"/>
  <c r="D15" i="6"/>
  <c r="D24" i="6"/>
  <c r="D23" i="6"/>
  <c r="D13" i="6"/>
  <c r="D19" i="6"/>
  <c r="D28" i="6"/>
  <c r="D5" i="6"/>
  <c r="E63" i="40"/>
  <c r="D29" i="6"/>
  <c r="D6" i="6"/>
  <c r="D21" i="6"/>
  <c r="C22" i="4"/>
  <c r="D14" i="6"/>
  <c r="C15" i="12"/>
  <c r="K26" i="6"/>
  <c r="M26" i="6" s="1"/>
  <c r="I26" i="6" s="1"/>
  <c r="K22" i="6"/>
  <c r="M22" i="6" s="1"/>
  <c r="I22" i="6" s="1"/>
  <c r="K19" i="6"/>
  <c r="S6" i="1" s="1"/>
  <c r="K23" i="6"/>
  <c r="M23" i="6" s="1"/>
  <c r="I23" i="6" s="1"/>
  <c r="K20" i="6"/>
  <c r="K25" i="6"/>
  <c r="M25" i="6" s="1"/>
  <c r="I25" i="6" s="1"/>
  <c r="K24" i="6"/>
  <c r="M24" i="6" s="1"/>
  <c r="I24" i="6" s="1"/>
  <c r="K21" i="6"/>
  <c r="E31" i="6"/>
  <c r="S5" i="46"/>
  <c r="T5" i="46" s="1"/>
  <c r="V5" i="46" s="1"/>
  <c r="S3" i="46"/>
  <c r="T3" i="46" s="1"/>
  <c r="V3" i="46" s="1"/>
  <c r="S4" i="46"/>
  <c r="T4" i="46" s="1"/>
  <c r="V4" i="46" s="1"/>
  <c r="S7" i="46"/>
  <c r="T7" i="46" s="1"/>
  <c r="V7" i="46" s="1"/>
  <c r="S6" i="46"/>
  <c r="T6" i="46" s="1"/>
  <c r="V6" i="46" s="1"/>
  <c r="S2" i="46"/>
  <c r="T2" i="46" s="1"/>
  <c r="V2" i="46" s="1"/>
  <c r="I40" i="36"/>
  <c r="J40" i="36" s="1"/>
  <c r="R49" i="33"/>
  <c r="E48" i="33"/>
  <c r="G52" i="33"/>
  <c r="H52" i="33" s="1"/>
  <c r="G48" i="35"/>
  <c r="W7" i="33"/>
  <c r="AC7" i="33"/>
  <c r="V48" i="33" s="1"/>
  <c r="I48" i="33" s="1"/>
  <c r="H59" i="34"/>
  <c r="G41" i="36"/>
  <c r="H41" i="36" s="1"/>
  <c r="F41" i="15"/>
  <c r="AE7" i="1"/>
  <c r="C16" i="15"/>
  <c r="E3" i="65"/>
  <c r="E2" i="65"/>
  <c r="E36" i="36" l="1"/>
  <c r="B40" i="1"/>
  <c r="F26" i="44" s="1"/>
  <c r="C26" i="44" s="1"/>
  <c r="F17" i="11"/>
  <c r="C17" i="11" s="1"/>
  <c r="C19" i="11" s="1"/>
  <c r="C20" i="11" s="1"/>
  <c r="C21" i="11" s="1"/>
  <c r="C22" i="11" s="1"/>
  <c r="C23" i="11" s="1"/>
  <c r="B2" i="11" s="1"/>
  <c r="B3" i="11" s="1"/>
  <c r="C29" i="46"/>
  <c r="C105" i="46"/>
  <c r="C107" i="46"/>
  <c r="C102" i="46"/>
  <c r="C109" i="46"/>
  <c r="F11" i="70"/>
  <c r="F13" i="44"/>
  <c r="C12" i="44" s="1"/>
  <c r="C7" i="44" s="1"/>
  <c r="M13" i="44"/>
  <c r="J12" i="44" s="1"/>
  <c r="J7" i="44" s="1"/>
  <c r="M11" i="70"/>
  <c r="J10" i="70" s="1"/>
  <c r="J5" i="70" s="1"/>
  <c r="F11" i="15"/>
  <c r="M11" i="15"/>
  <c r="J10" i="15" s="1"/>
  <c r="J5" i="15" s="1"/>
  <c r="J26" i="15" s="1"/>
  <c r="J29" i="15" s="1"/>
  <c r="O17" i="46"/>
  <c r="P17" i="46"/>
  <c r="M17" i="46"/>
  <c r="N17" i="46"/>
  <c r="AA12" i="40"/>
  <c r="C35" i="46"/>
  <c r="C34" i="46"/>
  <c r="T10" i="46"/>
  <c r="V10" i="46" s="1"/>
  <c r="T8" i="46"/>
  <c r="V8" i="46" s="1"/>
  <c r="T15" i="46"/>
  <c r="V15" i="46" s="1"/>
  <c r="T14" i="46"/>
  <c r="V14" i="46" s="1"/>
  <c r="C38" i="46"/>
  <c r="T11" i="46"/>
  <c r="V11" i="46" s="1"/>
  <c r="C36" i="46"/>
  <c r="C39" i="46"/>
  <c r="T9" i="46"/>
  <c r="V9" i="46" s="1"/>
  <c r="T16" i="46"/>
  <c r="V16" i="46" s="1"/>
  <c r="C37" i="46"/>
  <c r="T13" i="46"/>
  <c r="V13" i="46" s="1"/>
  <c r="T12" i="46"/>
  <c r="V12" i="46" s="1"/>
  <c r="C33" i="46"/>
  <c r="E106" i="46"/>
  <c r="E103" i="46"/>
  <c r="E104" i="46"/>
  <c r="E102" i="46"/>
  <c r="H107" i="46"/>
  <c r="H103" i="46"/>
  <c r="H105" i="46"/>
  <c r="L109" i="46"/>
  <c r="L105" i="46"/>
  <c r="L107" i="46"/>
  <c r="L104" i="46"/>
  <c r="L103" i="46"/>
  <c r="L106" i="46"/>
  <c r="L102" i="46"/>
  <c r="K109" i="46"/>
  <c r="K106" i="46"/>
  <c r="K107" i="46"/>
  <c r="K102" i="46"/>
  <c r="K105" i="46"/>
  <c r="K104" i="46"/>
  <c r="K103" i="46"/>
  <c r="AC33" i="21"/>
  <c r="W33" i="21"/>
  <c r="M102" i="46"/>
  <c r="M103" i="46"/>
  <c r="M107" i="46"/>
  <c r="M104" i="46"/>
  <c r="M106" i="46"/>
  <c r="M109" i="46"/>
  <c r="M105" i="46"/>
  <c r="S33" i="21"/>
  <c r="AA33" i="21"/>
  <c r="U33" i="21"/>
  <c r="AB33" i="21"/>
  <c r="D113" i="46"/>
  <c r="G103" i="46"/>
  <c r="G107" i="46"/>
  <c r="G105" i="46"/>
  <c r="G104" i="46"/>
  <c r="G102" i="46"/>
  <c r="G106" i="46"/>
  <c r="G109" i="46"/>
  <c r="F68" i="15"/>
  <c r="U12" i="39"/>
  <c r="D10" i="6"/>
  <c r="D16" i="6" s="1"/>
  <c r="D22" i="6"/>
  <c r="D25" i="6"/>
  <c r="D12" i="6"/>
  <c r="E45" i="9"/>
  <c r="F46" i="9"/>
  <c r="K38" i="9"/>
  <c r="C14" i="66" s="1"/>
  <c r="B2" i="66" s="1"/>
  <c r="D6" i="66" s="1"/>
  <c r="W12" i="40"/>
  <c r="O16" i="1"/>
  <c r="AC7" i="37"/>
  <c r="V42" i="37" s="1"/>
  <c r="I42" i="37" s="1"/>
  <c r="W7" i="37"/>
  <c r="N16" i="1"/>
  <c r="C29" i="43" s="1"/>
  <c r="C13" i="43"/>
  <c r="E67" i="40"/>
  <c r="F65" i="40"/>
  <c r="G70" i="39"/>
  <c r="F72" i="39"/>
  <c r="U7" i="21"/>
  <c r="AB7" i="21"/>
  <c r="U7" i="37"/>
  <c r="AB7" i="37"/>
  <c r="T42" i="37" s="1"/>
  <c r="G42" i="37" s="1"/>
  <c r="AC7" i="21"/>
  <c r="V48" i="21" s="1"/>
  <c r="I48" i="21" s="1"/>
  <c r="I52" i="21" s="1"/>
  <c r="J52" i="21" s="1"/>
  <c r="W7" i="21"/>
  <c r="L16" i="1"/>
  <c r="S7" i="21"/>
  <c r="AA7" i="21"/>
  <c r="R48" i="21" s="1"/>
  <c r="AA7" i="37"/>
  <c r="R42" i="37" s="1"/>
  <c r="S7" i="37"/>
  <c r="AA12" i="39"/>
  <c r="AC12" i="39"/>
  <c r="W12" i="39"/>
  <c r="AB12" i="40"/>
  <c r="U12" i="40"/>
  <c r="A20" i="51"/>
  <c r="B15" i="63" s="1"/>
  <c r="A6" i="64"/>
  <c r="A20" i="64"/>
  <c r="A6" i="51"/>
  <c r="B7" i="63" s="1"/>
  <c r="N5" i="54"/>
  <c r="B43" i="63" s="1"/>
  <c r="D30" i="6"/>
  <c r="D7" i="66"/>
  <c r="D8" i="66"/>
  <c r="C17" i="12"/>
  <c r="C18" i="12" s="1"/>
  <c r="C23" i="12" s="1"/>
  <c r="M21" i="6"/>
  <c r="I21" i="6" s="1"/>
  <c r="S21" i="6" s="1"/>
  <c r="S8" i="1"/>
  <c r="M20" i="6"/>
  <c r="I20" i="6" s="1"/>
  <c r="H20" i="6" s="1"/>
  <c r="R20" i="6" s="1"/>
  <c r="R7" i="1" s="1"/>
  <c r="S7" i="1"/>
  <c r="H25" i="6"/>
  <c r="R25" i="6" s="1"/>
  <c r="S25" i="6"/>
  <c r="S23" i="6"/>
  <c r="H23" i="6"/>
  <c r="R23" i="6" s="1"/>
  <c r="S22" i="6"/>
  <c r="H22" i="6"/>
  <c r="H24" i="6"/>
  <c r="R24" i="6" s="1"/>
  <c r="S24" i="6"/>
  <c r="M19" i="6"/>
  <c r="K27" i="6"/>
  <c r="S26" i="6"/>
  <c r="H26" i="6"/>
  <c r="R26" i="6" s="1"/>
  <c r="C36" i="36"/>
  <c r="C37" i="36"/>
  <c r="B3" i="36" s="1"/>
  <c r="B2" i="36" s="1"/>
  <c r="I59" i="34"/>
  <c r="C49" i="33"/>
  <c r="B3" i="33" s="1"/>
  <c r="B2" i="33" s="1"/>
  <c r="C48" i="33"/>
  <c r="E41" i="36"/>
  <c r="F41" i="36" s="1"/>
  <c r="E40" i="36"/>
  <c r="F40" i="36" s="1"/>
  <c r="I52" i="33"/>
  <c r="J52" i="33" s="1"/>
  <c r="I53" i="33"/>
  <c r="J53" i="33" s="1"/>
  <c r="H48" i="35"/>
  <c r="G53" i="33"/>
  <c r="H53" i="33" s="1"/>
  <c r="E53" i="33"/>
  <c r="F53" i="33" s="1"/>
  <c r="E52" i="33"/>
  <c r="F52" i="33" s="1"/>
  <c r="I41" i="36"/>
  <c r="J41" i="36" s="1"/>
  <c r="C17" i="15"/>
  <c r="M21" i="70"/>
  <c r="F41" i="70"/>
  <c r="C17" i="70"/>
  <c r="F35" i="70"/>
  <c r="F24" i="70" l="1"/>
  <c r="C24" i="70" s="1"/>
  <c r="F26" i="12"/>
  <c r="C27" i="12" s="1"/>
  <c r="D26" i="12" s="1"/>
  <c r="C32" i="12" s="1"/>
  <c r="D30" i="12" s="1"/>
  <c r="F24" i="15"/>
  <c r="C24" i="15" s="1"/>
  <c r="F21" i="43"/>
  <c r="C23" i="43" s="1"/>
  <c r="D21" i="43" s="1"/>
  <c r="J18" i="15"/>
  <c r="J24" i="15"/>
  <c r="B5" i="11"/>
  <c r="B4" i="11"/>
  <c r="F68" i="70"/>
  <c r="J26" i="70"/>
  <c r="J29" i="70" s="1"/>
  <c r="J24" i="70"/>
  <c r="J18" i="70"/>
  <c r="E37" i="46"/>
  <c r="G37" i="46"/>
  <c r="I37" i="46" s="1"/>
  <c r="G36" i="46"/>
  <c r="I36" i="46" s="1"/>
  <c r="E36" i="46"/>
  <c r="G38" i="46"/>
  <c r="I38" i="46" s="1"/>
  <c r="E38" i="46"/>
  <c r="E35" i="46"/>
  <c r="G35" i="46"/>
  <c r="I35" i="46" s="1"/>
  <c r="C34" i="44"/>
  <c r="C40" i="44"/>
  <c r="E29" i="46"/>
  <c r="C30" i="46"/>
  <c r="E30" i="46" s="1"/>
  <c r="E33" i="46"/>
  <c r="G33" i="46"/>
  <c r="I33" i="46" s="1"/>
  <c r="E39" i="46"/>
  <c r="G39" i="46"/>
  <c r="I39" i="46" s="1"/>
  <c r="G34" i="46"/>
  <c r="I34" i="46" s="1"/>
  <c r="E34" i="46"/>
  <c r="C10" i="15"/>
  <c r="C5" i="15" s="1"/>
  <c r="C52" i="15"/>
  <c r="C47" i="15" s="1"/>
  <c r="C65" i="15" s="1"/>
  <c r="J28" i="44"/>
  <c r="J31" i="44" s="1"/>
  <c r="J20" i="44"/>
  <c r="J26" i="44"/>
  <c r="C10" i="70"/>
  <c r="C5" i="70" s="1"/>
  <c r="C33" i="70" s="1"/>
  <c r="C52" i="70"/>
  <c r="C47" i="70" s="1"/>
  <c r="C59" i="70" s="1"/>
  <c r="C59" i="15"/>
  <c r="C34" i="70"/>
  <c r="F62" i="70"/>
  <c r="C61" i="70" s="1"/>
  <c r="J20" i="70"/>
  <c r="D27" i="6"/>
  <c r="D31" i="6" s="1"/>
  <c r="I6" i="6" s="1"/>
  <c r="C11" i="34" s="1"/>
  <c r="T48" i="21"/>
  <c r="G48" i="21" s="1"/>
  <c r="G52" i="21" s="1"/>
  <c r="H52" i="21" s="1"/>
  <c r="R22" i="6"/>
  <c r="R43" i="37"/>
  <c r="E42" i="37"/>
  <c r="G65" i="40"/>
  <c r="F67" i="40"/>
  <c r="E48" i="21"/>
  <c r="I46" i="37"/>
  <c r="J46" i="37" s="1"/>
  <c r="I47" i="37"/>
  <c r="J47" i="37" s="1"/>
  <c r="H70" i="39"/>
  <c r="G72" i="39"/>
  <c r="G47" i="37"/>
  <c r="H47" i="37" s="1"/>
  <c r="G46" i="37"/>
  <c r="H46" i="37" s="1"/>
  <c r="C14" i="43"/>
  <c r="C17" i="43"/>
  <c r="S20" i="6"/>
  <c r="H21" i="6"/>
  <c r="R21" i="6" s="1"/>
  <c r="R8" i="1" s="1"/>
  <c r="I5" i="6"/>
  <c r="C13" i="39" s="1"/>
  <c r="S16" i="1"/>
  <c r="T6" i="1" s="1"/>
  <c r="M27" i="6"/>
  <c r="I19" i="6"/>
  <c r="J59" i="34"/>
  <c r="I48" i="35"/>
  <c r="J48" i="35" s="1"/>
  <c r="K48" i="35" s="1"/>
  <c r="L48" i="35" s="1"/>
  <c r="M48" i="35" s="1"/>
  <c r="N48" i="35" s="1"/>
  <c r="O48" i="35" s="1"/>
  <c r="F35" i="15"/>
  <c r="L52" i="44"/>
  <c r="F7" i="67"/>
  <c r="M21" i="15"/>
  <c r="G53" i="21" l="1"/>
  <c r="H53" i="21" s="1"/>
  <c r="R49" i="21"/>
  <c r="C49" i="21" s="1"/>
  <c r="C65" i="70"/>
  <c r="L58" i="44"/>
  <c r="L61" i="44" s="1"/>
  <c r="Q69" i="44"/>
  <c r="E4" i="67"/>
  <c r="C32" i="70"/>
  <c r="C31" i="70" s="1"/>
  <c r="C38" i="70"/>
  <c r="C27" i="46"/>
  <c r="Q67" i="44"/>
  <c r="Q58" i="44"/>
  <c r="Q49" i="44"/>
  <c r="Q55" i="44" s="1"/>
  <c r="C32" i="15"/>
  <c r="C38" i="15"/>
  <c r="C26" i="46"/>
  <c r="H7" i="35"/>
  <c r="U7" i="35" s="1"/>
  <c r="J11" i="34"/>
  <c r="H11" i="34"/>
  <c r="F11" i="34"/>
  <c r="C60" i="70"/>
  <c r="C58" i="70" s="1"/>
  <c r="F62" i="15"/>
  <c r="C61" i="15" s="1"/>
  <c r="C34" i="15"/>
  <c r="J20" i="15"/>
  <c r="E46" i="37"/>
  <c r="F46" i="37" s="1"/>
  <c r="E47" i="37"/>
  <c r="F47" i="37" s="1"/>
  <c r="I70" i="39"/>
  <c r="H72" i="39"/>
  <c r="C48" i="21"/>
  <c r="T11" i="1"/>
  <c r="C18" i="43"/>
  <c r="G67" i="40"/>
  <c r="H65" i="40"/>
  <c r="C43" i="37"/>
  <c r="B3" i="37" s="1"/>
  <c r="B2" i="37" s="1"/>
  <c r="C42" i="37"/>
  <c r="I53" i="21"/>
  <c r="J53" i="21" s="1"/>
  <c r="E52" i="21"/>
  <c r="F52" i="21" s="1"/>
  <c r="E53" i="21"/>
  <c r="F53" i="21" s="1"/>
  <c r="T9" i="1"/>
  <c r="T10" i="1"/>
  <c r="T13" i="1"/>
  <c r="T12" i="1"/>
  <c r="H13" i="39"/>
  <c r="J13" i="39"/>
  <c r="F13" i="39"/>
  <c r="T8" i="1"/>
  <c r="T7" i="1"/>
  <c r="S19" i="6"/>
  <c r="S27" i="6" s="1"/>
  <c r="I27" i="6"/>
  <c r="H19" i="6"/>
  <c r="J7" i="35"/>
  <c r="K59" i="34"/>
  <c r="F7" i="35"/>
  <c r="E7" i="67"/>
  <c r="C14" i="70"/>
  <c r="C14" i="15"/>
  <c r="C16" i="44"/>
  <c r="E3" i="67" l="1"/>
  <c r="B2" i="46"/>
  <c r="Q68" i="44"/>
  <c r="Q77" i="44" s="1"/>
  <c r="Q59" i="44"/>
  <c r="Q64" i="44" s="1"/>
  <c r="C15" i="70"/>
  <c r="C18" i="70"/>
  <c r="W11" i="34"/>
  <c r="AC11" i="34"/>
  <c r="AB11" i="34"/>
  <c r="U11" i="34"/>
  <c r="AB7" i="35"/>
  <c r="T38" i="35" s="1"/>
  <c r="G38" i="35" s="1"/>
  <c r="S11" i="34"/>
  <c r="AA11" i="34"/>
  <c r="B3" i="21"/>
  <c r="B2" i="21" s="1"/>
  <c r="C8" i="12"/>
  <c r="C10" i="12" s="1"/>
  <c r="C15" i="15"/>
  <c r="C18" i="15"/>
  <c r="C20" i="44"/>
  <c r="C17" i="44"/>
  <c r="I72" i="39"/>
  <c r="J70" i="39"/>
  <c r="C19" i="43"/>
  <c r="C25" i="43" s="1"/>
  <c r="C24" i="43" s="1"/>
  <c r="I65" i="40"/>
  <c r="H67" i="40"/>
  <c r="T16" i="1"/>
  <c r="AC13" i="39"/>
  <c r="W13" i="39"/>
  <c r="AA13" i="39"/>
  <c r="S13" i="39"/>
  <c r="AB13" i="39"/>
  <c r="U13" i="39"/>
  <c r="R19" i="6"/>
  <c r="H27" i="6"/>
  <c r="AC7" i="35"/>
  <c r="V38" i="35" s="1"/>
  <c r="I38" i="35" s="1"/>
  <c r="W7" i="35"/>
  <c r="AA7" i="35"/>
  <c r="R38" i="35" s="1"/>
  <c r="S7" i="35"/>
  <c r="L59" i="34"/>
  <c r="G42" i="35"/>
  <c r="H42" i="35" s="1"/>
  <c r="B7" i="67"/>
  <c r="G43" i="35" l="1"/>
  <c r="H43" i="35" s="1"/>
  <c r="B2" i="67"/>
  <c r="B3" i="46"/>
  <c r="D4" i="46"/>
  <c r="B4" i="46"/>
  <c r="C19" i="70"/>
  <c r="C20" i="70" s="1"/>
  <c r="C26" i="70" s="1"/>
  <c r="C21" i="44"/>
  <c r="C22" i="44" s="1"/>
  <c r="C25" i="44" s="1"/>
  <c r="C22" i="43"/>
  <c r="C21" i="43" s="1"/>
  <c r="C28" i="43" s="1"/>
  <c r="C30" i="43" s="1"/>
  <c r="C32" i="43" s="1"/>
  <c r="B2" i="43" s="1"/>
  <c r="B5" i="43" s="1"/>
  <c r="C19" i="15"/>
  <c r="C20" i="15" s="1"/>
  <c r="C23" i="15" s="1"/>
  <c r="I67" i="40"/>
  <c r="J65" i="40"/>
  <c r="K70" i="39"/>
  <c r="J72" i="39"/>
  <c r="R27" i="6"/>
  <c r="R6" i="1"/>
  <c r="R16" i="1" s="1"/>
  <c r="M59" i="34"/>
  <c r="R39" i="35"/>
  <c r="E38" i="35"/>
  <c r="I43" i="35" s="1"/>
  <c r="J43" i="35" s="1"/>
  <c r="I42" i="35"/>
  <c r="J42" i="35" s="1"/>
  <c r="B3" i="67" l="1"/>
  <c r="B4" i="67"/>
  <c r="C23" i="70"/>
  <c r="C29" i="70" s="1"/>
  <c r="C28" i="44"/>
  <c r="C31" i="44" s="1"/>
  <c r="C15" i="44" s="1"/>
  <c r="B4" i="43"/>
  <c r="B3" i="43"/>
  <c r="C26" i="15"/>
  <c r="C29" i="15" s="1"/>
  <c r="J19" i="15" s="1"/>
  <c r="J17" i="15" s="1"/>
  <c r="K72" i="39"/>
  <c r="L70" i="39"/>
  <c r="J67" i="40"/>
  <c r="K65" i="40"/>
  <c r="E43" i="35"/>
  <c r="F43" i="35" s="1"/>
  <c r="E42" i="35"/>
  <c r="F42" i="35" s="1"/>
  <c r="C38" i="35"/>
  <c r="C39" i="35"/>
  <c r="B3" i="35" s="1"/>
  <c r="B2" i="35" s="1"/>
  <c r="N59" i="34"/>
  <c r="C36" i="70" l="1"/>
  <c r="C13" i="70"/>
  <c r="C56" i="70"/>
  <c r="C63" i="70" s="1"/>
  <c r="J19" i="70"/>
  <c r="J17" i="70" s="1"/>
  <c r="Q50" i="70"/>
  <c r="J14" i="70"/>
  <c r="J59" i="70"/>
  <c r="J60" i="70" s="1"/>
  <c r="Q49" i="70" s="1"/>
  <c r="J16" i="44"/>
  <c r="J15" i="44" s="1"/>
  <c r="J25" i="44" s="1"/>
  <c r="Q51" i="44"/>
  <c r="C35" i="44"/>
  <c r="C33" i="44" s="1"/>
  <c r="J21" i="44"/>
  <c r="J19" i="44" s="1"/>
  <c r="C38" i="44"/>
  <c r="Q50" i="15"/>
  <c r="C33" i="15"/>
  <c r="C31" i="15" s="1"/>
  <c r="C36" i="15"/>
  <c r="C13" i="15"/>
  <c r="C37" i="15" s="1"/>
  <c r="J14" i="15"/>
  <c r="J13" i="15" s="1"/>
  <c r="J23" i="15" s="1"/>
  <c r="J59" i="15"/>
  <c r="J60" i="15" s="1"/>
  <c r="Q49" i="15" s="1"/>
  <c r="C56" i="15"/>
  <c r="C63" i="15" s="1"/>
  <c r="M70" i="39"/>
  <c r="L72" i="39"/>
  <c r="K67" i="40"/>
  <c r="L65" i="40"/>
  <c r="L46" i="15"/>
  <c r="C43" i="44"/>
  <c r="Q72" i="44"/>
  <c r="C39" i="44"/>
  <c r="J24" i="44"/>
  <c r="O59" i="34"/>
  <c r="J13" i="70" l="1"/>
  <c r="J23" i="70" s="1"/>
  <c r="J22" i="70"/>
  <c r="J35" i="70"/>
  <c r="Q71" i="70"/>
  <c r="C37" i="70"/>
  <c r="C30" i="70" s="1"/>
  <c r="C39" i="70" s="1"/>
  <c r="C55" i="70"/>
  <c r="C64" i="70" s="1"/>
  <c r="C57" i="70" s="1"/>
  <c r="C66" i="70" s="1"/>
  <c r="C67" i="70" s="1"/>
  <c r="Q71" i="15"/>
  <c r="C32" i="44"/>
  <c r="C42" i="44" s="1"/>
  <c r="C44" i="44" s="1"/>
  <c r="C45" i="44" s="1"/>
  <c r="B2" i="44" s="1"/>
  <c r="C55" i="15"/>
  <c r="C64" i="15" s="1"/>
  <c r="J22" i="15"/>
  <c r="J16" i="15" s="1"/>
  <c r="J25" i="15" s="1"/>
  <c r="J35" i="15"/>
  <c r="C60" i="15"/>
  <c r="C58" i="15" s="1"/>
  <c r="C30" i="15"/>
  <c r="C39" i="15" s="1"/>
  <c r="Q70" i="15" s="1"/>
  <c r="M65" i="40"/>
  <c r="L67" i="40"/>
  <c r="M72" i="39"/>
  <c r="N70" i="39"/>
  <c r="N72" i="39" s="1"/>
  <c r="J18" i="44"/>
  <c r="J27" i="44" s="1"/>
  <c r="L57" i="15"/>
  <c r="L60" i="15" s="1"/>
  <c r="J7" i="34"/>
  <c r="H7" i="34"/>
  <c r="F7" i="34"/>
  <c r="L51" i="70"/>
  <c r="J16" i="70" l="1"/>
  <c r="J25" i="70" s="1"/>
  <c r="Q68" i="70"/>
  <c r="C70" i="70"/>
  <c r="Q70" i="70"/>
  <c r="Q69" i="70" s="1"/>
  <c r="C40" i="70"/>
  <c r="C46" i="70" s="1"/>
  <c r="J39" i="70"/>
  <c r="J40" i="70" s="1"/>
  <c r="Q69" i="15"/>
  <c r="C40" i="15"/>
  <c r="Q57" i="15" s="1"/>
  <c r="C57" i="15"/>
  <c r="C66" i="15" s="1"/>
  <c r="C67" i="15" s="1"/>
  <c r="C70" i="15" s="1"/>
  <c r="Q71" i="44"/>
  <c r="Q70" i="44" s="1"/>
  <c r="J39" i="15"/>
  <c r="J40" i="15" s="1"/>
  <c r="H9" i="39"/>
  <c r="F9" i="39"/>
  <c r="J9" i="39"/>
  <c r="M67" i="40"/>
  <c r="N65" i="40"/>
  <c r="N67" i="40" s="1"/>
  <c r="J9" i="40" s="1"/>
  <c r="B4" i="44"/>
  <c r="B3" i="44"/>
  <c r="B5" i="44"/>
  <c r="Q58" i="15"/>
  <c r="Q67" i="15"/>
  <c r="AB7" i="34"/>
  <c r="T49" i="34" s="1"/>
  <c r="G49" i="34" s="1"/>
  <c r="U7" i="34"/>
  <c r="S7" i="34"/>
  <c r="AA7" i="34"/>
  <c r="R49" i="34" s="1"/>
  <c r="W7" i="34"/>
  <c r="AC7" i="34"/>
  <c r="V49" i="34" s="1"/>
  <c r="I49" i="34" s="1"/>
  <c r="L51" i="15"/>
  <c r="Q48" i="70" l="1"/>
  <c r="Q54" i="70" s="1"/>
  <c r="Q66" i="70"/>
  <c r="Q76" i="70" s="1"/>
  <c r="B2" i="70"/>
  <c r="B3" i="70" s="1"/>
  <c r="D8" i="12" s="1"/>
  <c r="D10" i="12" s="1"/>
  <c r="C43" i="70"/>
  <c r="Q57" i="70"/>
  <c r="Q63" i="70" s="1"/>
  <c r="J42" i="70"/>
  <c r="J43" i="70" s="1"/>
  <c r="Q68" i="15"/>
  <c r="Q48" i="15"/>
  <c r="Q54" i="15" s="1"/>
  <c r="C46" i="15"/>
  <c r="C43" i="15"/>
  <c r="B2" i="15"/>
  <c r="B3" i="15" s="1"/>
  <c r="Q66" i="15"/>
  <c r="Q76" i="15" s="1"/>
  <c r="Q63" i="15"/>
  <c r="J42" i="15"/>
  <c r="J43" i="15" s="1"/>
  <c r="AC9" i="40"/>
  <c r="V44" i="40" s="1"/>
  <c r="I44" i="40" s="1"/>
  <c r="W9" i="40"/>
  <c r="AC9" i="39"/>
  <c r="V49" i="39" s="1"/>
  <c r="I49" i="39" s="1"/>
  <c r="W9" i="39"/>
  <c r="AB9" i="39"/>
  <c r="T49" i="39" s="1"/>
  <c r="G49" i="39" s="1"/>
  <c r="G53" i="39" s="1"/>
  <c r="H53" i="39" s="1"/>
  <c r="U9" i="39"/>
  <c r="S9" i="39"/>
  <c r="AA9" i="39"/>
  <c r="R49" i="39" s="1"/>
  <c r="H9" i="40"/>
  <c r="F9" i="40"/>
  <c r="I53" i="34"/>
  <c r="J53" i="34" s="1"/>
  <c r="R50" i="34"/>
  <c r="E49" i="34"/>
  <c r="G53" i="34"/>
  <c r="H53" i="34" s="1"/>
  <c r="G54" i="34"/>
  <c r="H54" i="34" s="1"/>
  <c r="AB9" i="40" l="1"/>
  <c r="T44" i="40" s="1"/>
  <c r="G44" i="40" s="1"/>
  <c r="U9" i="40"/>
  <c r="I48" i="40"/>
  <c r="J48" i="40" s="1"/>
  <c r="S9" i="40"/>
  <c r="AA9" i="40"/>
  <c r="R44" i="40" s="1"/>
  <c r="G54" i="39"/>
  <c r="H54" i="39" s="1"/>
  <c r="I53" i="39"/>
  <c r="J53" i="39" s="1"/>
  <c r="E49" i="39"/>
  <c r="R50" i="39"/>
  <c r="E54" i="34"/>
  <c r="F54" i="34" s="1"/>
  <c r="E53" i="34"/>
  <c r="F53" i="34" s="1"/>
  <c r="I54" i="34"/>
  <c r="J54" i="34" s="1"/>
  <c r="C50" i="34"/>
  <c r="C49" i="34"/>
  <c r="B3" i="34" l="1"/>
  <c r="B2" i="34" s="1"/>
  <c r="E10" i="12" s="1"/>
  <c r="C6" i="12" s="1"/>
  <c r="E8" i="12"/>
  <c r="G49" i="40"/>
  <c r="H49" i="40" s="1"/>
  <c r="G48" i="40"/>
  <c r="H48" i="40" s="1"/>
  <c r="C49" i="39"/>
  <c r="C50" i="39"/>
  <c r="R45" i="40"/>
  <c r="E44" i="40"/>
  <c r="I54" i="39"/>
  <c r="J54" i="39" s="1"/>
  <c r="E54" i="39"/>
  <c r="F54" i="39" s="1"/>
  <c r="E53" i="39"/>
  <c r="F53" i="39" s="1"/>
  <c r="C24" i="12" l="1"/>
  <c r="C29" i="12"/>
  <c r="E49" i="40"/>
  <c r="F49" i="40" s="1"/>
  <c r="E48" i="40"/>
  <c r="F48" i="40" s="1"/>
  <c r="I49" i="40"/>
  <c r="J49" i="40" s="1"/>
  <c r="C45" i="40"/>
  <c r="C44" i="40"/>
  <c r="B64" i="39"/>
  <c r="F64" i="39" s="1"/>
  <c r="B58" i="39"/>
  <c r="F58" i="39" s="1"/>
  <c r="B67" i="39"/>
  <c r="F67" i="39" s="1"/>
  <c r="B66" i="39"/>
  <c r="F66" i="39" s="1"/>
  <c r="B59" i="39"/>
  <c r="F59" i="39" s="1"/>
  <c r="B60" i="39"/>
  <c r="F60" i="39" s="1"/>
  <c r="B65" i="39"/>
  <c r="F65" i="39" s="1"/>
  <c r="B62" i="39"/>
  <c r="F62" i="39" s="1"/>
  <c r="B61" i="39"/>
  <c r="F61" i="39" s="1"/>
  <c r="B63" i="39"/>
  <c r="F63" i="39" s="1"/>
  <c r="C35" i="12" l="1"/>
  <c r="C33" i="12" s="1"/>
  <c r="C28" i="12"/>
  <c r="C26" i="12" s="1"/>
  <c r="C31" i="12" s="1"/>
  <c r="C30" i="12" s="1"/>
  <c r="B55" i="40"/>
  <c r="F55" i="40" s="1"/>
  <c r="B60" i="40"/>
  <c r="F60" i="40" s="1"/>
  <c r="B62" i="40"/>
  <c r="F62" i="40" s="1"/>
  <c r="B54" i="40"/>
  <c r="F54" i="40" s="1"/>
  <c r="B56" i="40"/>
  <c r="F56" i="40" s="1"/>
  <c r="B57" i="40"/>
  <c r="F57" i="40" s="1"/>
  <c r="B59" i="40"/>
  <c r="F59" i="40" s="1"/>
  <c r="F63" i="40"/>
  <c r="B2" i="40" s="1"/>
  <c r="B61" i="40"/>
  <c r="F61" i="40" s="1"/>
  <c r="B53" i="40"/>
  <c r="F53" i="40" s="1"/>
  <c r="B58" i="40"/>
  <c r="F58" i="40" s="1"/>
  <c r="F68" i="39"/>
  <c r="B2" i="39" s="1"/>
  <c r="C19" i="9"/>
  <c r="C36" i="12" l="1"/>
  <c r="B2" i="12" s="1"/>
  <c r="B3" i="12" s="1"/>
  <c r="L43" i="9"/>
  <c r="B5" i="39"/>
  <c r="B4" i="39"/>
  <c r="B3" i="39"/>
  <c r="B3" i="40"/>
  <c r="B5" i="40"/>
  <c r="B4" i="40"/>
  <c r="C20" i="9"/>
  <c r="D20" i="9"/>
  <c r="D19" i="9"/>
  <c r="C21" i="9"/>
  <c r="B4" i="12" l="1"/>
  <c r="B5" i="12"/>
  <c r="L44" i="9"/>
  <c r="G19" i="9"/>
  <c r="N43" i="9" s="1"/>
  <c r="D22" i="9"/>
  <c r="G20" i="9"/>
  <c r="R24" i="31" s="1"/>
  <c r="D21" i="9"/>
  <c r="C32" i="9" l="1"/>
  <c r="C34" i="9" s="1"/>
  <c r="G21" i="9"/>
  <c r="G22" i="9"/>
  <c r="S24" i="31"/>
  <c r="R25" i="31"/>
  <c r="S25" i="31" s="1"/>
  <c r="O38" i="9" l="1"/>
  <c r="K26" i="9" s="1"/>
  <c r="O43" i="9"/>
  <c r="C33" i="9"/>
  <c r="D42" i="9" s="1"/>
  <c r="Q5" i="54" s="1"/>
  <c r="B47" i="63" s="1"/>
  <c r="C35" i="9"/>
  <c r="F42" i="9" s="1"/>
  <c r="C42" i="9"/>
  <c r="N68" i="9" s="1"/>
  <c r="S22" i="31"/>
  <c r="M38" i="9"/>
  <c r="K27" i="9" s="1"/>
  <c r="E42" i="9"/>
  <c r="P5" i="54" s="1"/>
  <c r="B46" i="63" s="1"/>
  <c r="N38" i="9" l="1"/>
  <c r="K28" i="9" s="1"/>
  <c r="D63" i="9"/>
  <c r="C82" i="9" s="1"/>
  <c r="C81" i="9" s="1"/>
  <c r="C85" i="9" s="1"/>
  <c r="C86" i="9" s="1"/>
  <c r="D72" i="9" s="1"/>
  <c r="K25" i="9"/>
  <c r="R5" i="54"/>
  <c r="B48" i="63" s="1"/>
  <c r="D14" i="66"/>
  <c r="E14" i="66" s="1"/>
  <c r="R22" i="31"/>
  <c r="B21" i="31" s="1"/>
  <c r="B20" i="31"/>
  <c r="D71" i="9" l="1"/>
  <c r="D66" i="9" s="1"/>
  <c r="N72" i="9" s="1"/>
  <c r="D77" i="9"/>
  <c r="N75" i="9" s="1"/>
  <c r="D70" i="9"/>
  <c r="C111" i="9"/>
  <c r="C104" i="9" s="1"/>
  <c r="C103" i="9"/>
  <c r="C96" i="9"/>
  <c r="C91" i="9" s="1"/>
  <c r="C90" i="9"/>
  <c r="F14" i="66"/>
  <c r="C97" i="9" l="1"/>
  <c r="C98" i="9" s="1"/>
  <c r="E98" i="9" s="1"/>
  <c r="E99" i="9" s="1"/>
  <c r="C113" i="9"/>
  <c r="C114" i="9" s="1"/>
  <c r="E114" i="9" s="1"/>
  <c r="E115" i="9" s="1"/>
  <c r="C99" i="9" l="1"/>
  <c r="C115" i="9"/>
  <c r="D76" i="9" s="1"/>
  <c r="D74" i="9" s="1"/>
  <c r="N74" i="9" s="1"/>
  <c r="O77" i="9" s="1"/>
  <c r="O78" i="9" l="1"/>
  <c r="O79" i="9"/>
  <c r="Q77" i="9"/>
  <c r="O80" i="9" l="1"/>
  <c r="O81" i="9"/>
  <c r="D15" i="66" l="1"/>
  <c r="E15" i="66" l="1"/>
  <c r="F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A2" authorId="0">
      <text>
        <r>
          <rPr>
            <b/>
            <sz val="9"/>
            <color indexed="81"/>
            <rFont val="宋体"/>
            <family val="3"/>
            <charset val="134"/>
          </rPr>
          <t>USER:</t>
        </r>
        <r>
          <rPr>
            <sz val="9"/>
            <color indexed="81"/>
            <rFont val="宋体"/>
            <family val="3"/>
            <charset val="134"/>
          </rPr>
          <t xml:space="preserve">
20%公租房</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<sst xmlns="http://schemas.openxmlformats.org/spreadsheetml/2006/main" count="7697" uniqueCount="3184">
  <si>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</si>
  <si>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</si>
  <si>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</si>
  <si>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</si>
  <si>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</si>
  <si>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</si>
  <si>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</si>
  <si>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</si>
  <si>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</si>
  <si>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</si>
  <si>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</si>
  <si>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</si>
  <si>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</si>
  <si>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</si>
  <si>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</si>
  <si>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</si>
  <si>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</si>
  <si>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</si>
  <si>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</si>
  <si>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</si>
  <si>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</si>
  <si>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</si>
  <si>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</si>
  <si>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</si>
  <si>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</si>
  <si>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</si>
  <si>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</si>
  <si>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</si>
  <si>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</si>
  <si>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</si>
  <si>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</si>
  <si>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</si>
  <si>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</si>
  <si>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</si>
  <si>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</si>
  <si>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</si>
  <si>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</si>
  <si>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</si>
  <si>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</si>
  <si>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</si>
  <si>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</si>
  <si>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</si>
  <si>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</si>
  <si>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</si>
  <si>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</si>
  <si>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</si>
  <si>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</si>
  <si>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</si>
  <si>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</si>
  <si>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</si>
  <si>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</si>
  <si>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</si>
  <si>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</si>
  <si>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</si>
  <si>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</si>
  <si>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</si>
  <si>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</si>
  <si>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</si>
  <si>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</si>
  <si>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</si>
  <si>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</si>
  <si>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</si>
  <si>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</si>
  <si>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</si>
  <si>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</si>
  <si>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</si>
  <si>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</si>
  <si>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</si>
  <si>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</si>
  <si>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</si>
  <si>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</si>
  <si>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</si>
  <si>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</si>
  <si>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</si>
  <si>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</si>
  <si>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</si>
  <si>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</si>
  <si>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</si>
  <si>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</si>
  <si>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</si>
  <si>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</si>
  <si>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</si>
  <si>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</si>
  <si>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</si>
  <si>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</si>
  <si>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</si>
  <si>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</si>
  <si>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</si>
  <si>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</si>
  <si>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</si>
  <si>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</si>
  <si>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</si>
  <si>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</si>
  <si>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</si>
  <si>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</si>
  <si>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</si>
  <si>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</si>
  <si>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</si>
  <si>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</si>
  <si>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</si>
  <si>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</si>
  <si>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</si>
  <si>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</si>
  <si>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</si>
  <si>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</si>
  <si>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</si>
  <si>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</si>
  <si>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</si>
  <si>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</si>
  <si>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</si>
  <si>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</si>
  <si>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</si>
  <si>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</si>
  <si>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</si>
  <si>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</si>
  <si>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</si>
  <si>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</si>
  <si>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</si>
  <si>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</si>
  <si>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</si>
  <si>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</si>
  <si>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</si>
  <si>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</si>
  <si>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</si>
  <si>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</si>
  <si>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</si>
  <si>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</si>
  <si>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</si>
  <si>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</si>
  <si>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</si>
  <si>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</si>
  <si>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</si>
  <si>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</si>
  <si>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</si>
  <si>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</si>
  <si>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</si>
  <si>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</si>
  <si>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</si>
  <si>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</si>
  <si>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</si>
  <si>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</si>
  <si>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</si>
  <si>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</si>
  <si>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</si>
  <si>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</si>
  <si>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</si>
  <si>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</si>
  <si>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</si>
  <si>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</si>
  <si>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</si>
  <si>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</si>
  <si>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</si>
  <si>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</si>
  <si>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</si>
  <si>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</si>
  <si>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</si>
  <si>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</si>
  <si>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</si>
  <si>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</si>
  <si>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</si>
  <si>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</si>
  <si>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</si>
  <si>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</si>
  <si>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</si>
  <si>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</si>
  <si>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</si>
  <si>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</si>
  <si>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</si>
  <si>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</si>
  <si>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</si>
  <si>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</si>
  <si>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</si>
  <si>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</si>
  <si>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</si>
  <si>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</si>
  <si>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</si>
  <si>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</si>
  <si>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</si>
  <si>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</si>
  <si>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</si>
  <si>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</si>
  <si>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</si>
  <si>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</si>
  <si>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</si>
  <si>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</si>
  <si>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</si>
  <si>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</si>
  <si>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</si>
  <si>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</si>
  <si>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</si>
  <si>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</si>
  <si>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</si>
  <si>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</si>
  <si>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</si>
  <si>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</si>
  <si>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</si>
  <si>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</si>
  <si>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</si>
  <si>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</si>
  <si>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</si>
  <si>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</si>
  <si>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</si>
  <si>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</si>
  <si>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</si>
  <si>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</si>
  <si>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</si>
  <si>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</si>
  <si>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</si>
  <si>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</si>
  <si>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</si>
  <si>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</si>
  <si>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</si>
  <si>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</si>
  <si>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</si>
  <si>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</si>
  <si>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</si>
  <si>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</si>
  <si>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</si>
  <si>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</si>
  <si>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</si>
  <si>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</si>
  <si>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</si>
  <si>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</si>
  <si>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</si>
  <si>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</si>
  <si>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</si>
  <si>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</si>
  <si>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</si>
  <si>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</si>
  <si>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</si>
  <si>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</si>
  <si>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</si>
  <si>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</si>
  <si>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</si>
  <si>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</si>
  <si>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</si>
  <si>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</si>
  <si>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</si>
  <si>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</si>
  <si>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</si>
  <si>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</si>
  <si>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</si>
  <si>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</si>
  <si>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</si>
  <si>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</si>
  <si>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</si>
  <si>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</si>
  <si>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</si>
  <si>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</si>
  <si>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</si>
  <si>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</si>
  <si>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</si>
  <si>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</si>
  <si>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</si>
  <si>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</si>
  <si>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</si>
  <si>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</si>
  <si>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</si>
  <si>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</si>
  <si>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</si>
  <si>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</si>
  <si>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</si>
  <si>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</si>
  <si>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</si>
  <si>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</si>
  <si>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</si>
  <si>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</si>
  <si>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</si>
  <si>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</si>
  <si>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</si>
  <si>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</si>
  <si>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</si>
  <si>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</si>
  <si>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</si>
  <si>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</si>
  <si>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</si>
  <si>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</si>
  <si>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</si>
  <si>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</si>
  <si>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</si>
  <si>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</si>
  <si>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</si>
  <si>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</si>
  <si>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</si>
  <si>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</si>
  <si>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</si>
  <si>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</si>
  <si>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</si>
  <si>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</si>
  <si>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</si>
  <si>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</si>
  <si>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</si>
  <si>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</si>
  <si>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</si>
  <si>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</si>
  <si>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</si>
  <si>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</si>
  <si>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</si>
  <si>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</si>
  <si>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</si>
  <si>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</si>
  <si>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</si>
  <si>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</si>
  <si>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</si>
  <si>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</si>
  <si>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</si>
  <si>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</si>
  <si>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</si>
  <si>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</si>
  <si>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</si>
  <si>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</si>
  <si>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</si>
  <si>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</si>
  <si>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</si>
  <si>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</si>
  <si>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</si>
  <si>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</si>
  <si>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</si>
  <si>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</si>
  <si>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</si>
  <si>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</si>
  <si>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</si>
  <si>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</si>
  <si>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</si>
  <si>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</si>
  <si>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</si>
  <si>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</si>
  <si>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</si>
  <si>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</si>
  <si>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</si>
  <si>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</si>
  <si>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</si>
  <si>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</si>
  <si>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</si>
  <si>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</si>
  <si>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</si>
  <si>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</si>
  <si>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</si>
  <si>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</si>
  <si>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</si>
  <si>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</si>
  <si>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</si>
  <si>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</si>
  <si>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</si>
  <si>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</si>
  <si>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</si>
  <si>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</si>
  <si>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</si>
  <si>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</si>
  <si>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</si>
  <si>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</si>
  <si>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</si>
  <si>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</si>
  <si>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</si>
  <si>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</si>
  <si>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</si>
  <si>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</si>
  <si>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</si>
  <si>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</si>
  <si>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</si>
  <si>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</si>
  <si>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</si>
  <si>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</si>
  <si>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</si>
  <si>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</si>
  <si>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</si>
  <si>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</si>
  <si>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</si>
  <si>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</si>
  <si>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</si>
  <si>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</si>
  <si>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</si>
  <si>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</si>
  <si>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</si>
  <si>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</si>
  <si>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</si>
  <si>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</si>
  <si>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</si>
  <si>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</si>
  <si>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</si>
  <si>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</si>
  <si>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</si>
  <si>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</si>
  <si>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</si>
  <si>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</si>
  <si>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</si>
  <si>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</si>
  <si>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</si>
  <si>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</si>
  <si>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</si>
  <si>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</si>
  <si>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</si>
  <si>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</si>
  <si>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</si>
  <si>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</si>
  <si>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</si>
  <si>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</si>
  <si>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</si>
  <si>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</si>
  <si>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</si>
  <si>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</si>
  <si>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</si>
  <si>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</si>
  <si>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</si>
  <si>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</si>
  <si>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</si>
  <si>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</si>
  <si>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</si>
  <si>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</si>
  <si>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</si>
  <si>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</si>
  <si>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</si>
  <si>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</si>
  <si>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</si>
  <si>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</si>
  <si>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</si>
  <si>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</si>
  <si>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</si>
  <si>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</si>
  <si>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</si>
  <si>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</si>
  <si>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</si>
  <si>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</si>
  <si>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</si>
  <si>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</si>
  <si>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</si>
  <si>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</si>
  <si>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</si>
  <si>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</si>
  <si>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</si>
  <si>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</si>
  <si>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</si>
  <si>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</si>
  <si>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</si>
  <si>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</si>
  <si>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</si>
  <si>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</si>
  <si>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</si>
  <si>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</si>
  <si>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</si>
  <si>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</si>
  <si>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</si>
  <si>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</si>
  <si>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</si>
  <si>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</si>
  <si>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</si>
  <si>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</si>
  <si>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</si>
  <si>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</si>
  <si>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</si>
  <si>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</si>
  <si>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</si>
  <si>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</si>
  <si>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</si>
  <si>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</si>
  <si>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</si>
  <si>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</si>
  <si>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</si>
  <si>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</si>
  <si>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</si>
  <si>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</si>
  <si>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</si>
  <si>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</si>
  <si>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</si>
  <si>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</si>
  <si>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</si>
  <si>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</si>
  <si>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</si>
  <si>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</si>
  <si>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</si>
  <si>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</si>
  <si>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</si>
  <si>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</si>
  <si>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</si>
  <si>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</si>
  <si>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</si>
  <si>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</si>
  <si>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</si>
  <si>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</si>
  <si>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</si>
  <si>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</si>
  <si>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</si>
  <si>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</si>
  <si>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</si>
  <si>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</si>
  <si>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</si>
  <si>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</si>
  <si>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</si>
  <si>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</si>
  <si>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</si>
  <si>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</si>
  <si>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</si>
  <si>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</si>
  <si>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</si>
  <si>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</si>
  <si>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</si>
  <si>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</si>
  <si>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</si>
  <si>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</si>
  <si>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</si>
  <si>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</si>
  <si>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</si>
  <si>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</si>
  <si>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</si>
  <si>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</si>
  <si>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</si>
  <si>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</si>
  <si>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</si>
  <si>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</si>
  <si>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</si>
  <si>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</si>
  <si>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</si>
  <si>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</si>
  <si>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</si>
  <si>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</si>
  <si>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</si>
  <si>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</si>
  <si>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</si>
  <si>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</si>
  <si>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</si>
  <si>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</si>
  <si>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</si>
  <si>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</si>
  <si>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</si>
  <si>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</si>
  <si>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</si>
  <si>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</si>
  <si>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</si>
  <si>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</si>
  <si>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</si>
  <si>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</si>
  <si>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</si>
  <si>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</si>
  <si>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</si>
  <si>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</si>
  <si>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</si>
  <si>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</si>
  <si>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</si>
  <si>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</si>
  <si>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</si>
  <si>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</si>
  <si>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</si>
  <si>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</si>
  <si>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</si>
  <si>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</si>
  <si>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</si>
  <si>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</si>
  <si>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</si>
  <si>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</si>
  <si>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</si>
  <si>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</si>
  <si>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</si>
  <si>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</si>
  <si>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</si>
  <si>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</si>
  <si>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</si>
  <si>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</si>
  <si>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</si>
  <si>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</si>
  <si>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</si>
  <si>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</si>
  <si>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</si>
  <si>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</si>
  <si>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</si>
  <si>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</si>
  <si>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</si>
  <si>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</si>
  <si>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</si>
  <si>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</si>
  <si>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</si>
  <si>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</si>
  <si>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</si>
  <si>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</si>
  <si>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</si>
  <si>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</si>
  <si>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</si>
  <si>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</si>
  <si>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</si>
  <si>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</si>
  <si>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</si>
  <si>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</si>
  <si>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</si>
  <si>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</si>
  <si>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</si>
  <si>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</si>
  <si>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</si>
  <si>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</si>
  <si>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</si>
  <si>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</si>
  <si>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</si>
  <si>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</si>
  <si>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</si>
  <si>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</si>
  <si>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</si>
  <si>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</si>
  <si>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</si>
  <si>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</si>
  <si>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</si>
  <si>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</si>
  <si>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</si>
  <si>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</si>
  <si>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</si>
  <si>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</si>
  <si>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</si>
  <si>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</si>
  <si>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</si>
  <si>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</si>
  <si>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</si>
  <si>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</si>
  <si>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</si>
  <si>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</si>
  <si>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</si>
  <si>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</si>
  <si>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</si>
  <si>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</si>
  <si>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</si>
  <si>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</si>
  <si>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</si>
  <si>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</si>
  <si>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</si>
  <si>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</si>
  <si>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</si>
  <si>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</si>
  <si>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</si>
  <si>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</si>
  <si>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</si>
  <si>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</si>
  <si>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</si>
  <si>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</si>
  <si>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</si>
  <si>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</si>
  <si>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</si>
  <si>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</si>
  <si>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</si>
  <si>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</si>
  <si>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</si>
  <si>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</si>
  <si>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</si>
  <si>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</si>
  <si>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</si>
  <si>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</si>
  <si>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</si>
  <si>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</si>
  <si>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</si>
  <si>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</si>
  <si>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</si>
  <si>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</si>
  <si>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</si>
  <si>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</si>
  <si>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</si>
  <si>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</si>
  <si>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</si>
  <si>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</si>
  <si>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</si>
  <si>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</si>
  <si>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</si>
  <si>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</si>
  <si>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</si>
  <si>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</si>
  <si>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</si>
  <si>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</si>
  <si>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</si>
  <si>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</si>
  <si>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</si>
  <si>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</si>
  <si>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</si>
  <si>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</si>
  <si>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</si>
  <si>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</si>
  <si>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</si>
  <si>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</si>
  <si>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</si>
  <si>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</si>
  <si>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</si>
  <si>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</si>
  <si>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</si>
  <si>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</si>
  <si>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</si>
  <si>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</si>
  <si>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</si>
  <si>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</si>
  <si>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</si>
  <si>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</si>
  <si>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</si>
  <si>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</si>
  <si>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</si>
  <si>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</si>
  <si>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</si>
  <si>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</si>
  <si>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</si>
  <si>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</si>
  <si>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</si>
  <si>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</si>
  <si>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</si>
  <si>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</si>
  <si>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</si>
  <si>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</si>
  <si>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</si>
  <si>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</si>
  <si>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</si>
  <si>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</si>
  <si>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</si>
  <si>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</si>
  <si>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</si>
  <si>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</si>
  <si>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</si>
  <si>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</si>
  <si>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</si>
  <si>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</si>
  <si>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</si>
  <si>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</si>
  <si>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</si>
  <si>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</si>
  <si>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</si>
  <si>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</si>
  <si>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</si>
  <si>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</si>
  <si>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</si>
  <si>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</si>
  <si>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</si>
  <si>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</si>
  <si>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</si>
  <si>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</si>
  <si>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</si>
  <si>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</si>
  <si>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</si>
  <si>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</si>
  <si>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</si>
  <si>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</si>
  <si>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</si>
  <si>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</si>
  <si>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</si>
  <si>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</si>
  <si>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</si>
  <si>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</si>
  <si>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</si>
  <si>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</si>
  <si>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</si>
  <si>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</si>
  <si>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</si>
  <si>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</si>
  <si>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</si>
  <si>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</si>
  <si>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</si>
  <si>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</si>
  <si>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</si>
  <si>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</si>
  <si>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</si>
  <si>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</si>
  <si>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</si>
  <si>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</si>
  <si>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</si>
  <si>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</si>
  <si>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</si>
  <si>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</si>
  <si>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</si>
  <si>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</si>
  <si>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</si>
  <si>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</si>
  <si>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</si>
  <si>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</si>
  <si>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</si>
  <si>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</si>
  <si>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</si>
  <si>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</si>
  <si>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</si>
  <si>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</si>
  <si>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</si>
  <si>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</si>
  <si>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</si>
  <si>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</si>
  <si>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</si>
  <si>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</si>
  <si>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</si>
  <si>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</si>
  <si>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</si>
  <si>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</si>
  <si>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</si>
  <si>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</si>
  <si>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</si>
  <si>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</si>
  <si>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</si>
  <si>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</si>
  <si>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</si>
  <si>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</si>
  <si>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</si>
  <si>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</si>
  <si>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</si>
  <si>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</si>
  <si>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</si>
  <si>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</si>
  <si>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</si>
  <si>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</si>
  <si>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</si>
  <si>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</si>
  <si>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</si>
  <si>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</si>
  <si>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</si>
  <si>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</si>
  <si>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</si>
  <si>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</si>
  <si>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</si>
  <si>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</si>
  <si>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</si>
  <si>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</si>
  <si>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</si>
  <si>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</si>
  <si>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</si>
  <si>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</si>
  <si>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</si>
  <si>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</si>
  <si>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</si>
  <si>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</si>
  <si>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</si>
  <si>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</si>
  <si>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</si>
  <si>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</si>
  <si>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</si>
  <si>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</si>
  <si>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</si>
  <si>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</si>
  <si>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</si>
  <si>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</si>
  <si>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</si>
  <si>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</si>
  <si>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</si>
  <si>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</si>
  <si>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</si>
  <si>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</si>
  <si>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</si>
  <si>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</si>
  <si>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</si>
  <si>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</si>
  <si>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</si>
  <si>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</si>
  <si>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</si>
  <si>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</si>
  <si>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</si>
  <si>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</si>
  <si>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</si>
  <si>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</si>
  <si>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</si>
  <si>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</si>
  <si>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</si>
  <si>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</si>
  <si>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</si>
  <si>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</si>
  <si>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</si>
  <si>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</si>
  <si>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</si>
  <si>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</si>
  <si>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</si>
  <si>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</si>
  <si>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</si>
  <si>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</si>
  <si>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</si>
  <si>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</si>
  <si>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</si>
  <si>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</si>
  <si>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</si>
  <si>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</si>
  <si>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</si>
  <si>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</si>
  <si>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</si>
  <si>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</si>
  <si>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</si>
  <si>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</si>
  <si>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</si>
  <si>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</si>
  <si>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</si>
  <si>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</si>
  <si>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</si>
  <si>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</si>
  <si>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</si>
  <si>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</si>
  <si>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</si>
  <si>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</si>
  <si>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</si>
  <si>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</si>
  <si>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</si>
  <si>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</si>
  <si>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</si>
  <si>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</si>
  <si>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</si>
  <si>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</si>
  <si>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</si>
  <si>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</si>
  <si>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</si>
  <si>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</si>
  <si>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</si>
  <si>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</si>
  <si>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</si>
  <si>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</si>
  <si>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</si>
  <si>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</si>
  <si>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</si>
  <si>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</si>
  <si>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</si>
  <si>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</si>
  <si>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</si>
  <si>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</si>
  <si>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</si>
  <si>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</si>
  <si>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</si>
  <si>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</si>
  <si>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</si>
  <si>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</si>
  <si>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</si>
  <si>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</si>
  <si>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</si>
  <si>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</si>
  <si>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</si>
  <si>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</si>
  <si>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</si>
  <si>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</si>
  <si>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</si>
  <si>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</si>
  <si>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</si>
  <si>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</si>
  <si>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</si>
  <si>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</si>
  <si>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</si>
  <si>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</si>
  <si>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</si>
  <si>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</si>
  <si>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</si>
  <si>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</si>
  <si>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</si>
  <si>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</si>
  <si>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</si>
  <si>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</si>
  <si>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</si>
  <si>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</si>
  <si>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</si>
  <si>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</si>
  <si>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</si>
  <si>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</si>
  <si>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</si>
  <si>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</si>
  <si>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</si>
  <si>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</si>
  <si>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</si>
  <si>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</si>
  <si>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</si>
  <si>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</si>
  <si>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</si>
  <si>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</si>
  <si>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</si>
  <si>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</si>
  <si>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</si>
  <si>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</si>
  <si>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</si>
  <si>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</si>
  <si>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</si>
  <si>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</si>
  <si>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</si>
  <si>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</si>
  <si>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</si>
  <si>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</si>
  <si>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</si>
  <si>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</si>
  <si>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</si>
  <si>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</si>
  <si>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</si>
  <si>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</si>
  <si>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</si>
  <si>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</si>
  <si>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</si>
  <si>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</si>
  <si>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</si>
  <si>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</si>
  <si>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</si>
  <si>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</si>
  <si>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</si>
  <si>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</si>
  <si>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</si>
  <si>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</si>
  <si>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</si>
  <si>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</si>
  <si>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</si>
  <si>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</si>
  <si>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</si>
  <si>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</si>
  <si>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</si>
  <si>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</si>
  <si>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</si>
  <si>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</si>
  <si>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</si>
  <si>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</si>
  <si>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</si>
  <si>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</si>
  <si>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</si>
  <si>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</si>
  <si>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</si>
  <si>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</si>
  <si>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</si>
  <si>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</si>
  <si>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</si>
  <si>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</si>
  <si>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</si>
  <si>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</si>
  <si>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</si>
  <si>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</si>
  <si>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</si>
  <si>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</si>
  <si>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</si>
  <si>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</si>
  <si>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</si>
  <si>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</si>
  <si>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</si>
  <si>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</si>
  <si>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</si>
  <si>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</si>
  <si>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</si>
  <si>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</si>
  <si>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</si>
  <si>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</si>
  <si>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</si>
  <si>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</si>
  <si>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</si>
  <si>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</si>
  <si>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</si>
  <si>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</si>
  <si>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</si>
  <si>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</si>
  <si>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</si>
  <si>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</si>
  <si>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</si>
  <si>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</si>
  <si>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</si>
  <si>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</si>
  <si>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</si>
  <si>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</si>
  <si>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</si>
  <si>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</si>
  <si>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</si>
  <si>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</si>
  <si>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</si>
  <si>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</si>
  <si>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</si>
  <si>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</si>
  <si>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</si>
  <si>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</si>
  <si>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</si>
  <si>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</si>
  <si>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</si>
  <si>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</si>
  <si>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</si>
  <si>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</si>
  <si>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</si>
  <si>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</si>
  <si>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</si>
  <si>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</si>
  <si>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</si>
  <si>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</si>
  <si>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</si>
  <si>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</si>
  <si>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</si>
  <si>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</si>
  <si>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</si>
  <si>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</si>
  <si>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</si>
  <si>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</si>
  <si>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</si>
  <si>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</si>
  <si>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</si>
  <si>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</si>
  <si>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</si>
  <si>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</si>
  <si>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</si>
  <si>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</si>
  <si>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</si>
  <si>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</si>
  <si>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</si>
  <si>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</si>
  <si>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</si>
  <si>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</si>
  <si>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</si>
  <si>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</si>
  <si>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</si>
  <si>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</si>
  <si>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</si>
  <si>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</si>
  <si>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</si>
  <si>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</si>
  <si>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</si>
  <si>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</si>
  <si>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</si>
  <si>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</si>
  <si>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</si>
  <si>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</si>
  <si>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</si>
  <si>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</si>
  <si>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</si>
  <si>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</si>
  <si>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</si>
  <si>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</si>
  <si>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</si>
  <si>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</si>
  <si>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</si>
  <si>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</si>
  <si>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</si>
  <si>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</si>
  <si>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</si>
  <si>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</si>
  <si>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</si>
  <si>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</si>
  <si>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</si>
  <si>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</si>
  <si>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</si>
  <si>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</si>
  <si>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</si>
  <si>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</si>
  <si>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</si>
  <si>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</si>
  <si>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</si>
  <si>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</si>
  <si>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</si>
  <si>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</si>
  <si>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</si>
  <si>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</si>
  <si>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</si>
  <si>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</si>
  <si>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</si>
  <si>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</si>
  <si>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</si>
  <si>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</si>
  <si>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</si>
  <si>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</si>
  <si>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</si>
  <si>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</si>
  <si>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</si>
  <si>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</si>
  <si>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</si>
  <si>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</si>
  <si>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</si>
  <si>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</si>
  <si>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</si>
  <si>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</si>
  <si>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</si>
  <si>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</si>
  <si>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</si>
  <si>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</si>
  <si>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</si>
  <si>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</si>
  <si>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</si>
  <si>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</si>
  <si>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</si>
  <si>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</si>
  <si>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</si>
  <si>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</si>
  <si>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</si>
  <si>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</si>
  <si>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</si>
  <si>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</si>
  <si>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</si>
  <si>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</si>
  <si>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</si>
  <si>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</si>
  <si>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</si>
  <si>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</si>
  <si>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</si>
  <si>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</si>
  <si>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</si>
  <si>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</si>
  <si>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</si>
  <si>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</si>
  <si>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</si>
  <si>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</si>
  <si>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</si>
  <si>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</si>
  <si>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</si>
  <si>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</si>
  <si>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</si>
  <si>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</si>
  <si>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</si>
  <si>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</si>
  <si>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</si>
  <si>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</si>
  <si>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</si>
  <si>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</si>
  <si>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</si>
  <si>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</si>
  <si>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</si>
  <si>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</si>
  <si>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</si>
  <si>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</si>
  <si>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</si>
  <si>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</si>
  <si>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</si>
  <si>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</si>
  <si>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</si>
  <si>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</si>
  <si>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</si>
  <si>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</si>
  <si>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</si>
  <si>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</si>
  <si>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</si>
  <si>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</si>
  <si>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</si>
  <si>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</si>
  <si>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</si>
  <si>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</si>
  <si>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</si>
  <si>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</si>
  <si>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</si>
  <si>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</si>
  <si>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</si>
  <si>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</si>
  <si>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</si>
  <si>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</si>
  <si>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</si>
  <si>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</si>
  <si>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</si>
  <si>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</si>
  <si>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</si>
  <si>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</si>
  <si>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</si>
  <si>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</si>
  <si>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</si>
  <si>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</si>
  <si>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</si>
  <si>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</si>
  <si>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</si>
  <si>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</si>
  <si>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</si>
  <si>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</si>
  <si>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</si>
  <si>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</si>
  <si>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</si>
  <si>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</si>
  <si>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</si>
  <si>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</si>
  <si>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</si>
  <si>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</si>
  <si>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</si>
  <si>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</si>
  <si>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</si>
  <si>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</si>
  <si>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</si>
  <si>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</si>
  <si>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</si>
  <si>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</si>
  <si>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</si>
  <si>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</si>
  <si>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</si>
  <si>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</si>
  <si>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</si>
  <si>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</si>
  <si>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</si>
  <si>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</si>
  <si>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</si>
  <si>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</si>
  <si>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</si>
  <si>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</si>
  <si>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</si>
  <si>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</si>
  <si>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</si>
  <si>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</si>
  <si>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</si>
  <si>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</si>
  <si>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</si>
  <si>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</si>
  <si>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</si>
  <si>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</si>
  <si>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</si>
  <si>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</si>
  <si>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</si>
  <si>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</si>
  <si>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</si>
  <si>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</si>
  <si>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</si>
  <si>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</si>
  <si>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</si>
  <si>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</si>
  <si>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</si>
  <si>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</si>
  <si>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</si>
  <si>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</si>
  <si>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</si>
  <si>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</si>
  <si>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</si>
  <si>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</si>
  <si>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</si>
  <si>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</si>
  <si>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</si>
  <si>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</si>
  <si>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</si>
  <si>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</si>
  <si>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</si>
  <si>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</si>
  <si>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</si>
  <si>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</si>
  <si>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</si>
  <si>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</si>
  <si>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</si>
  <si>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</si>
  <si>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</si>
  <si>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</si>
  <si>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</si>
  <si>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</si>
  <si>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</si>
  <si>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</si>
  <si>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</si>
  <si>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</si>
  <si>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</si>
  <si>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</si>
  <si>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</si>
  <si>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</si>
  <si>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</si>
  <si>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</si>
  <si>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</si>
  <si>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</si>
  <si>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</si>
  <si>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</si>
  <si>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</si>
  <si>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</si>
  <si>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</si>
  <si>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</si>
  <si>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</si>
  <si>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</si>
  <si>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</si>
  <si>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</si>
  <si>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</si>
  <si>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</si>
  <si>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</si>
  <si>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</si>
  <si>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</si>
  <si>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</si>
  <si>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</si>
  <si>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</si>
  <si>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</si>
  <si>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</si>
  <si>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</si>
  <si>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</si>
  <si>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</si>
  <si>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</si>
  <si>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</si>
  <si>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</si>
  <si>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</si>
  <si>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</si>
  <si>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</si>
  <si>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</si>
  <si>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</si>
  <si>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</si>
  <si>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</si>
  <si>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</si>
  <si>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</si>
  <si>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</si>
  <si>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</si>
  <si>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</si>
  <si>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</si>
  <si>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</si>
  <si>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</si>
  <si>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</si>
  <si>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</si>
  <si>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</si>
  <si>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</si>
  <si>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</si>
  <si>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</si>
  <si>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</si>
  <si>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</si>
  <si>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</si>
  <si>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</si>
  <si>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</si>
  <si>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</si>
  <si>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</si>
  <si>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</si>
  <si>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</si>
  <si>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</si>
  <si>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</si>
  <si>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</si>
  <si>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</si>
  <si>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</si>
  <si>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</si>
  <si>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</si>
  <si>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</si>
  <si>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</si>
  <si>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</si>
  <si>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</si>
  <si>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</si>
  <si>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</si>
  <si>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</si>
  <si>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</si>
  <si>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</si>
  <si>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</si>
  <si>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</si>
  <si>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</si>
  <si>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</si>
  <si>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</si>
  <si>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</si>
  <si>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</si>
  <si>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</si>
  <si>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</si>
  <si>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</si>
  <si>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</si>
  <si>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</si>
  <si>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</si>
  <si>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</si>
  <si>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</si>
  <si>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</si>
  <si>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</si>
  <si>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</si>
  <si>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</si>
  <si>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</si>
  <si>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</si>
  <si>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</si>
  <si>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</si>
  <si>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</si>
  <si>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</si>
  <si>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</si>
  <si>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</si>
  <si>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</si>
  <si>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</si>
  <si>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</si>
  <si>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</si>
  <si>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</si>
  <si>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</si>
  <si>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</si>
  <si>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</si>
  <si>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</si>
  <si>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</si>
  <si>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</si>
  <si>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</si>
  <si>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</si>
  <si>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</si>
  <si>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</si>
  <si>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</si>
  <si>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</si>
  <si>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</si>
  <si>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</si>
  <si>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</si>
  <si>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</si>
  <si>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</si>
  <si>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</si>
  <si>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</si>
  <si>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</si>
  <si>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</si>
  <si>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</si>
  <si>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</si>
  <si>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</si>
  <si>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</si>
  <si>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</si>
  <si>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</si>
  <si>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</si>
  <si>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</si>
  <si>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</si>
  <si>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</si>
  <si>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</si>
  <si>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</si>
  <si>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</si>
  <si>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</si>
  <si>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</si>
  <si>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</si>
  <si>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</si>
  <si>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</si>
  <si>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</si>
  <si>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</si>
  <si>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</si>
  <si>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</si>
  <si>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</si>
  <si>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</si>
  <si>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</si>
  <si>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</si>
  <si>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</si>
  <si>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</si>
  <si>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</si>
  <si>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</si>
  <si>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</si>
  <si>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</si>
  <si>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</si>
  <si>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</si>
  <si>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</si>
  <si>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</si>
  <si>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</si>
  <si>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</si>
  <si>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</si>
  <si>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</si>
  <si>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</si>
  <si>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</si>
  <si>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</si>
  <si>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</si>
  <si>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</si>
  <si>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</si>
  <si>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</si>
  <si>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</si>
  <si>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</si>
  <si>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</si>
  <si>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</si>
  <si>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</si>
  <si>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</si>
  <si>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</si>
  <si>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</si>
  <si>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</si>
  <si>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</si>
  <si>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</si>
  <si>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</si>
  <si>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</si>
  <si>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</si>
  <si>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</si>
  <si>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</si>
  <si>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</si>
  <si>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</si>
  <si>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</si>
  <si>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</si>
  <si>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</si>
  <si>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</si>
  <si>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</si>
  <si>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</si>
  <si>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</si>
  <si>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</si>
  <si>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</si>
  <si>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</si>
  <si>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</si>
  <si>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</si>
  <si>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</si>
  <si>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</si>
  <si>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</si>
  <si>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</si>
  <si>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</si>
  <si>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</si>
  <si>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</si>
  <si>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</si>
  <si>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</si>
  <si>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</si>
  <si>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</si>
  <si>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</si>
  <si>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</si>
  <si>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</si>
  <si>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</si>
  <si>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</si>
  <si>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</si>
  <si>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</si>
  <si>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</si>
  <si>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</si>
  <si>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</si>
  <si>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</si>
  <si>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</si>
  <si>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</si>
  <si>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</si>
  <si>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</si>
  <si>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</si>
  <si>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</si>
  <si>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</si>
  <si>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</si>
  <si>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</si>
  <si>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</si>
  <si>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</si>
  <si>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</si>
  <si>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</si>
  <si>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</si>
  <si>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</si>
  <si>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</si>
  <si>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</si>
  <si>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</si>
  <si>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</si>
  <si>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</si>
  <si>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</si>
  <si>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</si>
  <si>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</si>
  <si>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</si>
  <si>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</si>
  <si>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</si>
  <si>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</si>
  <si>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</si>
  <si>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</si>
  <si>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</si>
  <si>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</si>
  <si>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</si>
  <si>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</si>
  <si>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</si>
  <si>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</si>
  <si>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</si>
  <si>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</si>
  <si>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</si>
  <si>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</si>
  <si>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</si>
  <si>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</si>
  <si>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</si>
  <si>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</si>
  <si>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</si>
  <si>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</si>
  <si>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</si>
  <si>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</si>
  <si>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</si>
  <si>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</si>
  <si>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</si>
  <si>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</si>
  <si>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</si>
  <si>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</si>
  <si>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</si>
  <si>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</si>
  <si>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</si>
  <si>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</si>
  <si>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</si>
  <si>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</si>
  <si>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</si>
  <si>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</si>
  <si>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</si>
  <si>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</si>
  <si>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</si>
  <si>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</si>
  <si>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</si>
  <si>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</si>
  <si>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</si>
  <si>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</si>
  <si>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</si>
  <si>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</si>
  <si>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</si>
  <si>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</si>
  <si>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</si>
  <si>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</si>
  <si>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</si>
  <si>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</si>
  <si>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</si>
  <si>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</si>
  <si>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</si>
  <si>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</si>
  <si>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</si>
  <si>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</si>
  <si>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</si>
  <si>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</si>
  <si>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</si>
  <si>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</si>
  <si>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</si>
  <si>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</si>
  <si>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</si>
  <si>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</si>
  <si>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</si>
  <si>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</si>
  <si>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</si>
  <si>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</si>
  <si>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</si>
  <si>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</si>
  <si>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</si>
  <si>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</si>
  <si>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</si>
  <si>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</si>
  <si>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</si>
  <si>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</si>
  <si>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</si>
  <si>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</si>
  <si>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</si>
  <si>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</si>
  <si>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</si>
  <si>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</si>
  <si>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</si>
  <si>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</si>
  <si>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</si>
  <si>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</si>
  <si>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</si>
  <si>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</si>
  <si>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</si>
  <si>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</si>
  <si>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</si>
  <si>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</si>
  <si>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</si>
  <si>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</si>
  <si>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</si>
  <si>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</si>
  <si>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</si>
  <si>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</si>
  <si>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</si>
  <si>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</si>
  <si>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</si>
  <si>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</si>
  <si>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</si>
  <si>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</si>
  <si>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</si>
  <si>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</si>
  <si>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</si>
  <si>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</si>
  <si>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</si>
  <si>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</si>
  <si>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</si>
  <si>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</si>
  <si>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</si>
  <si>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</si>
  <si>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</si>
  <si>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</si>
  <si>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</si>
  <si>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</si>
  <si>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</si>
  <si>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</si>
  <si>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</si>
  <si>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</si>
  <si>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</si>
  <si>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</si>
  <si>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</si>
  <si>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</si>
  <si>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</si>
  <si>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</si>
  <si>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</si>
  <si>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</si>
  <si>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</si>
  <si>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</si>
  <si>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</si>
  <si>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</si>
  <si>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</si>
  <si>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</si>
  <si>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</si>
  <si>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</si>
  <si>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</si>
  <si>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</si>
  <si>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</si>
  <si>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</si>
  <si>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</si>
  <si>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</si>
  <si>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</si>
  <si>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</si>
  <si>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</si>
  <si>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</si>
  <si>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</si>
  <si>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</si>
  <si>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</si>
  <si>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</si>
  <si>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</si>
  <si>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</si>
  <si>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</si>
  <si>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</si>
  <si>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</si>
  <si>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</si>
  <si>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</si>
  <si>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</si>
  <si>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</si>
  <si>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</si>
  <si>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</si>
  <si>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</si>
  <si>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</si>
  <si>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</si>
  <si>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</si>
  <si>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</si>
  <si>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</si>
  <si>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</si>
  <si>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</si>
  <si>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</si>
  <si>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</si>
  <si>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</si>
  <si>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</si>
  <si>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</si>
  <si>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</si>
  <si>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</si>
  <si>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</si>
  <si>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</si>
  <si>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</si>
  <si>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</si>
  <si>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</si>
  <si>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</si>
  <si>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</si>
  <si>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</si>
  <si>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</si>
  <si>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</si>
  <si>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</si>
  <si>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</si>
  <si>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</si>
  <si>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</si>
  <si>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</si>
  <si>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</si>
  <si>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</si>
  <si>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</si>
  <si>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</si>
  <si>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</si>
  <si>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</si>
  <si>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</si>
  <si>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</si>
  <si>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</si>
  <si>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</si>
  <si>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</si>
  <si>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</si>
  <si>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</si>
  <si>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</si>
  <si>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</si>
  <si>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</si>
  <si>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</si>
  <si>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</si>
  <si>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</si>
  <si>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</si>
  <si>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</si>
  <si>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</si>
  <si>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</si>
  <si>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</si>
  <si>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</si>
  <si>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</si>
  <si>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</si>
  <si>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</si>
  <si>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</si>
  <si>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</si>
  <si>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</si>
  <si>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</si>
  <si>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</si>
  <si>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</si>
  <si>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</si>
  <si>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</si>
  <si>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</si>
  <si>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</si>
  <si>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</si>
  <si>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</si>
  <si>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</si>
  <si>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</si>
  <si>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</si>
  <si>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</si>
  <si>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</si>
  <si>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</si>
  <si>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</si>
  <si>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</si>
  <si>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</si>
  <si>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</si>
  <si>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</si>
  <si>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</si>
  <si>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</si>
  <si>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</si>
  <si>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</si>
  <si>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</si>
  <si>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</si>
  <si>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</si>
  <si>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</si>
  <si>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</si>
  <si>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</si>
  <si>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</si>
  <si>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</si>
  <si>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</si>
  <si>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</si>
  <si>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</si>
  <si>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</si>
  <si>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</si>
  <si>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</si>
  <si>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</si>
  <si>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</si>
  <si>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</si>
  <si>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</si>
  <si>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</si>
  <si>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</si>
  <si>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</si>
  <si>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</si>
  <si>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</si>
  <si>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</si>
  <si>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</si>
  <si>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</si>
  <si>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</si>
  <si>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</si>
  <si>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</si>
  <si>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</si>
  <si>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</si>
  <si>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</si>
  <si>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</si>
  <si>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</si>
  <si>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</si>
  <si>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</si>
  <si>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</si>
  <si>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</si>
  <si>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</si>
  <si>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</si>
  <si>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</si>
  <si>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</si>
  <si>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</si>
  <si>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</si>
  <si>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</si>
  <si>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</si>
  <si>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</si>
  <si>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</si>
  <si>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</si>
  <si>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</si>
  <si>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</si>
  <si>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</si>
  <si>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</si>
  <si>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</si>
  <si>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</si>
  <si>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</si>
  <si>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</si>
  <si>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</si>
  <si>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</si>
  <si>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</si>
  <si>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</si>
  <si>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</si>
  <si>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</si>
  <si>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</si>
  <si>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</si>
  <si>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</si>
  <si>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</si>
  <si>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</si>
  <si>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</si>
  <si>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</si>
  <si>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</si>
  <si>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</si>
  <si>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</si>
  <si>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</si>
  <si>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</si>
  <si>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</si>
  <si>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</si>
  <si>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</si>
  <si>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</si>
  <si>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</si>
  <si>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</si>
  <si>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</si>
  <si>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</si>
  <si>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</si>
  <si>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</si>
  <si>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</si>
  <si>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</si>
  <si>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</si>
  <si>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</si>
  <si>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</si>
  <si>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</si>
  <si>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</si>
  <si>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</si>
  <si>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</si>
  <si>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</si>
  <si>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</si>
  <si>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</si>
  <si>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</si>
  <si>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</si>
  <si>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</si>
  <si>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</si>
  <si>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</si>
  <si>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</si>
  <si>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</si>
  <si>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</si>
  <si>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</si>
  <si>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</si>
  <si>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</si>
  <si>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</si>
  <si>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</si>
  <si>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</si>
  <si>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</si>
  <si>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</si>
  <si>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</si>
  <si>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</si>
  <si>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</si>
  <si>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</si>
  <si>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</si>
  <si>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</si>
  <si>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</si>
  <si>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</si>
  <si>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</si>
  <si>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</si>
  <si>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</si>
  <si>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</si>
  <si>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</si>
  <si>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</si>
  <si>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</si>
  <si>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</si>
  <si>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</si>
  <si>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</si>
  <si>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</si>
  <si>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</si>
  <si>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</si>
  <si>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</si>
  <si>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</si>
  <si>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</si>
  <si>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</si>
  <si>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</si>
  <si>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</si>
  <si>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</si>
  <si>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</si>
  <si>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</si>
  <si>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</si>
  <si>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</si>
  <si>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</si>
  <si>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</si>
  <si>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</si>
  <si>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</si>
  <si>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</si>
  <si>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</si>
  <si>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</si>
  <si>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</si>
  <si>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</si>
  <si>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</si>
  <si>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</si>
  <si>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</si>
  <si>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</si>
  <si>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</si>
  <si>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</si>
  <si>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</si>
  <si>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</si>
  <si>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</si>
  <si>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</si>
  <si>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</si>
  <si>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</si>
  <si>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</si>
  <si>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</si>
  <si>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</si>
  <si>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</si>
  <si>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</si>
  <si>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</si>
  <si>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</si>
  <si>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</si>
  <si>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</si>
  <si>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</si>
  <si>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</si>
  <si>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</si>
  <si>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</si>
  <si>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</si>
  <si>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</si>
  <si>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</si>
  <si>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</si>
  <si>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</si>
  <si>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</si>
  <si>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</si>
  <si>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</si>
  <si>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</si>
  <si>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</si>
  <si>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</si>
  <si>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</si>
  <si>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</si>
  <si>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</si>
  <si>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</si>
  <si>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</si>
  <si>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</si>
  <si>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</si>
  <si>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</si>
  <si>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</si>
  <si>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</si>
  <si>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</si>
  <si>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</si>
  <si>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</si>
  <si>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</si>
  <si>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</si>
  <si>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</si>
  <si>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</si>
  <si>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</si>
  <si>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</si>
  <si>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</si>
  <si>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</si>
  <si>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</si>
  <si>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</si>
  <si>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</si>
  <si>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</si>
  <si>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</si>
  <si>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</si>
  <si>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</si>
  <si>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</si>
  <si>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</si>
  <si>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</si>
  <si>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</si>
  <si>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</si>
  <si>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</si>
  <si>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</si>
  <si>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</si>
  <si>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</si>
  <si>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</si>
  <si>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</si>
  <si>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</si>
  <si>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</si>
  <si>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</si>
  <si>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</si>
  <si>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</si>
  <si>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</si>
  <si>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</si>
  <si>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</si>
  <si>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</si>
  <si>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</si>
  <si>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</si>
  <si>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</si>
  <si>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</si>
  <si>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</si>
  <si>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</si>
  <si>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</si>
  <si>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</si>
  <si>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</si>
  <si>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</si>
  <si>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</si>
  <si>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</si>
  <si>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</si>
  <si>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</si>
  <si>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</si>
  <si>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</si>
  <si>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</si>
  <si>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</si>
  <si>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</si>
  <si>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</si>
  <si>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</si>
  <si>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</si>
  <si>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</si>
  <si>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</si>
  <si>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</si>
  <si>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</si>
  <si>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</si>
  <si>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</si>
  <si>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</si>
  <si>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</si>
  <si>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</si>
  <si>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</si>
  <si>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</si>
  <si>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</si>
  <si>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</si>
  <si>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</si>
  <si>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</si>
  <si>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</si>
  <si>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</si>
  <si>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</si>
  <si>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</si>
  <si>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</si>
  <si>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</si>
  <si>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</si>
  <si>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</si>
  <si>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</si>
  <si>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</si>
  <si>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</si>
  <si>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</si>
  <si>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</si>
  <si>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</si>
  <si>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</si>
  <si>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</si>
  <si>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</si>
  <si>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</si>
  <si>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</si>
  <si>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</si>
  <si>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</si>
  <si>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</si>
  <si>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</si>
  <si>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</si>
  <si>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</si>
  <si>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</si>
  <si>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</si>
  <si>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</si>
  <si>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</si>
  <si>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</si>
  <si>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</si>
  <si>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</si>
  <si>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</si>
  <si>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</si>
  <si>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</si>
  <si>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</si>
  <si>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</si>
  <si>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</si>
  <si>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</si>
  <si>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</si>
  <si>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</si>
  <si>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</si>
  <si>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</si>
  <si>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</si>
  <si>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</si>
  <si>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</si>
  <si>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</si>
  <si>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</si>
  <si>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</si>
  <si>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</si>
  <si>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</si>
  <si>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</si>
  <si>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</si>
  <si>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</si>
  <si>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</si>
  <si>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</si>
  <si>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</si>
  <si>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</si>
  <si>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</si>
  <si>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</si>
  <si>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</si>
  <si>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</si>
  <si>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</si>
  <si>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</si>
  <si>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</si>
  <si>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</si>
  <si>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</si>
  <si>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</si>
  <si>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</si>
  <si>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</si>
  <si>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</si>
  <si>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</si>
  <si>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</si>
  <si>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</si>
  <si>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</si>
  <si>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</si>
  <si>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</si>
  <si>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</si>
  <si>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</si>
  <si>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</si>
  <si>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</si>
  <si>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</si>
  <si>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</si>
  <si>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</si>
  <si>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</si>
  <si>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</si>
  <si>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</si>
  <si>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</si>
  <si>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</si>
  <si>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</si>
  <si>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</si>
  <si>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</si>
  <si>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</si>
  <si>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</si>
  <si>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</si>
  <si>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</si>
  <si>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</si>
  <si>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</si>
  <si>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</si>
  <si>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</si>
  <si>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</si>
  <si>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</si>
  <si>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</si>
  <si>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</si>
  <si>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</si>
  <si>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</si>
  <si>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</si>
  <si>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</si>
  <si>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</si>
  <si>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</si>
  <si>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</si>
  <si>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</si>
  <si>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</si>
  <si>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</si>
  <si>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</si>
  <si>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</si>
  <si>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</si>
  <si>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</si>
  <si>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</si>
  <si>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</si>
  <si>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</si>
  <si>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</si>
  <si>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</si>
  <si>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</si>
  <si>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</si>
  <si>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</si>
  <si>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</si>
  <si>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</si>
  <si>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</si>
  <si>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</si>
  <si>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</si>
  <si>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</si>
  <si>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</si>
  <si>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</si>
  <si>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</si>
  <si>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</si>
  <si>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</si>
  <si>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</si>
  <si>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</si>
  <si>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</si>
  <si>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</si>
  <si>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</si>
  <si>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</si>
  <si>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</si>
  <si>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</si>
  <si>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</si>
  <si>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</si>
  <si>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</si>
  <si>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</si>
  <si>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</si>
  <si>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</si>
  <si>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</si>
  <si>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</si>
  <si>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</si>
  <si>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</si>
  <si>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</si>
  <si>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</si>
  <si>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</si>
  <si>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</si>
  <si>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</si>
  <si>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</si>
  <si>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</si>
  <si>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</si>
  <si>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</si>
  <si>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</si>
  <si>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</si>
  <si>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</si>
  <si>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</si>
  <si>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</si>
  <si>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</si>
  <si>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</si>
  <si>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</si>
  <si>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</si>
  <si>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</si>
  <si>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</si>
  <si>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</si>
  <si>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</si>
  <si>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</si>
  <si>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</si>
  <si>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</si>
  <si>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</si>
  <si>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</si>
  <si>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</si>
  <si>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</si>
  <si>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</si>
  <si>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</si>
  <si>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</si>
  <si>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</si>
  <si>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</si>
  <si>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</si>
  <si>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</si>
  <si>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</si>
  <si>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</si>
  <si>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</si>
  <si>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</si>
  <si>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</si>
  <si>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</si>
  <si>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</si>
  <si>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</si>
  <si>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</si>
  <si>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</si>
  <si>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</si>
  <si>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</si>
  <si>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</si>
  <si>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</si>
  <si>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</si>
  <si>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</si>
  <si>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</si>
  <si>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</si>
  <si>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</si>
  <si>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</si>
  <si>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</si>
  <si>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</si>
  <si>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</si>
  <si>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</si>
  <si>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</si>
  <si>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</si>
  <si>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</si>
  <si>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</si>
  <si>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</si>
  <si>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</si>
  <si>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</si>
  <si>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</si>
  <si>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</si>
  <si>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</si>
  <si>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</si>
  <si>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</si>
  <si>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</si>
  <si>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</si>
  <si>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</si>
  <si>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</si>
  <si>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</si>
  <si>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</si>
  <si>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</si>
  <si>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</si>
  <si>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</si>
  <si>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</si>
  <si>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</si>
  <si>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</si>
  <si>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</si>
  <si>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</si>
  <si>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</si>
  <si>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</si>
  <si>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</si>
  <si>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</si>
  <si>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</si>
  <si>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</si>
  <si>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</si>
  <si>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</si>
  <si>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</si>
  <si>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</si>
  <si>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</si>
  <si>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</si>
  <si>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</si>
  <si>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</si>
  <si>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</si>
  <si>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</si>
  <si>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</si>
  <si>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</si>
  <si>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</si>
  <si>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</si>
  <si>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</si>
  <si>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</si>
  <si>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</si>
  <si>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</si>
  <si>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</si>
  <si>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</si>
  <si>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</si>
  <si>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</si>
  <si>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</si>
  <si>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</si>
  <si>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</si>
  <si>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</si>
  <si>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</si>
  <si>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</si>
  <si>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</si>
  <si>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</si>
  <si>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</si>
  <si>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</si>
  <si>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</si>
  <si>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</si>
  <si>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</si>
  <si>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</si>
  <si>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</si>
  <si>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</si>
  <si>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</si>
  <si>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</si>
  <si>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</si>
  <si>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</si>
  <si>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</si>
  <si>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</si>
  <si>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</si>
  <si>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</si>
  <si>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</si>
  <si>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</si>
  <si>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</si>
  <si>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</si>
  <si>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</si>
  <si>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</si>
  <si>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</si>
  <si>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</si>
  <si>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</si>
  <si>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</si>
  <si>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</si>
  <si>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</si>
  <si>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</si>
  <si>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</si>
  <si>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</si>
  <si>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</si>
  <si>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</si>
  <si>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</si>
  <si>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</si>
  <si>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</si>
  <si>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</si>
  <si>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</si>
  <si>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</si>
  <si>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</si>
  <si>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</si>
  <si>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</si>
  <si>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</si>
  <si>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</si>
  <si>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</si>
  <si>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</si>
  <si>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</si>
  <si>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</si>
  <si>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</si>
  <si>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</si>
  <si>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</si>
  <si>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</si>
  <si>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</si>
  <si>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</si>
  <si>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</si>
  <si>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</si>
  <si>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</si>
  <si>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</si>
  <si>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</si>
  <si>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</si>
  <si>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</si>
  <si>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</si>
  <si>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</si>
  <si>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</si>
  <si>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</si>
  <si>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</si>
  <si>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</si>
  <si>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</si>
  <si>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</si>
  <si>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</si>
  <si>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</si>
  <si>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</si>
  <si>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</si>
  <si>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</si>
  <si>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</si>
  <si>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</si>
  <si>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</si>
  <si>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</si>
  <si>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</si>
  <si>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</si>
  <si>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</si>
  <si>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</si>
  <si>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</si>
  <si>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</si>
  <si>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</si>
  <si>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</si>
  <si>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</si>
  <si>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</si>
  <si>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</si>
  <si>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</si>
  <si>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</si>
  <si>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</si>
  <si>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</si>
  <si>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</si>
  <si>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</si>
  <si>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</si>
  <si>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</si>
  <si>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</si>
  <si>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</si>
  <si>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</si>
  <si>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</si>
  <si>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</si>
  <si>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</si>
  <si>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</si>
  <si>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</si>
  <si>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</si>
  <si>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</si>
  <si>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</si>
  <si>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</si>
  <si>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</si>
  <si>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</si>
  <si>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</si>
  <si>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</si>
  <si>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</si>
  <si>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</si>
  <si>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</si>
  <si>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</si>
  <si>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</si>
  <si>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</si>
  <si>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</si>
  <si>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</si>
  <si>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</si>
  <si>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</si>
  <si>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</si>
  <si>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</si>
  <si>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</si>
  <si>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</si>
  <si>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</si>
  <si>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</si>
  <si>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</si>
  <si>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</si>
  <si>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</si>
  <si>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</si>
  <si>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</si>
  <si>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</si>
  <si>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</si>
  <si>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</si>
  <si>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</si>
  <si>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</si>
  <si>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</si>
  <si>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</si>
  <si>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</si>
  <si>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</si>
  <si>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</si>
  <si>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</si>
  <si>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</si>
  <si>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</si>
  <si>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</si>
  <si>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</si>
  <si>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</si>
  <si>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</si>
  <si>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</si>
  <si>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</si>
  <si>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</si>
  <si>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</si>
  <si>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</si>
  <si>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</si>
  <si>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</si>
  <si>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</si>
  <si>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</si>
  <si>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</si>
  <si>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</si>
  <si>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</si>
  <si>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</si>
  <si>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</si>
  <si>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</si>
  <si>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</si>
  <si>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</si>
  <si>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</si>
  <si>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</si>
  <si>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</si>
  <si>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</si>
  <si>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</si>
  <si>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</si>
  <si>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</si>
  <si>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</si>
  <si>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</si>
  <si>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</si>
  <si>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</si>
  <si>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</si>
  <si>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</si>
  <si>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</si>
  <si>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</si>
  <si>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</si>
  <si>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</si>
  <si>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</si>
  <si>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</si>
  <si>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</si>
  <si>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</si>
  <si>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</si>
  <si>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</si>
  <si>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</si>
  <si>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</si>
  <si>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</si>
  <si>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</si>
  <si>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</si>
  <si>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</si>
  <si>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</si>
  <si>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</si>
  <si>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</si>
  <si>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</si>
  <si>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</si>
  <si>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</si>
  <si>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</si>
  <si>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</si>
  <si>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</si>
  <si>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</si>
  <si>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</si>
  <si>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</si>
  <si>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</si>
  <si>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</si>
  <si>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</si>
  <si>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</si>
  <si>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</si>
  <si>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</si>
  <si>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</si>
  <si>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</si>
  <si>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</si>
  <si>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</si>
  <si>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</si>
  <si>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</si>
  <si>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</si>
  <si>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</si>
  <si>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</si>
  <si>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</si>
  <si>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</si>
  <si>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</si>
  <si>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</si>
  <si>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</si>
  <si>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</si>
  <si>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</si>
  <si>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</si>
  <si>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</si>
  <si>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</si>
  <si>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</si>
  <si>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</si>
  <si>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</si>
  <si>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</si>
  <si>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</si>
  <si>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</si>
  <si>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</si>
  <si>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</si>
  <si>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</si>
  <si>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</si>
  <si>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</si>
  <si>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</si>
  <si>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</si>
  <si>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</si>
  <si>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</si>
  <si>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</si>
  <si>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</si>
  <si>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</si>
  <si>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</si>
  <si>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</si>
  <si>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</si>
  <si>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</si>
  <si>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</si>
  <si>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</si>
  <si>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</si>
  <si>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</si>
  <si>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</si>
  <si>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</si>
  <si>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</si>
  <si>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</si>
  <si>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</si>
  <si>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</si>
  <si>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</si>
  <si>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</si>
  <si>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</si>
  <si>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</si>
  <si>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</si>
  <si>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</si>
  <si>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</si>
  <si>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</si>
  <si>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</si>
  <si>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</si>
  <si>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</si>
  <si>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</si>
  <si>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</si>
  <si>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</si>
  <si>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</si>
  <si>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</si>
  <si>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</si>
  <si>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</si>
  <si>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</si>
  <si>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</si>
  <si>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</si>
  <si>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</si>
  <si>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</si>
  <si>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</si>
  <si>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</si>
  <si>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</si>
  <si>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</si>
  <si>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</si>
  <si>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</si>
  <si>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</si>
  <si>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</si>
  <si>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</si>
  <si>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</si>
  <si>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</si>
  <si>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</si>
  <si>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</si>
  <si>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</si>
  <si>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</si>
  <si>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</si>
  <si>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</si>
  <si>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</si>
  <si>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</si>
  <si>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</si>
  <si>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</si>
  <si>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</si>
  <si>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</si>
  <si>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</si>
  <si>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</si>
  <si>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</si>
  <si>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</si>
  <si>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</si>
  <si>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</si>
  <si>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</si>
  <si>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</si>
  <si>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</si>
  <si>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</si>
  <si>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</si>
  <si>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</si>
  <si>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</si>
  <si>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</si>
  <si>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</si>
  <si>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</si>
  <si>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</si>
  <si>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</si>
  <si>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</si>
  <si>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</si>
  <si>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</si>
  <si>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</si>
  <si>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</si>
  <si>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</si>
  <si>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</si>
  <si>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</si>
  <si>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</si>
  <si>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</si>
  <si>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</si>
  <si>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</si>
  <si>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</si>
  <si>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</si>
  <si>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</si>
  <si>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</si>
  <si>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</si>
  <si>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</si>
  <si>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</si>
  <si>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</si>
  <si>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</si>
  <si>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</si>
  <si>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</si>
  <si>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</si>
  <si>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</si>
  <si>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</si>
  <si>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</si>
  <si>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</si>
  <si>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</si>
  <si>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</si>
  <si>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</si>
  <si>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</si>
  <si>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</si>
  <si>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</si>
  <si>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</si>
  <si>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</si>
  <si>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</si>
  <si>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</si>
  <si>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</si>
  <si>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</si>
  <si>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</si>
  <si>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</si>
  <si>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</si>
  <si>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</si>
  <si>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</si>
  <si>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</si>
  <si>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</si>
  <si>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</si>
  <si>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</si>
  <si>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</si>
  <si>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</si>
  <si>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</si>
  <si>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</si>
  <si>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</si>
  <si>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</si>
  <si>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</si>
  <si>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</si>
  <si>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</si>
  <si>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</si>
  <si>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</si>
  <si>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</si>
  <si>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</si>
  <si>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</si>
  <si>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</si>
  <si>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</si>
  <si>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</si>
  <si>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</si>
  <si>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</si>
  <si>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</si>
  <si>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</si>
  <si>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</si>
  <si>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</si>
  <si>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</si>
  <si>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</si>
  <si>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</si>
  <si>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</si>
  <si>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</si>
  <si>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</si>
  <si>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</si>
  <si>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</si>
  <si>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</si>
  <si>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</si>
  <si>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</si>
  <si>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</si>
  <si>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</si>
  <si>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</si>
  <si>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</si>
  <si>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</si>
  <si>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</si>
  <si>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</si>
  <si>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</si>
  <si>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</si>
  <si>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</si>
  <si>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</si>
  <si>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</si>
  <si>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</si>
  <si>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</si>
  <si>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</si>
  <si>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</si>
  <si>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</si>
  <si>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</si>
  <si>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</si>
  <si>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</si>
  <si>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</si>
  <si>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</si>
  <si>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</si>
  <si>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</si>
  <si>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</si>
  <si>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</si>
  <si>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</si>
  <si>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</si>
  <si>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</si>
  <si>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</si>
  <si>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</si>
  <si>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</si>
  <si>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</si>
  <si>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</si>
  <si>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</si>
  <si>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</si>
  <si>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</si>
  <si>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</si>
  <si>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</si>
  <si>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</si>
  <si>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</si>
  <si>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</si>
  <si>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</si>
  <si>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</si>
  <si>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</si>
  <si>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</si>
  <si>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</si>
  <si>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</si>
  <si>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</si>
  <si>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</si>
  <si>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</si>
  <si>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</si>
  <si>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</si>
  <si>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</si>
  <si>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</si>
  <si>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</si>
  <si>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</si>
  <si>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</si>
  <si>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</si>
  <si>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</si>
  <si>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</si>
  <si>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</si>
  <si>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</si>
  <si>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</si>
  <si>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</si>
  <si>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</si>
  <si>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</si>
  <si>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</si>
  <si>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</si>
  <si>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</si>
  <si>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</si>
  <si>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</si>
  <si>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</si>
  <si>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</si>
  <si>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</si>
  <si>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</si>
  <si>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</si>
  <si>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</si>
  <si>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</si>
  <si>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</si>
  <si>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</si>
  <si>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</si>
  <si>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</si>
  <si>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</si>
  <si>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</si>
  <si>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</si>
  <si>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</si>
  <si>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</si>
  <si>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</si>
  <si>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</si>
  <si>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</si>
  <si>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</si>
  <si>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</si>
  <si>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</si>
  <si>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</si>
  <si>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</si>
  <si>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</si>
  <si>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</si>
  <si>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</si>
  <si>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</si>
  <si>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</si>
  <si>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</si>
  <si>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</si>
  <si>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</si>
  <si>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</si>
  <si>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</si>
  <si>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</si>
  <si>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</si>
  <si>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</si>
  <si>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</si>
  <si>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</si>
  <si>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</si>
  <si>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</si>
  <si>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</si>
  <si>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</si>
  <si>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</si>
  <si>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</si>
  <si>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</si>
  <si>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</si>
  <si>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</si>
  <si>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</si>
  <si>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</si>
  <si>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</si>
  <si>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</si>
  <si>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</si>
  <si>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</si>
  <si>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</si>
  <si>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</si>
  <si>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</si>
  <si>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</si>
  <si>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</si>
  <si>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</si>
  <si>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</si>
  <si>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</si>
  <si>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</si>
  <si>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</si>
  <si>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</si>
  <si>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</si>
  <si>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</si>
  <si>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</si>
  <si>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</si>
  <si>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</si>
  <si>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</si>
  <si>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</si>
  <si>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</si>
  <si>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</si>
  <si>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</si>
  <si>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</si>
  <si>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</si>
  <si>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</si>
  <si>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</si>
  <si>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</si>
  <si>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</si>
  <si>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</si>
  <si>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</si>
  <si>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</si>
  <si>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</si>
  <si>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</si>
  <si>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</si>
  <si>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</si>
  <si>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</si>
  <si>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</si>
  <si>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</si>
  <si>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</si>
  <si>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</si>
  <si>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</si>
  <si>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</si>
  <si>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</si>
  <si>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</si>
  <si>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</si>
  <si>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</si>
  <si>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</si>
  <si>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</si>
  <si>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</si>
  <si>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</si>
  <si>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</si>
  <si>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</si>
  <si>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</si>
  <si>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</si>
  <si>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</si>
  <si>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</si>
  <si>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</si>
  <si>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</si>
  <si>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</si>
  <si>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</si>
  <si>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</si>
  <si>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</si>
  <si>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</si>
  <si>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</si>
  <si>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</si>
  <si>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</si>
  <si>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</si>
  <si>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</si>
  <si>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</si>
  <si>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</si>
  <si>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</si>
  <si>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</si>
  <si>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</si>
  <si>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</si>
  <si>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</si>
  <si>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</si>
  <si>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</si>
  <si>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</si>
  <si>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</si>
  <si>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</si>
  <si>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</si>
  <si>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</si>
  <si>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</si>
  <si>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</si>
  <si>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</si>
  <si>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</si>
  <si>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</si>
  <si>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</si>
  <si>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</si>
  <si>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</si>
  <si>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t>商业</t>
  </si>
  <si>
    <t>出让</t>
  </si>
  <si>
    <t>地上</t>
  </si>
  <si>
    <t>底商</t>
  </si>
  <si>
    <t>办公楼</t>
  </si>
  <si>
    <t>住宅</t>
    <phoneticPr fontId="7" type="noConversion"/>
  </si>
  <si>
    <t>商业</t>
    <phoneticPr fontId="7" type="noConversion"/>
  </si>
  <si>
    <t>办公</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</si>
  <si>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</si>
  <si>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</si>
  <si>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</si>
  <si>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</si>
  <si>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</si>
  <si>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</si>
  <si>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</si>
  <si>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</si>
  <si>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</si>
  <si>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</si>
  <si>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</si>
  <si>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</si>
  <si>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龙华区福城街道</t>
  </si>
  <si>
    <t>深圳市</t>
  </si>
  <si>
    <t>住宅用地</t>
  </si>
  <si>
    <t>≤3.98</t>
  </si>
  <si>
    <t>挂牌</t>
  </si>
  <si>
    <t>2018-09-26</t>
  </si>
  <si>
    <t>深圳市龙光房地产有限公司</t>
  </si>
  <si>
    <t>龙岗区宝龙街道</t>
  </si>
  <si>
    <t>≤5.0</t>
  </si>
  <si>
    <t>2018-02-01</t>
  </si>
  <si>
    <t>深圳市人才安居集团有限公司</t>
  </si>
  <si>
    <t>龙岗区平湖街道</t>
  </si>
  <si>
    <t>≤4.5</t>
  </si>
  <si>
    <t>龙华民治街道</t>
  </si>
  <si>
    <t>2017-11-10</t>
  </si>
  <si>
    <t>龙华新区民治办事处</t>
  </si>
  <si>
    <t>综合用地(含住宅)</t>
  </si>
  <si>
    <t>招标</t>
  </si>
  <si>
    <t>2016-06-02</t>
  </si>
  <si>
    <t>广州方荣房地产有限公司和中国电建地产集团有限公司联合体</t>
  </si>
  <si>
    <t>龙华新区民治办事处辖区</t>
  </si>
  <si>
    <t>≤4.0</t>
  </si>
  <si>
    <t>2014-10-22</t>
  </si>
  <si>
    <t>深圳市金骏房地产有限公司</t>
  </si>
  <si>
    <t>龙华新区民治街道</t>
  </si>
  <si>
    <t>2013-10-16</t>
  </si>
  <si>
    <t>深圳中海地产有限公司</t>
  </si>
  <si>
    <t>2012-12-13</t>
  </si>
  <si>
    <t>深圳市金众房地产有限公司</t>
  </si>
  <si>
    <t>宝安区龙华布龙路以西,和平路以北地块</t>
  </si>
  <si>
    <t>2011-08-18</t>
  </si>
  <si>
    <t>港铁轨道交通(深圳)有限公司,港铁物业(深圳)有限公司</t>
  </si>
  <si>
    <t>龙岗区坪地街道G10101-0318</t>
  </si>
  <si>
    <t>拍卖</t>
  </si>
  <si>
    <t>2011-07-20</t>
  </si>
  <si>
    <t>深圳市惠明盛房地产投资开发有限公司</t>
  </si>
  <si>
    <t>龙岗区南湾街道</t>
  </si>
  <si>
    <t>2011-05-26</t>
  </si>
  <si>
    <t>龙岗区宝荷大道与沙丹路交汇处东北侧</t>
  </si>
  <si>
    <t>2010-12-16</t>
  </si>
  <si>
    <t>仁恒置地(深圳)有限公司</t>
  </si>
  <si>
    <t>龙岗区宝荷路南侧</t>
  </si>
  <si>
    <t>2010-11-12</t>
  </si>
  <si>
    <t>金地(集团)股份有限公司</t>
  </si>
  <si>
    <t>龙岗区龙城街道回龙埔社区</t>
  </si>
  <si>
    <t>2009-04-29</t>
  </si>
  <si>
    <t>深圳市尚模发展有限公司</t>
  </si>
  <si>
    <t>区县</t>
  </si>
  <si>
    <t>板块</t>
  </si>
  <si>
    <t>土地位置</t>
  </si>
  <si>
    <t>地块编号</t>
  </si>
  <si>
    <t>详细规划</t>
  </si>
  <si>
    <t>公告时间</t>
  </si>
  <si>
    <t>成交日期</t>
  </si>
  <si>
    <t>公告编号</t>
  </si>
  <si>
    <t>龙华区</t>
  </si>
  <si>
    <t>A914-0305</t>
  </si>
  <si>
    <t>二类居住用地</t>
  </si>
  <si>
    <t>2018-08-24</t>
  </si>
  <si>
    <t>深土交告〔2018〕14号</t>
  </si>
  <si>
    <t>龙岗区</t>
  </si>
  <si>
    <t>G02405-0007</t>
  </si>
  <si>
    <t>G05425-1027</t>
  </si>
  <si>
    <t>2017-12-29</t>
  </si>
  <si>
    <t>深土交告〔2017〕35号</t>
  </si>
  <si>
    <t>A811-0323</t>
  </si>
  <si>
    <t>二类居住*用地</t>
  </si>
  <si>
    <t>2017-10-10</t>
  </si>
  <si>
    <t>深土交告〔2017〕20号</t>
  </si>
  <si>
    <t>A816-0060</t>
  </si>
  <si>
    <t>二类居住用地、商业用地</t>
  </si>
  <si>
    <t>2016-04-26</t>
  </si>
  <si>
    <t>深土交告〔2016〕7号</t>
  </si>
  <si>
    <t>A802-0305</t>
  </si>
  <si>
    <t>2014-09-15</t>
  </si>
  <si>
    <t>深土交告(2014)20号</t>
  </si>
  <si>
    <t>A816-0050</t>
  </si>
  <si>
    <t>居住用地+商业用地</t>
  </si>
  <si>
    <t>2013-09-10</t>
  </si>
  <si>
    <t>深土交告(2013)10号</t>
  </si>
  <si>
    <t>A805-0050</t>
  </si>
  <si>
    <t>商业用地+居住用地(保障性住房用地)</t>
  </si>
  <si>
    <t>宝安区龙华布龙路以西,和平路以北</t>
  </si>
  <si>
    <t>A832-0853</t>
  </si>
  <si>
    <t>居住用地</t>
  </si>
  <si>
    <t>G10101-0318</t>
  </si>
  <si>
    <t>居住用地(安居型商品房用地)</t>
  </si>
  <si>
    <t>G06304-0026</t>
  </si>
  <si>
    <t>G02109-0004</t>
  </si>
  <si>
    <t>G02113-0021</t>
  </si>
  <si>
    <t>G01020-0205(G01020-0204*、G01020-0205捆绑)</t>
  </si>
  <si>
    <t>G01020-0204(G01020-0204*、G01020-0205捆绑)</t>
  </si>
  <si>
    <t>二类居住用地</t>
    <phoneticPr fontId="26" type="noConversion"/>
  </si>
  <si>
    <t>比较法-住宅、综合</t>
  </si>
  <si>
    <t>剩余法-待开发</t>
  </si>
  <si>
    <t>楼面地价</t>
  </si>
  <si>
    <t>较好</t>
  </si>
  <si>
    <t>一般</t>
  </si>
  <si>
    <t>地块一</t>
    <phoneticPr fontId="3" type="noConversion"/>
  </si>
  <si>
    <r>
      <rPr>
        <sz val="11"/>
        <rFont val="宋体"/>
        <family val="3"/>
        <charset val="134"/>
      </rPr>
      <t>商业占比小于</t>
    </r>
    <r>
      <rPr>
        <sz val="11"/>
        <rFont val="Arial"/>
        <family val="2"/>
      </rPr>
      <t>30%</t>
    </r>
    <r>
      <rPr>
        <sz val="11"/>
        <rFont val="宋体"/>
        <family val="3"/>
        <charset val="134"/>
      </rPr>
      <t>；住宅全部为安居型商品房</t>
    </r>
    <phoneticPr fontId="26" type="noConversion"/>
  </si>
  <si>
    <t>全自持公租房</t>
    <phoneticPr fontId="26" type="noConversion"/>
  </si>
  <si>
    <t>全自持公租房</t>
    <phoneticPr fontId="26" type="noConversion"/>
  </si>
  <si>
    <t>70%安居型商品房</t>
    <phoneticPr fontId="26" type="noConversion"/>
  </si>
  <si>
    <r>
      <t>20%</t>
    </r>
    <r>
      <rPr>
        <sz val="11"/>
        <color indexed="8"/>
        <rFont val="宋体"/>
        <family val="3"/>
        <charset val="134"/>
      </rPr>
      <t>公租房</t>
    </r>
    <phoneticPr fontId="26" type="noConversion"/>
  </si>
  <si>
    <t>20%公租房</t>
    <phoneticPr fontId="26" type="noConversion"/>
  </si>
  <si>
    <t>20%公租房</t>
    <phoneticPr fontId="26" type="noConversion"/>
  </si>
  <si>
    <t>全自持公租房</t>
    <phoneticPr fontId="26" type="noConversion"/>
  </si>
  <si>
    <t>时间</t>
  </si>
  <si>
    <t>水平值</t>
  </si>
  <si>
    <t>环比增长率</t>
  </si>
  <si>
    <t>指数</t>
  </si>
  <si>
    <t>深圳监测指标情况一览表（住宅）</t>
    <phoneticPr fontId="228" type="noConversion"/>
  </si>
  <si>
    <t>深圳监测指标情况一览表（商业）</t>
    <phoneticPr fontId="228" type="noConversion"/>
  </si>
  <si>
    <t>好</t>
  </si>
  <si>
    <t>http://anju.szhome.com/house/35480.html</t>
    <phoneticPr fontId="228" type="noConversion"/>
  </si>
  <si>
    <t>否</t>
  </si>
  <si>
    <t>土地（套用方法）</t>
  </si>
  <si>
    <t>钢混</t>
  </si>
  <si>
    <t>六通</t>
  </si>
  <si>
    <t>较规则</t>
  </si>
  <si>
    <t>较规则</t>
    <phoneticPr fontId="26" type="noConversion"/>
  </si>
  <si>
    <t>较好</t>
    <phoneticPr fontId="26" type="noConversion"/>
  </si>
  <si>
    <t>六通</t>
    <phoneticPr fontId="26" type="noConversion"/>
  </si>
  <si>
    <t>支路</t>
  </si>
  <si>
    <t>支路</t>
    <phoneticPr fontId="26" type="noConversion"/>
  </si>
  <si>
    <t>六通</t>
    <phoneticPr fontId="21" type="noConversion"/>
  </si>
  <si>
    <t>专业</t>
  </si>
  <si>
    <t>专业</t>
    <phoneticPr fontId="21" type="noConversion"/>
  </si>
  <si>
    <t>精装修</t>
  </si>
  <si>
    <t>精装修</t>
    <phoneticPr fontId="21" type="noConversion"/>
  </si>
  <si>
    <t>简单装修</t>
    <phoneticPr fontId="21" type="noConversion"/>
  </si>
  <si>
    <t>普通装修</t>
    <phoneticPr fontId="21" type="noConversion"/>
  </si>
  <si>
    <t>毛坯</t>
  </si>
  <si>
    <t>毛坯</t>
    <phoneticPr fontId="21" type="noConversion"/>
  </si>
  <si>
    <t>60-70（含）</t>
  </si>
  <si>
    <t>高层</t>
  </si>
  <si>
    <t>高层</t>
    <phoneticPr fontId="21" type="noConversion"/>
  </si>
  <si>
    <t>钢混</t>
    <phoneticPr fontId="21" type="noConversion"/>
  </si>
  <si>
    <t>较好</t>
    <phoneticPr fontId="21" type="noConversion"/>
  </si>
  <si>
    <t>售价</t>
  </si>
  <si>
    <t>德润荣君府</t>
    <phoneticPr fontId="3" type="noConversion"/>
  </si>
  <si>
    <t>一般</t>
    <phoneticPr fontId="21" type="noConversion"/>
  </si>
  <si>
    <r>
      <t>100</t>
    </r>
    <r>
      <rPr>
        <sz val="11"/>
        <color indexed="8"/>
        <rFont val="宋体"/>
        <family val="3"/>
        <charset val="134"/>
      </rPr>
      <t>以上</t>
    </r>
    <phoneticPr fontId="21" type="noConversion"/>
  </si>
  <si>
    <r>
      <t>100</t>
    </r>
    <r>
      <rPr>
        <sz val="11"/>
        <color indexed="8"/>
        <rFont val="宋体"/>
        <family val="3"/>
        <charset val="134"/>
      </rPr>
      <t>以内</t>
    </r>
    <phoneticPr fontId="21" type="noConversion"/>
  </si>
  <si>
    <t>三房</t>
    <phoneticPr fontId="21" type="noConversion"/>
  </si>
  <si>
    <t>两房</t>
    <phoneticPr fontId="21" type="noConversion"/>
  </si>
  <si>
    <t>不动产收益法（办公）</t>
  </si>
  <si>
    <t>不动产收益法（办公）</t>
    <phoneticPr fontId="14" type="noConversion"/>
  </si>
  <si>
    <t>不动产收益法（商业）</t>
  </si>
  <si>
    <t>不动产收益法（商业）</t>
    <phoneticPr fontId="14" type="noConversion"/>
  </si>
  <si>
    <t>佳兆业城市广场</t>
    <phoneticPr fontId="3" type="noConversion"/>
  </si>
  <si>
    <t>按租金收入计税</t>
  </si>
  <si>
    <t>富驰时代park</t>
    <phoneticPr fontId="3" type="noConversion"/>
  </si>
  <si>
    <t>30-40（含）</t>
  </si>
  <si>
    <t>华创云轩</t>
    <phoneticPr fontId="3" type="noConversion"/>
  </si>
  <si>
    <t>高层</t>
    <phoneticPr fontId="27" type="noConversion"/>
  </si>
  <si>
    <t>钢混</t>
    <phoneticPr fontId="27" type="noConversion"/>
  </si>
  <si>
    <t>精装修</t>
    <phoneticPr fontId="27" type="noConversion"/>
  </si>
  <si>
    <t>专业</t>
    <phoneticPr fontId="27" type="noConversion"/>
  </si>
  <si>
    <t>五通</t>
  </si>
  <si>
    <t>五通</t>
    <phoneticPr fontId="27" type="noConversion"/>
  </si>
  <si>
    <t>毛坯</t>
    <phoneticPr fontId="27" type="noConversion"/>
  </si>
  <si>
    <t>商业占比</t>
    <phoneticPr fontId="7" type="noConversion"/>
  </si>
  <si>
    <t>大族云峰花园</t>
    <phoneticPr fontId="3" type="noConversion"/>
  </si>
  <si>
    <t>碧桂园荣汇</t>
    <phoneticPr fontId="3" type="noConversion"/>
  </si>
  <si>
    <t>社区品质</t>
    <phoneticPr fontId="21" type="noConversion"/>
  </si>
  <si>
    <t>一般</t>
    <phoneticPr fontId="21" type="noConversion"/>
  </si>
  <si>
    <t>较好</t>
    <phoneticPr fontId="21" type="noConversion"/>
  </si>
  <si>
    <t>房型种类</t>
    <phoneticPr fontId="21" type="noConversion"/>
  </si>
  <si>
    <t>较少</t>
    <phoneticPr fontId="21" type="noConversion"/>
  </si>
  <si>
    <t>较多</t>
    <phoneticPr fontId="21" type="noConversion"/>
  </si>
  <si>
    <t>较少</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</si>
</sst>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78B43C"/>
      <name val="微软雅黑"/>
      <family val="2"/>
      <charset val="134"/>
    </font>
    <font>
      <sz val="9"/>
      <color rgb="FF2E2E2E"/>
      <name val="微软雅黑"/>
      <family val="2"/>
      <charset val="134"/>
    </font>
    <font>
      <sz val="11"/>
      <color rgb="FF313131"/>
      <name val="微软雅黑"/>
      <family val="2"/>
      <charset val="134"/>
    </font>
    <font>
      <sz val="11"/>
      <color theme="1"/>
      <name val="微软雅黑"/>
      <family val="2"/>
      <charset val="134"/>
    </font>
    <font>
      <sz val="11"/>
      <color rgb="FF78B43C"/>
      <name val="宋体"/>
      <family val="3"/>
      <charset val="134"/>
      <scheme val="minor"/>
    </font>
    <font>
      <sz val="11"/>
      <color rgb="FF313131"/>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rgb="FFBDB4AF"/>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C5C5C5"/>
      </left>
      <right/>
      <top/>
      <bottom style="medium">
        <color rgb="FFC5C5C5"/>
      </bottom>
      <diagonal/>
    </border>
    <border>
      <left style="medium">
        <color rgb="FFD5D5D5"/>
      </left>
      <right/>
      <top/>
      <bottom/>
      <diagonal/>
    </border>
    <border>
      <left style="medium">
        <color indexed="64"/>
      </left>
      <right/>
      <top/>
      <bottom style="medium">
        <color rgb="FFC5C5C5"/>
      </bottom>
      <diagonal/>
    </border>
    <border>
      <left style="medium">
        <color rgb="FFC5C5C5"/>
      </left>
      <right style="medium">
        <color indexed="64"/>
      </right>
      <top/>
      <bottom style="medium">
        <color rgb="FFC5C5C5"/>
      </bottom>
      <diagonal/>
    </border>
    <border>
      <left style="medium">
        <color rgb="FFD5D5D5"/>
      </left>
      <right style="medium">
        <color indexed="64"/>
      </right>
      <top/>
      <bottom/>
      <diagonal/>
    </border>
    <border>
      <left style="medium">
        <color rgb="FFD5D5D5"/>
      </left>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pplyNumberFormat="0" applyFill="0" applyBorder="0" applyAlignment="0" applyProtection="0">
      <alignment vertical="center"/>
    </xf>
  </cellStyleXfs>
  <cellXfs count="35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0" fontId="0" fillId="17" borderId="0" xfId="0" applyFill="1" applyAlignment="1"/>
    <xf numFmtId="0" fontId="144" fillId="0" borderId="6" xfId="0" applyNumberFormat="1" applyFont="1" applyFill="1" applyBorder="1" applyAlignment="1" applyProtection="1">
      <alignment horizontal="center" vertical="center" wrapText="1"/>
      <protection locked="0"/>
    </xf>
    <xf numFmtId="183" fontId="78" fillId="18" borderId="2" xfId="0" applyNumberFormat="1" applyFont="1" applyFill="1" applyBorder="1" applyAlignment="1" applyProtection="1">
      <alignment horizontal="center" vertical="center" shrinkToFit="1"/>
      <protection locked="0"/>
    </xf>
    <xf numFmtId="0" fontId="144" fillId="0" borderId="1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6" fillId="19" borderId="154" xfId="0" applyFont="1" applyFill="1" applyBorder="1" applyAlignment="1">
      <alignment horizontal="center"/>
    </xf>
    <xf numFmtId="0" fontId="277" fillId="0" borderId="155" xfId="0" applyFont="1" applyBorder="1" applyAlignment="1">
      <alignment horizontal="right" vertical="center" wrapText="1"/>
    </xf>
    <xf numFmtId="0" fontId="277" fillId="20" borderId="155" xfId="0" applyFont="1" applyFill="1" applyBorder="1" applyAlignment="1">
      <alignment horizontal="right" vertical="center" wrapText="1"/>
    </xf>
    <xf numFmtId="0" fontId="279" fillId="19" borderId="154" xfId="0" applyFont="1" applyFill="1" applyBorder="1" applyAlignment="1">
      <alignment horizontal="center"/>
    </xf>
    <xf numFmtId="0" fontId="145" fillId="0" borderId="155" xfId="0" applyFont="1" applyBorder="1" applyAlignment="1">
      <alignment horizontal="right" vertical="center" wrapText="1"/>
    </xf>
    <xf numFmtId="0" fontId="145" fillId="20" borderId="155" xfId="0" applyFont="1" applyFill="1" applyBorder="1" applyAlignment="1">
      <alignment horizontal="right" vertical="center" wrapText="1"/>
    </xf>
    <xf numFmtId="0" fontId="274" fillId="0" borderId="26" xfId="0" applyFont="1" applyBorder="1" applyAlignment="1">
      <alignment horizontal="center" vertical="center" wrapText="1"/>
    </xf>
    <xf numFmtId="0" fontId="0" fillId="0" borderId="28" xfId="0" applyBorder="1">
      <alignment vertical="center"/>
    </xf>
    <xf numFmtId="0" fontId="0" fillId="0" borderId="39" xfId="0" applyBorder="1">
      <alignment vertical="center"/>
    </xf>
    <xf numFmtId="0" fontId="276" fillId="19" borderId="156" xfId="0" applyFont="1" applyFill="1" applyBorder="1" applyAlignment="1">
      <alignment horizontal="center"/>
    </xf>
    <xf numFmtId="0" fontId="276" fillId="19" borderId="157" xfId="0" applyFont="1" applyFill="1" applyBorder="1" applyAlignment="1">
      <alignment horizontal="center"/>
    </xf>
    <xf numFmtId="0" fontId="277" fillId="0" borderId="31" xfId="0" applyFont="1" applyBorder="1" applyAlignment="1">
      <alignment horizontal="left" vertical="center" wrapText="1"/>
    </xf>
    <xf numFmtId="0" fontId="277" fillId="0" borderId="158" xfId="0" applyFont="1" applyBorder="1" applyAlignment="1">
      <alignment horizontal="right" vertical="center" wrapText="1"/>
    </xf>
    <xf numFmtId="0" fontId="277" fillId="20" borderId="31" xfId="0" applyFont="1" applyFill="1" applyBorder="1" applyAlignment="1">
      <alignment horizontal="left" vertical="center" wrapText="1"/>
    </xf>
    <xf numFmtId="0" fontId="277" fillId="20" borderId="158" xfId="0" applyFont="1" applyFill="1" applyBorder="1" applyAlignment="1">
      <alignment horizontal="right" vertical="center" wrapText="1"/>
    </xf>
    <xf numFmtId="0" fontId="277" fillId="21" borderId="54" xfId="0" applyFont="1" applyFill="1" applyBorder="1" applyAlignment="1">
      <alignment horizontal="left" vertical="center" wrapText="1"/>
    </xf>
    <xf numFmtId="0" fontId="277" fillId="21" borderId="159" xfId="0" applyFont="1" applyFill="1" applyBorder="1" applyAlignment="1">
      <alignment horizontal="right" vertical="center" wrapText="1"/>
    </xf>
    <xf numFmtId="0" fontId="0" fillId="0" borderId="66" xfId="0" applyBorder="1">
      <alignment vertical="center"/>
    </xf>
    <xf numFmtId="0" fontId="278" fillId="0" borderId="26" xfId="0" applyFont="1" applyBorder="1" applyAlignment="1">
      <alignment horizontal="center" vertical="center"/>
    </xf>
    <xf numFmtId="0" fontId="274" fillId="0" borderId="28" xfId="0" applyFont="1" applyBorder="1" applyAlignment="1">
      <alignment horizontal="center" vertical="center" wrapText="1"/>
    </xf>
    <xf numFmtId="0" fontId="279" fillId="19" borderId="156" xfId="0" applyFont="1" applyFill="1" applyBorder="1" applyAlignment="1">
      <alignment horizontal="center"/>
    </xf>
    <xf numFmtId="0" fontId="279" fillId="19" borderId="157" xfId="0" applyFont="1" applyFill="1" applyBorder="1" applyAlignment="1">
      <alignment horizontal="center"/>
    </xf>
    <xf numFmtId="0" fontId="145" fillId="0" borderId="31" xfId="0" applyFont="1" applyBorder="1" applyAlignment="1">
      <alignment horizontal="left" vertical="center" wrapText="1"/>
    </xf>
    <xf numFmtId="0" fontId="0" fillId="0" borderId="158" xfId="0" applyBorder="1" applyAlignment="1">
      <alignment horizontal="right" vertical="center" wrapText="1"/>
    </xf>
    <xf numFmtId="0" fontId="145" fillId="20" borderId="31" xfId="0" applyFont="1" applyFill="1" applyBorder="1" applyAlignment="1">
      <alignment horizontal="left" vertical="center" wrapText="1"/>
    </xf>
    <xf numFmtId="0" fontId="0" fillId="20" borderId="158" xfId="0" applyFill="1" applyBorder="1" applyAlignment="1">
      <alignment horizontal="right" vertical="center" wrapText="1"/>
    </xf>
    <xf numFmtId="0" fontId="275" fillId="13" borderId="54" xfId="0" applyFont="1" applyFill="1" applyBorder="1" applyAlignment="1">
      <alignment horizontal="left" vertical="center" wrapText="1"/>
    </xf>
    <xf numFmtId="0" fontId="275" fillId="13" borderId="159" xfId="0" applyFont="1" applyFill="1" applyBorder="1" applyAlignment="1">
      <alignment horizontal="right"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0" xfId="16">
      <alignment vertical="center"/>
    </xf>
    <xf numFmtId="0" fontId="144" fillId="0" borderId="74"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0" xfId="0" applyFont="1" applyProtection="1">
      <alignment vertical="center"/>
      <protection locked="0"/>
    </xf>
    <xf numFmtId="0" fontId="84" fillId="18" borderId="71"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177" fontId="71" fillId="9" borderId="2" xfId="2" applyNumberFormat="1" applyFont="1" applyFill="1" applyBorder="1" applyAlignment="1" applyProtection="1">
      <alignment horizontal="center" vertical="center"/>
      <protection locked="0"/>
    </xf>
    <xf numFmtId="0" fontId="71" fillId="9" borderId="5" xfId="0" applyFont="1" applyFill="1" applyBorder="1" applyAlignment="1" applyProtection="1">
      <alignment horizontal="center" vertical="center" wrapText="1"/>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9" fontId="76" fillId="18" borderId="5" xfId="0" applyNumberFormat="1" applyFont="1" applyFill="1" applyBorder="1" applyAlignment="1" applyProtection="1">
      <alignment horizontal="center" vertical="center"/>
      <protection locked="0"/>
    </xf>
    <xf numFmtId="0" fontId="71" fillId="0" borderId="11" xfId="0" applyFont="1" applyFill="1" applyBorder="1" applyAlignment="1" applyProtection="1">
      <alignment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114300</xdr:rowOff>
    </xdr:from>
    <xdr:to>
      <xdr:col>8</xdr:col>
      <xdr:colOff>1341515</xdr:colOff>
      <xdr:row>72</xdr:row>
      <xdr:rowOff>151431</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4743450"/>
          <a:ext cx="12085715" cy="7752381"/>
        </a:xfrm>
        <a:prstGeom prst="rect">
          <a:avLst/>
        </a:prstGeom>
      </xdr:spPr>
    </xdr:pic>
    <xdr:clientData/>
  </xdr:twoCellAnchor>
  <xdr:twoCellAnchor editAs="oneCell">
    <xdr:from>
      <xdr:col>0</xdr:col>
      <xdr:colOff>0</xdr:colOff>
      <xdr:row>66</xdr:row>
      <xdr:rowOff>0</xdr:rowOff>
    </xdr:from>
    <xdr:to>
      <xdr:col>7</xdr:col>
      <xdr:colOff>1932327</xdr:colOff>
      <xdr:row>107</xdr:row>
      <xdr:rowOff>27693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1315700"/>
          <a:ext cx="9990477" cy="7057143"/>
        </a:xfrm>
        <a:prstGeom prst="rect">
          <a:avLst/>
        </a:prstGeom>
      </xdr:spPr>
    </xdr:pic>
    <xdr:clientData/>
  </xdr:twoCellAnchor>
  <xdr:twoCellAnchor editAs="oneCell">
    <xdr:from>
      <xdr:col>0</xdr:col>
      <xdr:colOff>0</xdr:colOff>
      <xdr:row>109</xdr:row>
      <xdr:rowOff>0</xdr:rowOff>
    </xdr:from>
    <xdr:to>
      <xdr:col>7</xdr:col>
      <xdr:colOff>1827565</xdr:colOff>
      <xdr:row>147</xdr:row>
      <xdr:rowOff>142043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8688050"/>
          <a:ext cx="9885715" cy="6657143"/>
        </a:xfrm>
        <a:prstGeom prst="rect">
          <a:avLst/>
        </a:prstGeom>
      </xdr:spPr>
    </xdr:pic>
    <xdr:clientData/>
  </xdr:twoCellAnchor>
  <xdr:twoCellAnchor editAs="oneCell">
    <xdr:from>
      <xdr:col>0</xdr:col>
      <xdr:colOff>0</xdr:colOff>
      <xdr:row>149</xdr:row>
      <xdr:rowOff>0</xdr:rowOff>
    </xdr:from>
    <xdr:to>
      <xdr:col>7</xdr:col>
      <xdr:colOff>1275184</xdr:colOff>
      <xdr:row>187</xdr:row>
      <xdr:rowOff>103948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25546050"/>
          <a:ext cx="9333334" cy="6619048"/>
        </a:xfrm>
        <a:prstGeom prst="rect">
          <a:avLst/>
        </a:prstGeom>
      </xdr:spPr>
    </xdr:pic>
    <xdr:clientData/>
  </xdr:twoCellAnchor>
  <xdr:twoCellAnchor editAs="oneCell">
    <xdr:from>
      <xdr:col>0</xdr:col>
      <xdr:colOff>0</xdr:colOff>
      <xdr:row>189</xdr:row>
      <xdr:rowOff>0</xdr:rowOff>
    </xdr:from>
    <xdr:to>
      <xdr:col>7</xdr:col>
      <xdr:colOff>1741851</xdr:colOff>
      <xdr:row>231</xdr:row>
      <xdr:rowOff>84815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32404050"/>
          <a:ext cx="9800001" cy="7285715"/>
        </a:xfrm>
        <a:prstGeom prst="rect">
          <a:avLst/>
        </a:prstGeom>
      </xdr:spPr>
    </xdr:pic>
    <xdr:clientData/>
  </xdr:twoCellAnchor>
  <xdr:twoCellAnchor editAs="oneCell">
    <xdr:from>
      <xdr:col>9</xdr:col>
      <xdr:colOff>0</xdr:colOff>
      <xdr:row>28</xdr:row>
      <xdr:rowOff>0</xdr:rowOff>
    </xdr:from>
    <xdr:to>
      <xdr:col>16</xdr:col>
      <xdr:colOff>3475354</xdr:colOff>
      <xdr:row>71</xdr:row>
      <xdr:rowOff>46698</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2887325" y="5067300"/>
          <a:ext cx="10171429" cy="7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617763</xdr:colOff>
      <xdr:row>27</xdr:row>
      <xdr:rowOff>56565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10904763" cy="4685715"/>
        </a:xfrm>
        <a:prstGeom prst="rect">
          <a:avLst/>
        </a:prstGeom>
      </xdr:spPr>
    </xdr:pic>
    <xdr:clientData/>
  </xdr:twoCellAnchor>
  <xdr:twoCellAnchor editAs="oneCell">
    <xdr:from>
      <xdr:col>0</xdr:col>
      <xdr:colOff>0</xdr:colOff>
      <xdr:row>29</xdr:row>
      <xdr:rowOff>0</xdr:rowOff>
    </xdr:from>
    <xdr:to>
      <xdr:col>4</xdr:col>
      <xdr:colOff>352038</xdr:colOff>
      <xdr:row>42</xdr:row>
      <xdr:rowOff>161626</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972050"/>
          <a:ext cx="3095238" cy="2390476"/>
        </a:xfrm>
        <a:prstGeom prst="rect">
          <a:avLst/>
        </a:prstGeom>
      </xdr:spPr>
    </xdr:pic>
    <xdr:clientData/>
  </xdr:twoCellAnchor>
  <xdr:twoCellAnchor editAs="oneCell">
    <xdr:from>
      <xdr:col>0</xdr:col>
      <xdr:colOff>0</xdr:colOff>
      <xdr:row>46</xdr:row>
      <xdr:rowOff>0</xdr:rowOff>
    </xdr:from>
    <xdr:to>
      <xdr:col>11</xdr:col>
      <xdr:colOff>619125</xdr:colOff>
      <xdr:row>71</xdr:row>
      <xdr:rowOff>142875</xdr:rowOff>
    </xdr:to>
    <xdr:pic>
      <xdr:nvPicPr>
        <xdr:cNvPr id="5632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0" y="7886700"/>
          <a:ext cx="8162925" cy="442912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12</xdr:col>
      <xdr:colOff>247650</xdr:colOff>
      <xdr:row>88</xdr:row>
      <xdr:rowOff>0</xdr:rowOff>
    </xdr:to>
    <xdr:pic>
      <xdr:nvPicPr>
        <xdr:cNvPr id="5632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12515850"/>
          <a:ext cx="8477250" cy="2571750"/>
        </a:xfrm>
        <a:prstGeom prst="rect">
          <a:avLst/>
        </a:prstGeom>
        <a:noFill/>
        <a:ln w="1">
          <a:noFill/>
          <a:miter lim="800000"/>
          <a:headEnd/>
          <a:tailEnd type="none" w="med" len="med"/>
        </a:ln>
        <a:effectLst/>
      </xdr:spPr>
    </xdr:pic>
    <xdr:clientData/>
  </xdr:twoCellAnchor>
  <xdr:twoCellAnchor editAs="oneCell">
    <xdr:from>
      <xdr:col>0</xdr:col>
      <xdr:colOff>0</xdr:colOff>
      <xdr:row>89</xdr:row>
      <xdr:rowOff>0</xdr:rowOff>
    </xdr:from>
    <xdr:to>
      <xdr:col>12</xdr:col>
      <xdr:colOff>266700</xdr:colOff>
      <xdr:row>98</xdr:row>
      <xdr:rowOff>95250</xdr:rowOff>
    </xdr:to>
    <xdr:pic>
      <xdr:nvPicPr>
        <xdr:cNvPr id="56323"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0" y="15259050"/>
          <a:ext cx="8496300" cy="1638300"/>
        </a:xfrm>
        <a:prstGeom prst="rect">
          <a:avLst/>
        </a:prstGeom>
        <a:noFill/>
        <a:ln w="1">
          <a:noFill/>
          <a:miter lim="800000"/>
          <a:headEnd/>
          <a:tailEnd type="none" w="med" len="med"/>
        </a:ln>
        <a:effectLst/>
      </xdr:spPr>
    </xdr:pic>
    <xdr:clientData/>
  </xdr:twoCellAnchor>
  <xdr:twoCellAnchor editAs="oneCell">
    <xdr:from>
      <xdr:col>0</xdr:col>
      <xdr:colOff>0</xdr:colOff>
      <xdr:row>100</xdr:row>
      <xdr:rowOff>0</xdr:rowOff>
    </xdr:from>
    <xdr:to>
      <xdr:col>7</xdr:col>
      <xdr:colOff>142875</xdr:colOff>
      <xdr:row>113</xdr:row>
      <xdr:rowOff>57150</xdr:rowOff>
    </xdr:to>
    <xdr:pic>
      <xdr:nvPicPr>
        <xdr:cNvPr id="56324" name="Picture 4"/>
        <xdr:cNvPicPr>
          <a:picLocks noChangeAspect="1" noChangeArrowheads="1"/>
        </xdr:cNvPicPr>
      </xdr:nvPicPr>
      <xdr:blipFill>
        <a:blip xmlns:r="http://schemas.openxmlformats.org/officeDocument/2006/relationships" r:embed="rId6" cstate="print"/>
        <a:srcRect/>
        <a:stretch>
          <a:fillRect/>
        </a:stretch>
      </xdr:blipFill>
      <xdr:spPr bwMode="auto">
        <a:xfrm>
          <a:off x="0" y="17145000"/>
          <a:ext cx="4943475" cy="2286000"/>
        </a:xfrm>
        <a:prstGeom prst="rect">
          <a:avLst/>
        </a:prstGeom>
        <a:noFill/>
        <a:ln w="1">
          <a:noFill/>
          <a:miter lim="800000"/>
          <a:headEnd/>
          <a:tailEnd type="none" w="med" len="med"/>
        </a:ln>
        <a:effectLst/>
      </xdr:spPr>
    </xdr:pic>
    <xdr:clientData/>
  </xdr:twoCellAnchor>
  <xdr:twoCellAnchor editAs="oneCell">
    <xdr:from>
      <xdr:col>0</xdr:col>
      <xdr:colOff>0</xdr:colOff>
      <xdr:row>115</xdr:row>
      <xdr:rowOff>0</xdr:rowOff>
    </xdr:from>
    <xdr:to>
      <xdr:col>12</xdr:col>
      <xdr:colOff>295275</xdr:colOff>
      <xdr:row>122</xdr:row>
      <xdr:rowOff>142875</xdr:rowOff>
    </xdr:to>
    <xdr:pic>
      <xdr:nvPicPr>
        <xdr:cNvPr id="56325" name="Picture 5"/>
        <xdr:cNvPicPr>
          <a:picLocks noChangeAspect="1" noChangeArrowheads="1"/>
        </xdr:cNvPicPr>
      </xdr:nvPicPr>
      <xdr:blipFill>
        <a:blip xmlns:r="http://schemas.openxmlformats.org/officeDocument/2006/relationships" r:embed="rId7" cstate="print"/>
        <a:srcRect/>
        <a:stretch>
          <a:fillRect/>
        </a:stretch>
      </xdr:blipFill>
      <xdr:spPr bwMode="auto">
        <a:xfrm>
          <a:off x="0" y="19716750"/>
          <a:ext cx="8524875" cy="1343025"/>
        </a:xfrm>
        <a:prstGeom prst="rect">
          <a:avLst/>
        </a:prstGeom>
        <a:noFill/>
        <a:ln w="1">
          <a:noFill/>
          <a:miter lim="800000"/>
          <a:headEnd/>
          <a:tailEnd type="none" w="med" len="med"/>
        </a:ln>
        <a:effectLst/>
      </xdr:spPr>
    </xdr:pic>
    <xdr:clientData/>
  </xdr:twoCellAnchor>
  <xdr:twoCellAnchor editAs="oneCell">
    <xdr:from>
      <xdr:col>14</xdr:col>
      <xdr:colOff>0</xdr:colOff>
      <xdr:row>46</xdr:row>
      <xdr:rowOff>0</xdr:rowOff>
    </xdr:from>
    <xdr:to>
      <xdr:col>24</xdr:col>
      <xdr:colOff>95250</xdr:colOff>
      <xdr:row>73</xdr:row>
      <xdr:rowOff>142875</xdr:rowOff>
    </xdr:to>
    <xdr:pic>
      <xdr:nvPicPr>
        <xdr:cNvPr id="67585"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9601200" y="7886700"/>
          <a:ext cx="6953250" cy="4772025"/>
        </a:xfrm>
        <a:prstGeom prst="rect">
          <a:avLst/>
        </a:prstGeom>
        <a:noFill/>
        <a:ln w="1">
          <a:noFill/>
          <a:miter lim="800000"/>
          <a:headEnd/>
          <a:tailEnd type="none" w="med" len="med"/>
        </a:ln>
        <a:effectLst/>
      </xdr:spPr>
    </xdr:pic>
    <xdr:clientData/>
  </xdr:twoCellAnchor>
  <xdr:twoCellAnchor editAs="oneCell">
    <xdr:from>
      <xdr:col>0</xdr:col>
      <xdr:colOff>0</xdr:colOff>
      <xdr:row>125</xdr:row>
      <xdr:rowOff>0</xdr:rowOff>
    </xdr:from>
    <xdr:to>
      <xdr:col>11</xdr:col>
      <xdr:colOff>490377</xdr:colOff>
      <xdr:row>131</xdr:row>
      <xdr:rowOff>96232</xdr:rowOff>
    </xdr:to>
    <xdr:pic>
      <xdr:nvPicPr>
        <xdr:cNvPr id="4" name="图片 3"/>
        <xdr:cNvPicPr>
          <a:picLocks noChangeAspect="1"/>
        </xdr:cNvPicPr>
      </xdr:nvPicPr>
      <xdr:blipFill>
        <a:blip xmlns:r="http://schemas.openxmlformats.org/officeDocument/2006/relationships" r:embed="rId9"/>
        <a:stretch>
          <a:fillRect/>
        </a:stretch>
      </xdr:blipFill>
      <xdr:spPr>
        <a:xfrm>
          <a:off x="0" y="21011029"/>
          <a:ext cx="8009524" cy="1104762"/>
        </a:xfrm>
        <a:prstGeom prst="rect">
          <a:avLst/>
        </a:prstGeom>
      </xdr:spPr>
    </xdr:pic>
    <xdr:clientData/>
  </xdr:twoCellAnchor>
  <xdr:twoCellAnchor editAs="oneCell">
    <xdr:from>
      <xdr:col>0</xdr:col>
      <xdr:colOff>0</xdr:colOff>
      <xdr:row>133</xdr:row>
      <xdr:rowOff>0</xdr:rowOff>
    </xdr:from>
    <xdr:to>
      <xdr:col>11</xdr:col>
      <xdr:colOff>576092</xdr:colOff>
      <xdr:row>143</xdr:row>
      <xdr:rowOff>42927</xdr:rowOff>
    </xdr:to>
    <xdr:pic>
      <xdr:nvPicPr>
        <xdr:cNvPr id="5" name="图片 4"/>
        <xdr:cNvPicPr>
          <a:picLocks noChangeAspect="1"/>
        </xdr:cNvPicPr>
      </xdr:nvPicPr>
      <xdr:blipFill>
        <a:blip xmlns:r="http://schemas.openxmlformats.org/officeDocument/2006/relationships" r:embed="rId10"/>
        <a:stretch>
          <a:fillRect/>
        </a:stretch>
      </xdr:blipFill>
      <xdr:spPr>
        <a:xfrm>
          <a:off x="0" y="22355735"/>
          <a:ext cx="8095239" cy="1723810"/>
        </a:xfrm>
        <a:prstGeom prst="rect">
          <a:avLst/>
        </a:prstGeom>
      </xdr:spPr>
    </xdr:pic>
    <xdr:clientData/>
  </xdr:twoCellAnchor>
  <xdr:twoCellAnchor editAs="oneCell">
    <xdr:from>
      <xdr:col>0</xdr:col>
      <xdr:colOff>0</xdr:colOff>
      <xdr:row>144</xdr:row>
      <xdr:rowOff>0</xdr:rowOff>
    </xdr:from>
    <xdr:to>
      <xdr:col>11</xdr:col>
      <xdr:colOff>137996</xdr:colOff>
      <xdr:row>153</xdr:row>
      <xdr:rowOff>20539</xdr:rowOff>
    </xdr:to>
    <xdr:pic>
      <xdr:nvPicPr>
        <xdr:cNvPr id="6" name="图片 5"/>
        <xdr:cNvPicPr>
          <a:picLocks noChangeAspect="1"/>
        </xdr:cNvPicPr>
      </xdr:nvPicPr>
      <xdr:blipFill>
        <a:blip xmlns:r="http://schemas.openxmlformats.org/officeDocument/2006/relationships" r:embed="rId11"/>
        <a:stretch>
          <a:fillRect/>
        </a:stretch>
      </xdr:blipFill>
      <xdr:spPr>
        <a:xfrm>
          <a:off x="0" y="24204706"/>
          <a:ext cx="7657143" cy="1533333"/>
        </a:xfrm>
        <a:prstGeom prst="rect">
          <a:avLst/>
        </a:prstGeom>
      </xdr:spPr>
    </xdr:pic>
    <xdr:clientData/>
  </xdr:twoCellAnchor>
  <xdr:twoCellAnchor editAs="oneCell">
    <xdr:from>
      <xdr:col>0</xdr:col>
      <xdr:colOff>0</xdr:colOff>
      <xdr:row>156</xdr:row>
      <xdr:rowOff>0</xdr:rowOff>
    </xdr:from>
    <xdr:to>
      <xdr:col>11</xdr:col>
      <xdr:colOff>528473</xdr:colOff>
      <xdr:row>191</xdr:row>
      <xdr:rowOff>31198</xdr:rowOff>
    </xdr:to>
    <xdr:pic>
      <xdr:nvPicPr>
        <xdr:cNvPr id="7" name="图片 6"/>
        <xdr:cNvPicPr>
          <a:picLocks noChangeAspect="1"/>
        </xdr:cNvPicPr>
      </xdr:nvPicPr>
      <xdr:blipFill>
        <a:blip xmlns:r="http://schemas.openxmlformats.org/officeDocument/2006/relationships" r:embed="rId12"/>
        <a:stretch>
          <a:fillRect/>
        </a:stretch>
      </xdr:blipFill>
      <xdr:spPr>
        <a:xfrm>
          <a:off x="0" y="26221765"/>
          <a:ext cx="8047620"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8212;&#30005;&#31639;&#34920;-&#22303;&#22320;-27818.76%20-%20&#21103;&#264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8212;&#30005;&#31639;&#34920;-&#22303;&#22320;-6819.87-&#24212;&#20449;&#25176;&#35201;&#27714;&#35843;&#20540;-&#20116;&#30719;&#26356;&#25442;&#26102;&#28857;-&#35843;&#20540;50&#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6819.87</v>
          </cell>
          <cell r="E3">
            <v>44330</v>
          </cell>
        </row>
      </sheetData>
      <sheetData sheetId="13"/>
      <sheetData sheetId="14"/>
      <sheetData sheetId="15"/>
      <sheetData sheetId="16">
        <row r="19">
          <cell r="G19">
            <v>102598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办公）"/>
      <sheetName val="不动产比较法-办公"/>
      <sheetName val="酒店收入计算"/>
      <sheetName val="成本逼近法"/>
      <sheetName val="不动产比较法-商业"/>
      <sheetName val="不动产比较法-工业"/>
      <sheetName val="不动产比较法-车位"/>
      <sheetName val="不动产比较法-仓储"/>
      <sheetName val="存贷款利率"/>
      <sheetName val="土地案例"/>
      <sheetName val="假开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98938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5.bin"/><Relationship Id="rId1" Type="http://schemas.openxmlformats.org/officeDocument/2006/relationships/hyperlink" Target="http://anju.szhome.com/house/35480.html"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27818.76平方米。根据《建设工程规划许可证》[]、《出让合同》[]，估价对象规划建筑面积为180817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本次评估为委托估价方了解标的物之市场价格提供参考依据而评估出让国有建设用地使用权市场价格。</v>
      </c>
    </row>
    <row r="10" spans="1:55" s="2854" customFormat="1">
      <c r="A10" s="2855" t="s">
        <v>2660</v>
      </c>
      <c r="B10" s="2856" t="str">
        <f>'预评函-1'!A11</f>
        <v>2019年1月24日（评估专业人员勘察现场之日）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根据《国有土地使用证》[]，估价对象（分摊）出让国有建设用地使用权面积为27818.76平方米。根据《建设工程规划许可证》[]、《出让合同》[]，估价对象规划建筑面积为180817平方米。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23日、商业2059年1月23日、办公2059年1月23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2674</v>
      </c>
      <c r="B20" s="2856" t="str">
        <f>'预评函-1'!A27</f>
        <v>——</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估价期日：2019年1月24日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27818.76</v>
      </c>
    </row>
    <row r="44" spans="1:2">
      <c r="A44" s="2855" t="s">
        <v>2741</v>
      </c>
      <c r="B44" s="2856" t="str">
        <f>'预评函-2'!O3</f>
        <v>规划建筑面积/㎡</v>
      </c>
    </row>
    <row r="45" spans="1:2">
      <c r="A45" s="2855" t="s">
        <v>2723</v>
      </c>
      <c r="B45" s="2856">
        <f>'预评函-2'!O5</f>
        <v>180817</v>
      </c>
    </row>
    <row r="46" spans="1:2">
      <c r="A46" s="2855" t="s">
        <v>2724</v>
      </c>
      <c r="B46" s="2856">
        <f ca="1">'预评函-2'!P5</f>
        <v>144240</v>
      </c>
    </row>
    <row r="47" spans="1:2">
      <c r="A47" s="2855" t="s">
        <v>2725</v>
      </c>
      <c r="B47" s="2856">
        <f ca="1">'预评函-2'!Q5</f>
        <v>22191</v>
      </c>
    </row>
    <row r="48" spans="1:2">
      <c r="A48" s="2855" t="s">
        <v>2726</v>
      </c>
      <c r="B48" s="2856">
        <f ca="1">'预评函-2'!R5</f>
        <v>401259</v>
      </c>
    </row>
    <row r="49" spans="1:2">
      <c r="A49" s="2855" t="s">
        <v>2742</v>
      </c>
      <c r="B49" s="2856" t="str">
        <f>'预评函-2'!A6</f>
        <v>抵押价格</v>
      </c>
    </row>
    <row r="50" spans="1:2">
      <c r="A50" s="2855" t="s">
        <v>2727</v>
      </c>
      <c r="B50" s="2856" t="str">
        <f>'预评函-2'!R6</f>
        <v>——</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2.本次评估设定估价对象宗地权属无争议，未被查封或者以其他形式限制其房地产权利，未设定抵押权等他项权利，不涉及第三方权利义务。</v>
      </c>
    </row>
    <row r="60" spans="1:2">
      <c r="A60" s="2855" t="s">
        <v>2683</v>
      </c>
      <c r="B60" s="2856" t="str">
        <f>'预评函-3'!A9</f>
        <v>——</v>
      </c>
    </row>
    <row r="61" spans="1:2">
      <c r="A61" s="2855" t="s">
        <v>2685</v>
      </c>
      <c r="B61" s="2856" t="str">
        <f>'预评函-3'!A10</f>
        <v>——</v>
      </c>
    </row>
    <row r="62" spans="1:2">
      <c r="A62" s="2855" t="s">
        <v>2684</v>
      </c>
      <c r="B62" s="2856" t="str">
        <f>'预评函-3'!A11</f>
        <v>——</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v>
      </c>
    </row>
    <row r="66" spans="1:2">
      <c r="A66" s="2855" t="s">
        <v>2689</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78" t="str">
        <f>IF(B10="北京市","北京市",C10)&amp;F10&amp;B16&amp;"国有建设用地使用权"&amp;B9&amp;"预评估"</f>
        <v>出让国有建设用地使用权预评估</v>
      </c>
      <c r="C1" s="3279"/>
      <c r="D1" s="3279"/>
      <c r="E1" s="3279"/>
      <c r="F1" s="3279"/>
      <c r="G1" s="3279"/>
      <c r="H1" s="3279"/>
      <c r="I1" s="3280"/>
      <c r="J1" s="1691"/>
      <c r="K1" s="2432" t="str">
        <f>IF(B10="北京市","北京市",C10)&amp;F10&amp;B16&amp;"国有建设用地使用权"&amp;B9</f>
        <v>出让国有建设用地使用权</v>
      </c>
      <c r="L1" s="1720"/>
      <c r="M1" s="1720"/>
      <c r="N1" s="1691"/>
      <c r="O1" s="1692"/>
      <c r="P1" s="1691"/>
      <c r="Q1" s="1691"/>
      <c r="R1" s="1691"/>
      <c r="S1" s="1691"/>
      <c r="T1" s="1691"/>
      <c r="U1" s="1691"/>
    </row>
    <row r="2" spans="1:21">
      <c r="A2" s="1657" t="s">
        <v>1939</v>
      </c>
      <c r="B2" s="1839"/>
      <c r="D2" s="1691"/>
      <c r="E2" s="1691"/>
      <c r="F2" s="1691"/>
      <c r="G2" s="1691"/>
      <c r="H2" s="1657"/>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8" t="s">
        <v>1940</v>
      </c>
      <c r="B3" s="1659">
        <v>43489</v>
      </c>
      <c r="C3" s="1660" t="s">
        <v>1996</v>
      </c>
      <c r="D3" s="1659">
        <v>43489</v>
      </c>
      <c r="E3" s="1691"/>
      <c r="F3" s="1691"/>
      <c r="G3" s="1691"/>
      <c r="H3" s="1657"/>
      <c r="I3" s="1692"/>
      <c r="J3" s="1691"/>
      <c r="K3" s="1771"/>
      <c r="L3" s="1720"/>
      <c r="M3" s="1720"/>
      <c r="N3" s="1691"/>
      <c r="O3" s="1692"/>
      <c r="P3" s="1691"/>
      <c r="Q3" s="1691"/>
      <c r="R3" s="1691"/>
      <c r="S3" s="1691"/>
      <c r="T3" s="1691"/>
      <c r="U3" s="1691"/>
    </row>
    <row r="4" spans="1:21" ht="29.25" thickBot="1">
      <c r="A4" s="1661" t="s">
        <v>1941</v>
      </c>
      <c r="B4" s="1840" t="s">
        <v>2890</v>
      </c>
      <c r="C4" s="1843">
        <f>SUMIF(土地估价师,B4,估价师及机构信息!E3:E24)</f>
        <v>0</v>
      </c>
      <c r="D4" s="1840" t="s">
        <v>2890</v>
      </c>
      <c r="E4" s="1843">
        <f>SUMIF(土地估价师,D4,估价师及机构信息!E3:E24)</f>
        <v>0</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1942</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2707</v>
      </c>
      <c r="B6" s="1786"/>
      <c r="C6" s="1758"/>
      <c r="D6" s="1665"/>
      <c r="E6" s="1691"/>
      <c r="F6" s="1691"/>
      <c r="G6" s="1691"/>
      <c r="H6" s="1657"/>
      <c r="I6" s="1692"/>
      <c r="J6" s="1691"/>
      <c r="K6" s="3030"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c r="C8" s="1668"/>
      <c r="D8" s="3284" t="s">
        <v>1945</v>
      </c>
      <c r="E8" s="1841"/>
      <c r="F8" s="1669"/>
      <c r="G8" s="1657"/>
      <c r="H8" s="1657"/>
      <c r="I8" s="1704"/>
      <c r="J8" s="1691"/>
      <c r="K8" s="1771"/>
      <c r="L8" s="1720"/>
      <c r="M8" s="1720"/>
      <c r="N8" s="1691"/>
      <c r="O8" s="1692"/>
      <c r="P8" s="1691"/>
      <c r="Q8" s="1691"/>
      <c r="R8" s="1691"/>
      <c r="S8" s="1691"/>
      <c r="T8" s="1691"/>
      <c r="U8" s="1691"/>
    </row>
    <row r="9" spans="1:21" ht="15" thickBot="1">
      <c r="A9" s="1670" t="s">
        <v>1944</v>
      </c>
      <c r="B9" s="1671"/>
      <c r="C9" s="1672"/>
      <c r="D9" s="3285"/>
      <c r="E9" s="1671"/>
      <c r="F9" s="1744"/>
      <c r="G9" s="1739"/>
      <c r="H9" s="1739"/>
      <c r="I9" s="1740"/>
      <c r="J9" s="1691"/>
      <c r="K9" s="1771"/>
      <c r="L9" s="1720"/>
      <c r="M9" s="1720"/>
      <c r="N9" s="1691"/>
      <c r="O9" s="1692"/>
      <c r="P9" s="1691"/>
      <c r="Q9" s="1691"/>
      <c r="R9" s="1691"/>
      <c r="S9" s="1691"/>
      <c r="T9" s="1691"/>
      <c r="U9" s="1691"/>
    </row>
    <row r="10" spans="1:21" ht="15" thickTop="1">
      <c r="A10" s="1741" t="s">
        <v>2000</v>
      </c>
      <c r="B10" s="1716"/>
      <c r="C10" s="1673"/>
      <c r="D10" s="1664"/>
      <c r="E10" s="1674" t="s">
        <v>1947</v>
      </c>
      <c r="F10" s="1675"/>
      <c r="G10" s="1742"/>
      <c r="H10" s="1743"/>
      <c r="I10" s="1664"/>
      <c r="J10" s="1691"/>
      <c r="K10" s="1771"/>
      <c r="L10" s="1720"/>
      <c r="M10" s="1720"/>
      <c r="N10" s="1691"/>
      <c r="O10" s="1692"/>
      <c r="P10" s="1691"/>
      <c r="Q10" s="1691"/>
      <c r="R10" s="1691"/>
      <c r="S10" s="1691"/>
      <c r="T10" s="1691"/>
      <c r="U10" s="1691"/>
    </row>
    <row r="11" spans="1:21">
      <c r="A11" s="1694" t="s">
        <v>2001</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2059</v>
      </c>
      <c r="B12" s="3281"/>
      <c r="C12" s="3282"/>
      <c r="D12" s="3283"/>
      <c r="E12" s="1696" t="s">
        <v>2062</v>
      </c>
      <c r="F12" s="3299" t="s">
        <v>2891</v>
      </c>
      <c r="G12" s="3300"/>
      <c r="H12" s="3300"/>
      <c r="I12" s="3301"/>
      <c r="J12" s="1691"/>
      <c r="K12" s="1771"/>
      <c r="L12" s="1720"/>
      <c r="M12" s="1720"/>
      <c r="N12" s="1691"/>
      <c r="O12" s="1692"/>
      <c r="P12" s="1691"/>
      <c r="Q12" s="1691"/>
      <c r="R12" s="1691"/>
      <c r="S12" s="1691"/>
      <c r="T12" s="1691"/>
      <c r="U12" s="1691"/>
    </row>
    <row r="13" spans="1:21">
      <c r="A13" s="1684" t="s">
        <v>2060</v>
      </c>
      <c r="B13" s="3281"/>
      <c r="C13" s="3282"/>
      <c r="D13" s="3283"/>
      <c r="E13" s="1696" t="s">
        <v>2062</v>
      </c>
      <c r="F13" s="3299" t="s">
        <v>2892</v>
      </c>
      <c r="G13" s="3300"/>
      <c r="H13" s="3300"/>
      <c r="I13" s="3301"/>
      <c r="J13" s="1691"/>
      <c r="K13" s="1771"/>
      <c r="L13" s="1720"/>
      <c r="M13" s="1720"/>
      <c r="N13" s="1691"/>
      <c r="O13" s="1692"/>
      <c r="P13" s="1691"/>
      <c r="Q13" s="1691"/>
      <c r="R13" s="1691"/>
      <c r="S13" s="1691"/>
      <c r="T13" s="1691"/>
      <c r="U13" s="1691"/>
    </row>
    <row r="14" spans="1:21">
      <c r="A14" s="1658" t="s">
        <v>2063</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22"/>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28.5">
      <c r="A16" s="1677" t="s">
        <v>1948</v>
      </c>
      <c r="B16" s="1678" t="s">
        <v>2993</v>
      </c>
      <c r="C16" s="1696" t="s">
        <v>1949</v>
      </c>
      <c r="D16" s="2623" t="s">
        <v>1950</v>
      </c>
      <c r="E16" s="1719" t="s">
        <v>2992</v>
      </c>
      <c r="F16" s="1719" t="s">
        <v>1678</v>
      </c>
      <c r="G16" s="1719"/>
      <c r="H16" s="1719"/>
      <c r="I16" s="1683" t="s">
        <v>1955</v>
      </c>
      <c r="J16" s="1691"/>
      <c r="K16" s="2433" t="str">
        <f>IF(D17="","",D16&amp;TEXT(D17,"yyyy年m月d日;;"))</f>
        <v>住宅2089年1月23日</v>
      </c>
      <c r="L16" s="1696" t="str">
        <f>IF(OR(K16="",M16=""),"","、")</f>
        <v>、</v>
      </c>
      <c r="M16" s="2433" t="str">
        <f>IF(E17="","",E16&amp;TEXT(E17,"yyyy年m月d日;;"))</f>
        <v>商业2059年1月23日</v>
      </c>
      <c r="N16" s="1696" t="str">
        <f>IF(OR(M16="",O16=""),"","、")</f>
        <v>、</v>
      </c>
      <c r="O16" s="2433" t="str">
        <f>IF(F17="","",F16&amp;TEXT(F17,"yyyy年m月d日;;"))</f>
        <v>办公2059年1月23日</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3178">
        <v>69056</v>
      </c>
      <c r="E17" s="3178">
        <v>58098</v>
      </c>
      <c r="F17" s="3178">
        <v>58098</v>
      </c>
      <c r="G17" s="1697"/>
      <c r="H17" s="1697"/>
      <c r="I17" s="1697"/>
      <c r="J17" s="1691"/>
      <c r="K17" s="2432" t="str">
        <f>CONCATENATE(K16,L16,M16,N16,O16,P16,Q16,R16,S16,T16,,U16)</f>
        <v>住宅2089年1月23日、商业2059年1月23日、办公2059年1月23日</v>
      </c>
      <c r="L17" s="1720"/>
      <c r="M17" s="1720"/>
      <c r="N17" s="1691"/>
      <c r="O17" s="1692"/>
      <c r="P17" s="1691"/>
      <c r="Q17" s="1691"/>
      <c r="R17" s="1691"/>
      <c r="S17" s="1691"/>
      <c r="T17" s="1691"/>
      <c r="U17" s="1691"/>
    </row>
    <row r="18" spans="1:21">
      <c r="A18" s="1760"/>
      <c r="B18" s="1679"/>
      <c r="C18" s="1680" t="s">
        <v>1957</v>
      </c>
      <c r="D18" s="1681">
        <v>70</v>
      </c>
      <c r="E18" s="1681">
        <v>40</v>
      </c>
      <c r="F18" s="1681">
        <v>40</v>
      </c>
      <c r="G18" s="1681"/>
      <c r="H18" s="1681"/>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70</v>
      </c>
      <c r="E19" s="1682">
        <f>IF(B16="出让",IF(E17="","",ROUNDDOWN(MIN((E17-$D$3)/365,E18),2)),E18)</f>
        <v>40</v>
      </c>
      <c r="F19" s="1682">
        <f>IF(B16="出让",IF(F17="","",ROUNDDOWN(MIN((F17-$D$3)/365,F18),2)),F18)</f>
        <v>40</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2061</v>
      </c>
      <c r="D20" s="3296"/>
      <c r="E20" s="3297"/>
      <c r="F20" s="3297"/>
      <c r="G20" s="3297"/>
      <c r="H20" s="3297"/>
      <c r="I20" s="3298"/>
      <c r="J20" s="1691"/>
      <c r="K20" s="1771"/>
      <c r="L20" s="1720"/>
      <c r="M20" s="1720"/>
      <c r="N20" s="1691"/>
      <c r="O20" s="1692"/>
      <c r="P20" s="1691"/>
      <c r="Q20" s="1691"/>
      <c r="R20" s="1691"/>
      <c r="S20" s="1691"/>
      <c r="T20" s="1691"/>
      <c r="U20" s="1691"/>
    </row>
    <row r="21" spans="1:21">
      <c r="A21" s="1760" t="s">
        <v>1959</v>
      </c>
      <c r="B21" s="1761" t="s">
        <v>1960</v>
      </c>
      <c r="C21" s="1756">
        <f>'数据-汇总表'!E3</f>
        <v>180817</v>
      </c>
      <c r="D21" s="1757" t="s">
        <v>1961</v>
      </c>
      <c r="E21" s="3286" t="s">
        <v>1999</v>
      </c>
      <c r="F21" s="3287"/>
      <c r="G21" s="3287"/>
      <c r="H21" s="3287"/>
      <c r="I21" s="3288"/>
      <c r="J21" s="1691"/>
      <c r="K21" s="1771"/>
      <c r="L21" s="1720"/>
      <c r="M21" s="1720"/>
      <c r="N21" s="1691"/>
      <c r="O21" s="1692"/>
      <c r="P21" s="1691"/>
      <c r="Q21" s="1691"/>
      <c r="R21" s="1691"/>
      <c r="S21" s="1691"/>
      <c r="T21" s="1691"/>
      <c r="U21" s="1691"/>
    </row>
    <row r="22" spans="1:21">
      <c r="A22" s="3123" t="s">
        <v>952</v>
      </c>
      <c r="B22" s="1658" t="s">
        <v>1962</v>
      </c>
      <c r="C22" s="1683">
        <f>'数据-汇总表'!D3</f>
        <v>27818.76</v>
      </c>
      <c r="D22" s="1684" t="s">
        <v>1961</v>
      </c>
      <c r="E22" s="3286" t="s">
        <v>2893</v>
      </c>
      <c r="F22" s="3287"/>
      <c r="G22" s="3287"/>
      <c r="H22" s="3287"/>
      <c r="I22" s="3288"/>
      <c r="J22" s="1691"/>
      <c r="K22" s="1771"/>
      <c r="L22" s="1720"/>
      <c r="M22" s="1720"/>
      <c r="N22" s="1691"/>
      <c r="O22" s="1692"/>
      <c r="P22" s="1691"/>
      <c r="Q22" s="1691"/>
      <c r="R22" s="1691"/>
      <c r="S22" s="1691"/>
      <c r="T22" s="1691"/>
      <c r="U22" s="1691"/>
    </row>
    <row r="23" spans="1:21" ht="43.5" thickBot="1">
      <c r="A23" s="1762" t="s">
        <v>1963</v>
      </c>
      <c r="B23" s="1698" t="s">
        <v>1964</v>
      </c>
      <c r="C23" s="1699"/>
      <c r="D23" s="1700" t="s">
        <v>1965</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89" t="s">
        <v>1967</v>
      </c>
      <c r="C24" s="3290"/>
      <c r="D24" s="3291" t="s">
        <v>1968</v>
      </c>
      <c r="E24" s="3292"/>
      <c r="F24" s="1705" t="s">
        <v>1969</v>
      </c>
      <c r="G24" s="1691"/>
      <c r="H24" s="1691"/>
      <c r="I24" s="1704"/>
      <c r="J24" s="1691"/>
      <c r="K24" s="3277" t="s">
        <v>1970</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2326</v>
      </c>
      <c r="C25" s="1706" t="s">
        <v>1971</v>
      </c>
      <c r="D25" s="1707"/>
      <c r="E25" s="1708" t="s">
        <v>952</v>
      </c>
      <c r="F25" s="1709"/>
      <c r="G25" s="1691"/>
      <c r="H25" s="1691"/>
      <c r="I25" s="1704"/>
      <c r="J25" s="1691"/>
      <c r="K25" s="3277"/>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1972</v>
      </c>
      <c r="C26" s="1706" t="s">
        <v>2327</v>
      </c>
      <c r="D26" s="1657"/>
      <c r="E26" s="1657"/>
      <c r="F26" s="1685"/>
      <c r="G26" s="1691"/>
      <c r="H26" s="1691"/>
      <c r="I26" s="1704"/>
      <c r="J26" s="1691"/>
      <c r="K26" s="3277"/>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2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2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2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3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63" t="s">
        <v>2002</v>
      </c>
      <c r="B31" s="1761" t="s">
        <v>2003</v>
      </c>
      <c r="C31" s="3302"/>
      <c r="D31" s="3303"/>
      <c r="E31" s="1691"/>
      <c r="F31" s="1691"/>
      <c r="G31" s="1691"/>
      <c r="H31" s="1691"/>
      <c r="I31" s="1704"/>
      <c r="J31" s="1691"/>
      <c r="K31" s="2435"/>
      <c r="L31" s="1691"/>
      <c r="M31" s="1691"/>
      <c r="N31" s="1691"/>
      <c r="O31" s="1691"/>
      <c r="P31" s="1691"/>
      <c r="Q31" s="1691"/>
      <c r="R31" s="1691"/>
      <c r="S31" s="1691"/>
      <c r="T31" s="1691"/>
      <c r="U31" s="1691"/>
    </row>
    <row r="32" spans="1:21">
      <c r="A32" s="3263"/>
      <c r="B32" s="1658" t="s">
        <v>2004</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63"/>
      <c r="B33" s="1658" t="s">
        <v>2005</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64"/>
      <c r="B34" s="1658" t="s">
        <v>2006</v>
      </c>
      <c r="C34" s="3265"/>
      <c r="D34" s="3266"/>
      <c r="E34" s="1691"/>
      <c r="F34" s="1691"/>
      <c r="G34" s="1691"/>
      <c r="H34" s="1691"/>
      <c r="I34" s="1704"/>
      <c r="J34" s="1691"/>
      <c r="K34" s="2435"/>
      <c r="L34" s="1691"/>
      <c r="M34" s="1691"/>
      <c r="N34" s="1691"/>
      <c r="O34" s="1691"/>
      <c r="P34" s="1691"/>
      <c r="Q34" s="1691"/>
      <c r="R34" s="1691"/>
      <c r="S34" s="1691"/>
      <c r="T34" s="1691"/>
      <c r="U34" s="1691"/>
    </row>
    <row r="35" spans="1:21">
      <c r="A35" s="3267" t="s">
        <v>847</v>
      </c>
      <c r="B35" s="1719"/>
      <c r="C35" s="1773" t="str">
        <f>IF(B35="场地平整","——","具体情况：")</f>
        <v>具体情况：</v>
      </c>
      <c r="D35" s="3269"/>
      <c r="E35" s="3270"/>
      <c r="F35" s="3270"/>
      <c r="G35" s="3270"/>
      <c r="H35" s="3270"/>
      <c r="I35" s="3271"/>
      <c r="J35" s="1691"/>
      <c r="K35" s="1772"/>
      <c r="L35" s="1720"/>
      <c r="M35" s="1720"/>
      <c r="N35" s="1691"/>
      <c r="O35" s="1692"/>
      <c r="P35" s="1691"/>
      <c r="Q35" s="1691"/>
      <c r="R35" s="1691"/>
      <c r="S35" s="1691"/>
      <c r="T35" s="1691"/>
      <c r="U35" s="1691"/>
    </row>
    <row r="36" spans="1:21">
      <c r="A36" s="3263"/>
      <c r="B36" s="3272" t="s">
        <v>2055</v>
      </c>
      <c r="C36" s="3273"/>
      <c r="D36" s="1789"/>
      <c r="E36" s="3274"/>
      <c r="F36" s="3274"/>
      <c r="G36" s="1684" t="str">
        <f>IF(B35="场地未平整","估价结果处理","")</f>
        <v/>
      </c>
      <c r="H36" s="3275"/>
      <c r="I36" s="3275"/>
      <c r="J36" s="1691"/>
      <c r="K36" s="1772"/>
      <c r="L36" s="1720"/>
      <c r="M36" s="1720"/>
      <c r="N36" s="1691"/>
      <c r="O36" s="1692"/>
      <c r="P36" s="1691"/>
      <c r="Q36" s="1691"/>
      <c r="R36" s="1691"/>
      <c r="S36" s="1691"/>
      <c r="T36" s="1691"/>
      <c r="U36" s="1691"/>
    </row>
    <row r="37" spans="1:21" ht="28.5">
      <c r="A37" s="3263"/>
      <c r="B37" s="329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63"/>
      <c r="B38" s="3294"/>
      <c r="C38" s="1666" t="s">
        <v>850</v>
      </c>
      <c r="D38" s="1788">
        <f>ROUNDDOWN(MIN(('数据-取费表'!$B$2-D37)/365,D34),1)</f>
        <v>119.1</v>
      </c>
      <c r="E38" s="1724" t="s">
        <v>851</v>
      </c>
      <c r="F38" s="1691"/>
      <c r="G38" s="1691"/>
      <c r="H38" s="1691"/>
      <c r="I38" s="1704"/>
      <c r="J38" s="1691"/>
      <c r="K38" s="1772"/>
      <c r="L38" s="1691"/>
      <c r="M38" s="1691"/>
      <c r="N38" s="1691"/>
      <c r="O38" s="1691"/>
      <c r="P38" s="1691"/>
      <c r="Q38" s="1691"/>
      <c r="R38" s="1691"/>
      <c r="S38" s="1691"/>
      <c r="T38" s="1691"/>
      <c r="U38" s="1691"/>
    </row>
    <row r="39" spans="1:21">
      <c r="A39" s="3264"/>
      <c r="B39" s="329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c r="C40" s="1687"/>
      <c r="D40" s="1687"/>
      <c r="E40" s="1687"/>
      <c r="F40" s="1687"/>
      <c r="G40" s="1687"/>
      <c r="H40" s="1687"/>
      <c r="I40" s="1704"/>
      <c r="J40" s="1691"/>
      <c r="K40" s="1727">
        <f>COUNTIF(B40:H40,"——")</f>
        <v>0</v>
      </c>
      <c r="L40" s="1696" t="s">
        <v>1979</v>
      </c>
      <c r="M40" s="1693" t="s">
        <v>1980</v>
      </c>
      <c r="N40" s="1693" t="s">
        <v>1981</v>
      </c>
      <c r="O40" s="1693" t="s">
        <v>1982</v>
      </c>
      <c r="P40" s="1693" t="s">
        <v>1983</v>
      </c>
      <c r="Q40" s="1693" t="s">
        <v>1984</v>
      </c>
      <c r="R40" s="1693" t="s">
        <v>1985</v>
      </c>
      <c r="S40" s="3276" t="s">
        <v>1986</v>
      </c>
      <c r="T40" s="1728" t="str">
        <f>NUMBERSTRING(7-K40,1)&amp;"通"</f>
        <v>七通</v>
      </c>
      <c r="U40" s="1691"/>
    </row>
    <row r="41" spans="1:21">
      <c r="A41" s="1660"/>
      <c r="B41" s="3268" t="s">
        <v>1722</v>
      </c>
      <c r="C41" s="3268"/>
      <c r="D41" s="3268"/>
      <c r="E41" s="3268"/>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76"/>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7" customFormat="1" ht="21" thickBot="1">
      <c r="A45" s="3048" t="s">
        <v>2894</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2007</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2008</v>
      </c>
      <c r="B48" s="1683" t="s">
        <v>2009</v>
      </c>
      <c r="C48" s="1683" t="s">
        <v>2010</v>
      </c>
      <c r="D48" s="1683" t="s">
        <v>2011</v>
      </c>
      <c r="E48" s="1683" t="s">
        <v>2012</v>
      </c>
      <c r="F48" s="1683" t="s">
        <v>2013</v>
      </c>
      <c r="G48" s="1683" t="s">
        <v>2014</v>
      </c>
      <c r="H48" s="1683" t="s">
        <v>2015</v>
      </c>
      <c r="I48" s="1683" t="s">
        <v>2016</v>
      </c>
      <c r="J48" s="1769" t="s">
        <v>2017</v>
      </c>
      <c r="K48" s="1763" t="s">
        <v>2018</v>
      </c>
      <c r="L48" s="1763" t="s">
        <v>2019</v>
      </c>
      <c r="M48" s="1763" t="s">
        <v>2020</v>
      </c>
      <c r="N48" s="1683" t="s">
        <v>2021</v>
      </c>
      <c r="O48" s="1683" t="s">
        <v>2022</v>
      </c>
      <c r="P48" s="1683" t="s">
        <v>2023</v>
      </c>
      <c r="Q48" s="1696" t="s">
        <v>2024</v>
      </c>
      <c r="R48" s="1696" t="s">
        <v>2025</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9" sqref="L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39" width="9.5" style="15" customWidth="1"/>
    <col min="40"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2334</v>
      </c>
      <c r="BA2" s="233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27818.76</v>
      </c>
      <c r="B3" s="22">
        <f>IF(C3="否",G5-AT5,G5)</f>
        <v>180817</v>
      </c>
      <c r="C3" s="23" t="s">
        <v>3127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180817</v>
      </c>
      <c r="H5" s="27">
        <f t="shared" ref="H5:AT5" si="0">SUM(H13:H641)</f>
        <v>175537</v>
      </c>
      <c r="I5" s="27">
        <f t="shared" si="0"/>
        <v>126572</v>
      </c>
      <c r="J5" s="27">
        <f t="shared" si="0"/>
        <v>0</v>
      </c>
      <c r="K5" s="27">
        <f t="shared" si="0"/>
        <v>5636</v>
      </c>
      <c r="L5" s="27">
        <f t="shared" si="0"/>
        <v>0</v>
      </c>
      <c r="M5" s="27">
        <f t="shared" si="0"/>
        <v>43329</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5280</v>
      </c>
      <c r="AD5" s="27">
        <f t="shared" si="0"/>
        <v>0</v>
      </c>
      <c r="AE5" s="27">
        <f t="shared" si="0"/>
        <v>0</v>
      </c>
      <c r="AF5" s="27">
        <f t="shared" si="0"/>
        <v>0</v>
      </c>
      <c r="AG5" s="27">
        <f t="shared" si="0"/>
        <v>0</v>
      </c>
      <c r="AH5" s="27">
        <f t="shared" si="0"/>
        <v>0</v>
      </c>
      <c r="AI5" s="27">
        <f t="shared" si="0"/>
        <v>0</v>
      </c>
      <c r="AJ5" s="27">
        <f t="shared" si="0"/>
        <v>0</v>
      </c>
      <c r="AK5" s="27">
        <f t="shared" si="0"/>
        <v>0</v>
      </c>
      <c r="AL5" s="27">
        <f t="shared" si="0"/>
        <v>5280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180817</v>
      </c>
      <c r="BA5" s="29">
        <f t="shared" si="1"/>
        <v>175537</v>
      </c>
      <c r="BB5" s="29">
        <f t="shared" si="1"/>
        <v>126572</v>
      </c>
      <c r="BC5" s="29">
        <f t="shared" si="1"/>
        <v>5636</v>
      </c>
      <c r="BD5" s="29">
        <f t="shared" si="1"/>
        <v>43329</v>
      </c>
      <c r="BE5" s="29">
        <f t="shared" si="1"/>
        <v>0</v>
      </c>
      <c r="BF5" s="29">
        <f t="shared" si="1"/>
        <v>0</v>
      </c>
      <c r="BG5" s="29">
        <f t="shared" si="1"/>
        <v>0</v>
      </c>
      <c r="BH5" s="29">
        <f t="shared" si="1"/>
        <v>0</v>
      </c>
      <c r="BI5" s="29">
        <f t="shared" si="1"/>
        <v>0</v>
      </c>
      <c r="BJ5" s="29">
        <f t="shared" si="1"/>
        <v>0</v>
      </c>
      <c r="BK5" s="29">
        <f t="shared" si="1"/>
        <v>0</v>
      </c>
      <c r="BL5" s="29">
        <f t="shared" si="1"/>
        <v>5280</v>
      </c>
      <c r="BM5" s="29">
        <f t="shared" si="1"/>
        <v>0</v>
      </c>
      <c r="BN5" s="29">
        <f t="shared" si="1"/>
        <v>0</v>
      </c>
      <c r="BO5" s="29">
        <f t="shared" si="1"/>
        <v>0</v>
      </c>
      <c r="BP5" s="29">
        <f t="shared" si="1"/>
        <v>0</v>
      </c>
      <c r="BQ5" s="29">
        <f t="shared" si="1"/>
        <v>5280</v>
      </c>
      <c r="BR5" s="29">
        <f t="shared" si="1"/>
        <v>0</v>
      </c>
      <c r="BS5" s="29">
        <f t="shared" si="1"/>
        <v>0</v>
      </c>
      <c r="BT5" s="30">
        <f t="shared" si="1"/>
        <v>0</v>
      </c>
    </row>
    <row r="6" spans="1:72" s="37" customFormat="1" ht="12.75">
      <c r="A6" s="26" t="s">
        <v>169</v>
      </c>
      <c r="B6" s="31"/>
      <c r="C6" s="31"/>
      <c r="D6" s="32"/>
      <c r="E6" s="27">
        <f>H6+AC6+AT6</f>
        <v>27818.760000000002</v>
      </c>
      <c r="F6" s="27" t="s">
        <v>1</v>
      </c>
      <c r="G6" s="27" t="s">
        <v>2</v>
      </c>
      <c r="H6" s="33">
        <f>SUMIF(I$12:AB$12,"总值",I6:AB6)</f>
        <v>27006.43</v>
      </c>
      <c r="I6" s="27">
        <f t="shared" ref="I6:AB6" si="2">ROUND($A$3*I5/$B$3,2)</f>
        <v>19473.150000000001</v>
      </c>
      <c r="J6" s="27">
        <f t="shared" si="2"/>
        <v>0</v>
      </c>
      <c r="K6" s="27">
        <f t="shared" si="2"/>
        <v>867.1</v>
      </c>
      <c r="L6" s="27">
        <f t="shared" si="2"/>
        <v>0</v>
      </c>
      <c r="M6" s="27">
        <f t="shared" si="2"/>
        <v>6666.18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812.33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812.33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27818.76</v>
      </c>
      <c r="AZ6" s="27" t="s">
        <v>3</v>
      </c>
      <c r="BA6" s="27">
        <f>ROUND($AY$6*BA5/$AZ$5,2)</f>
        <v>27006.43</v>
      </c>
      <c r="BB6" s="27">
        <f>ROUND($AY$6*BB5/$AZ$5,2)</f>
        <v>19473.150000000001</v>
      </c>
      <c r="BC6" s="27">
        <f t="shared" ref="BC6:BH6" si="4">ROUND($AY$6*BC5/$AZ$5,2)</f>
        <v>867.1</v>
      </c>
      <c r="BD6" s="27">
        <f t="shared" si="4"/>
        <v>6666.18</v>
      </c>
      <c r="BE6" s="27">
        <f t="shared" si="4"/>
        <v>0</v>
      </c>
      <c r="BF6" s="27">
        <f t="shared" si="4"/>
        <v>0</v>
      </c>
      <c r="BG6" s="27">
        <f t="shared" si="4"/>
        <v>0</v>
      </c>
      <c r="BH6" s="27">
        <f t="shared" si="4"/>
        <v>0</v>
      </c>
      <c r="BI6" s="27">
        <f t="shared" ref="BI6:BT6" si="5">ROUND($AY$6*BI5/$AZ$5,2)</f>
        <v>0</v>
      </c>
      <c r="BJ6" s="27">
        <f t="shared" si="5"/>
        <v>0</v>
      </c>
      <c r="BK6" s="27">
        <f t="shared" si="5"/>
        <v>0</v>
      </c>
      <c r="BL6" s="27">
        <f t="shared" si="5"/>
        <v>812.33</v>
      </c>
      <c r="BM6" s="27">
        <f t="shared" si="5"/>
        <v>0</v>
      </c>
      <c r="BN6" s="27">
        <f t="shared" si="5"/>
        <v>0</v>
      </c>
      <c r="BO6" s="27">
        <f t="shared" si="5"/>
        <v>0</v>
      </c>
      <c r="BP6" s="27">
        <f t="shared" si="5"/>
        <v>0</v>
      </c>
      <c r="BQ6" s="27">
        <f t="shared" si="5"/>
        <v>812.33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2994</v>
      </c>
      <c r="J9" s="51"/>
      <c r="K9" s="2993" t="s">
        <v>2994</v>
      </c>
      <c r="L9" s="51"/>
      <c r="M9" s="2993" t="s">
        <v>2994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t="s">
        <v>2992</v>
      </c>
      <c r="L10" s="51"/>
      <c r="M10" s="2995" t="s">
        <v>2992</v>
      </c>
      <c r="N10" s="51"/>
      <c r="O10" s="66"/>
      <c r="P10" s="51"/>
      <c r="Q10" s="66"/>
      <c r="R10" s="51"/>
      <c r="S10" s="66"/>
      <c r="T10" s="51"/>
      <c r="U10" s="66"/>
      <c r="V10" s="51"/>
      <c r="W10" s="66"/>
      <c r="X10" s="51"/>
      <c r="Y10" s="66"/>
      <c r="Z10" s="51"/>
      <c r="AA10" s="66"/>
      <c r="AB10" s="51"/>
      <c r="AC10" s="55"/>
      <c r="AD10" s="2312" t="s">
        <v>2318</v>
      </c>
      <c r="AE10" s="2334"/>
      <c r="AF10" s="2312" t="s">
        <v>2318</v>
      </c>
      <c r="AG10" s="2334"/>
      <c r="AH10" s="2312" t="s">
        <v>2319</v>
      </c>
      <c r="AI10" s="2334"/>
      <c r="AJ10" s="26" t="s">
        <v>2332</v>
      </c>
      <c r="AK10" s="2331"/>
      <c r="AL10" s="2312" t="s">
        <v>2320</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c r="J11" s="71"/>
      <c r="K11" s="2994" t="s">
        <v>2995</v>
      </c>
      <c r="L11" s="71"/>
      <c r="M11" s="70" t="s">
        <v>2996</v>
      </c>
      <c r="N11" s="71"/>
      <c r="O11" s="70"/>
      <c r="P11" s="71"/>
      <c r="Q11" s="70"/>
      <c r="R11" s="71"/>
      <c r="S11" s="70"/>
      <c r="T11" s="71"/>
      <c r="U11" s="70"/>
      <c r="V11" s="71"/>
      <c r="W11" s="70"/>
      <c r="X11" s="71"/>
      <c r="Y11" s="70"/>
      <c r="Z11" s="71"/>
      <c r="AA11" s="70"/>
      <c r="AB11" s="71"/>
      <c r="AC11" s="55"/>
      <c r="AD11" s="2332" t="s">
        <v>2331</v>
      </c>
      <c r="AE11" s="1001"/>
      <c r="AF11" s="2332" t="s">
        <v>2331</v>
      </c>
      <c r="AG11" s="1001"/>
      <c r="AH11" s="2332" t="s">
        <v>2330</v>
      </c>
      <c r="AI11" s="2333"/>
      <c r="AJ11" s="2332" t="s">
        <v>2330</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t="str">
        <f>K11</f>
        <v>底商</v>
      </c>
      <c r="BD12" s="79" t="str">
        <f>M11</f>
        <v>办公楼</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t="s">
        <v>3110</v>
      </c>
      <c r="D13" s="2989" t="s">
        <v>1679</v>
      </c>
      <c r="E13" s="27">
        <f t="shared" ref="E13:E20" si="6">IF($C$3="是",ROUND($A$3*G13/$B$3,2),ROUND($A$3*(G13-AT13)/$B$3,2))</f>
        <v>27818.76</v>
      </c>
      <c r="F13" s="81"/>
      <c r="G13" s="82">
        <f t="shared" ref="G13:G20" si="7">H13+AC13+AT13</f>
        <v>180817</v>
      </c>
      <c r="H13" s="33">
        <f t="shared" ref="H13:H20" si="8">SUMIF(I$12:AB$12,"总值",I13:AB13)</f>
        <v>175537</v>
      </c>
      <c r="I13" s="2992">
        <v>126572</v>
      </c>
      <c r="J13" s="2992"/>
      <c r="K13" s="2992">
        <v>5636</v>
      </c>
      <c r="L13" s="2992"/>
      <c r="M13" s="2992">
        <v>43329</v>
      </c>
      <c r="N13" s="83"/>
      <c r="O13" s="83"/>
      <c r="P13" s="83"/>
      <c r="Q13" s="83"/>
      <c r="R13" s="83"/>
      <c r="S13" s="83"/>
      <c r="T13" s="83"/>
      <c r="U13" s="83"/>
      <c r="V13" s="83"/>
      <c r="W13" s="83"/>
      <c r="X13" s="83"/>
      <c r="Y13" s="83"/>
      <c r="Z13" s="83"/>
      <c r="AA13" s="83"/>
      <c r="AB13" s="83"/>
      <c r="AC13" s="27">
        <f t="shared" ref="AC13:AC20" si="9">SUMIF(AD$12:AS$12,"总值",AD13:AS13)</f>
        <v>5280</v>
      </c>
      <c r="AD13" s="2996"/>
      <c r="AE13" s="2996"/>
      <c r="AF13" s="2996"/>
      <c r="AG13" s="2996"/>
      <c r="AH13" s="2996"/>
      <c r="AI13" s="2996"/>
      <c r="AJ13" s="2996"/>
      <c r="AK13" s="2996"/>
      <c r="AL13" s="2996">
        <f>3000+250+50+360+500+60+60+1000</f>
        <v>5280</v>
      </c>
      <c r="AM13" s="2996"/>
      <c r="AN13" s="2996"/>
      <c r="AO13" s="2996"/>
      <c r="AP13" s="2996"/>
      <c r="AQ13" s="2996"/>
      <c r="AR13" s="2996"/>
      <c r="AS13" s="2996"/>
      <c r="AT13" s="2997"/>
      <c r="AU13" s="2998"/>
      <c r="AV13" s="17">
        <f t="shared" ref="AV13:AX20" si="10">A13</f>
        <v>0</v>
      </c>
      <c r="AW13" s="17">
        <f t="shared" si="10"/>
        <v>0</v>
      </c>
      <c r="AX13" s="17" t="str">
        <f t="shared" si="10"/>
        <v>地块一</v>
      </c>
      <c r="AY13" s="995">
        <f t="shared" ref="AY13:AY20" si="11">ROUND($AY$6*AZ13/$AZ$5,2)</f>
        <v>27818.76</v>
      </c>
      <c r="AZ13" s="27">
        <f t="shared" ref="AZ13:AZ20" si="12">BA13+BL13</f>
        <v>180817</v>
      </c>
      <c r="BA13" s="27">
        <f t="shared" ref="BA13:BA20" si="13">SUM(BB13:BK13)</f>
        <v>175537</v>
      </c>
      <c r="BB13" s="27">
        <f t="shared" ref="BB13:BB20" si="14">IF($D13="是",I13-J13,0)</f>
        <v>126572</v>
      </c>
      <c r="BC13" s="27">
        <f t="shared" ref="BC13:BC20" si="15">IF($D13="是",K13-L13,0)</f>
        <v>5636</v>
      </c>
      <c r="BD13" s="27">
        <f t="shared" ref="BD13:BD20" si="16">IF($D13="是",M13-N13,0)</f>
        <v>43329</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5280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5280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28.5">
      <c r="A3" s="3304"/>
      <c r="B3" s="3304"/>
      <c r="C3" s="3304"/>
      <c r="D3" s="3305"/>
      <c r="E3" s="33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K34" sqref="K3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15" t="s">
        <v>203</v>
      </c>
      <c r="B2" s="3315"/>
      <c r="C2" s="3315"/>
      <c r="D2" s="1973" t="s">
        <v>204</v>
      </c>
      <c r="E2" s="106" t="s">
        <v>205</v>
      </c>
      <c r="F2" s="1982"/>
      <c r="G2" s="1197"/>
      <c r="H2" s="1198"/>
      <c r="I2" s="1199" t="s">
        <v>857</v>
      </c>
      <c r="J2" s="1982"/>
      <c r="K2" s="1982"/>
      <c r="L2" s="1982"/>
    </row>
    <row r="3" spans="1:16" ht="15.75" thickBot="1">
      <c r="A3" s="3316" t="s">
        <v>206</v>
      </c>
      <c r="B3" s="3316"/>
      <c r="C3" s="3316"/>
      <c r="D3" s="107">
        <f>'数据-基础表'!AY6</f>
        <v>27818.76</v>
      </c>
      <c r="E3" s="107">
        <f>'数据-基础表'!AZ5</f>
        <v>180817</v>
      </c>
      <c r="F3" s="1982"/>
      <c r="G3" s="280" t="s">
        <v>858</v>
      </c>
      <c r="H3" s="275" t="s">
        <v>859</v>
      </c>
      <c r="I3" s="1974">
        <f>ROUND('数据-基础表'!B3/'数据-基础表'!A3,2)</f>
        <v>6.5</v>
      </c>
      <c r="J3" s="1982"/>
      <c r="K3" s="1982"/>
      <c r="L3" s="1982"/>
    </row>
    <row r="4" spans="1:16" ht="15">
      <c r="A4" s="3317"/>
      <c r="B4" s="3318"/>
      <c r="C4" s="3319"/>
      <c r="D4" s="108" t="s">
        <v>204</v>
      </c>
      <c r="E4" s="109" t="s">
        <v>205</v>
      </c>
      <c r="F4" s="1982"/>
      <c r="G4" s="1200"/>
      <c r="H4" s="275" t="s">
        <v>860</v>
      </c>
      <c r="I4" s="1974">
        <f>ROUND(SUMIF('数据-基础表'!I9:AS9,"地上",'数据-基础表'!I5:AS5)/'数据-基础表'!A3,2)</f>
        <v>6.5</v>
      </c>
      <c r="J4" s="1982"/>
      <c r="K4" s="1982"/>
      <c r="L4" s="1982"/>
    </row>
    <row r="5" spans="1:16">
      <c r="A5" s="110" t="s">
        <v>207</v>
      </c>
      <c r="B5" s="3320" t="s">
        <v>230</v>
      </c>
      <c r="C5" s="3320"/>
      <c r="D5" s="111">
        <f>ROUND($D$3*E5/$E$3,2)</f>
        <v>19473.150000000001</v>
      </c>
      <c r="E5" s="112">
        <f>SUMIF('数据-基础表'!$11:$11,"住宅",'数据-基础表'!$5:$5)</f>
        <v>126572</v>
      </c>
      <c r="F5" s="1982"/>
      <c r="G5" s="280" t="s">
        <v>861</v>
      </c>
      <c r="H5" s="275" t="s">
        <v>859</v>
      </c>
      <c r="I5" s="1974">
        <f>ROUND(E31/D31,2)</f>
        <v>6.5</v>
      </c>
      <c r="J5" s="1982"/>
      <c r="K5" s="1982"/>
      <c r="L5" s="1982"/>
    </row>
    <row r="6" spans="1:16" ht="15" thickBot="1">
      <c r="A6" s="113"/>
      <c r="B6" s="3320" t="s">
        <v>208</v>
      </c>
      <c r="C6" s="3320"/>
      <c r="D6" s="111">
        <f>ROUND($D$3*E6/$E$3,2)</f>
        <v>8345.61</v>
      </c>
      <c r="E6" s="112">
        <f>E3-E5</f>
        <v>54245</v>
      </c>
      <c r="F6" s="1982"/>
      <c r="G6" s="1200"/>
      <c r="H6" s="275" t="s">
        <v>860</v>
      </c>
      <c r="I6" s="1974">
        <f>ROUND(F31/D31,2)</f>
        <v>6.5</v>
      </c>
      <c r="J6" s="1982"/>
      <c r="K6" s="1982"/>
      <c r="L6" s="1982"/>
    </row>
    <row r="7" spans="1:16" ht="15">
      <c r="A7" s="3312"/>
      <c r="B7" s="3313"/>
      <c r="C7" s="3314"/>
      <c r="D7" s="108" t="s">
        <v>204</v>
      </c>
      <c r="E7" s="114" t="s">
        <v>231</v>
      </c>
      <c r="F7" s="1982"/>
      <c r="G7" s="1155" t="s">
        <v>1646</v>
      </c>
      <c r="H7" s="1156"/>
      <c r="I7" s="1844"/>
      <c r="J7" s="1982"/>
      <c r="K7" s="1982"/>
      <c r="L7" s="1982"/>
    </row>
    <row r="8" spans="1:16">
      <c r="A8" s="110" t="s">
        <v>209</v>
      </c>
      <c r="B8" s="115" t="s">
        <v>210</v>
      </c>
      <c r="C8" s="111" t="s">
        <v>211</v>
      </c>
      <c r="D8" s="111">
        <f t="shared" ref="D8:D15" si="0">ROUND($D$3*E8/$E$3,2)</f>
        <v>27006.43</v>
      </c>
      <c r="E8" s="116">
        <f>SUMIF('数据-基础表'!BB10:BK10,"地上",'数据-基础表'!BB5:BK5)</f>
        <v>175537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27006.43</v>
      </c>
      <c r="E16" s="120">
        <f>SUM(E8:E15)</f>
        <v>175537</v>
      </c>
      <c r="F16" s="1982"/>
      <c r="G16" s="1984"/>
      <c r="H16" s="967" t="s">
        <v>219</v>
      </c>
      <c r="I16" s="968"/>
      <c r="J16" s="1982"/>
      <c r="K16" s="3306" t="s">
        <v>2567</v>
      </c>
      <c r="L16" s="3307"/>
      <c r="M16" s="3307"/>
      <c r="N16" s="3307"/>
      <c r="O16" s="3307"/>
      <c r="P16" s="3308"/>
    </row>
    <row r="17" spans="1:19" ht="15">
      <c r="A17" s="121" t="s">
        <v>216</v>
      </c>
      <c r="B17" s="122" t="s">
        <v>217</v>
      </c>
      <c r="C17" s="2296" t="s">
        <v>2314</v>
      </c>
      <c r="D17" s="108" t="s">
        <v>204</v>
      </c>
      <c r="E17" s="124" t="s">
        <v>205</v>
      </c>
      <c r="F17" s="125"/>
      <c r="G17" s="1365"/>
      <c r="H17" s="969" t="s">
        <v>218</v>
      </c>
      <c r="I17" s="970" t="s">
        <v>2313</v>
      </c>
      <c r="J17" s="1982"/>
      <c r="K17" s="3309" t="s">
        <v>2568</v>
      </c>
      <c r="L17" s="3310"/>
      <c r="M17" s="3311"/>
      <c r="N17" s="3309" t="s">
        <v>2569</v>
      </c>
      <c r="O17" s="3310"/>
      <c r="P17" s="3311"/>
      <c r="R17" s="2297" t="s">
        <v>2312</v>
      </c>
      <c r="S17" s="144"/>
    </row>
    <row r="18" spans="1:19" ht="15">
      <c r="A18" s="117"/>
      <c r="B18" s="128"/>
      <c r="C18" s="129"/>
      <c r="D18" s="2619"/>
      <c r="E18" s="130" t="s">
        <v>220</v>
      </c>
      <c r="F18" s="131" t="s">
        <v>221</v>
      </c>
      <c r="G18" s="1366" t="s">
        <v>222</v>
      </c>
      <c r="H18" s="971" t="s">
        <v>223</v>
      </c>
      <c r="I18" s="972" t="s">
        <v>224</v>
      </c>
      <c r="J18" s="1982"/>
      <c r="K18" s="2582" t="s">
        <v>2570</v>
      </c>
      <c r="L18" s="2583" t="s">
        <v>2571</v>
      </c>
      <c r="M18" s="2584" t="s">
        <v>2572</v>
      </c>
      <c r="N18" s="2582" t="s">
        <v>2570</v>
      </c>
      <c r="O18" s="2583" t="s">
        <v>2571</v>
      </c>
      <c r="P18" s="2584" t="s">
        <v>2572</v>
      </c>
      <c r="R18" s="2298" t="s">
        <v>2310</v>
      </c>
      <c r="S18" s="2298" t="s">
        <v>2311</v>
      </c>
    </row>
    <row r="19" spans="1:19">
      <c r="A19" s="133"/>
      <c r="B19" s="115" t="s">
        <v>225</v>
      </c>
      <c r="C19" s="2999" t="s">
        <v>2997</v>
      </c>
      <c r="D19" s="111">
        <f t="shared" ref="D19:D26" si="1">ROUND($D$3*E19/$E$3,2)</f>
        <v>19473.150000000001</v>
      </c>
      <c r="E19" s="134">
        <f t="shared" ref="E19:E26" si="2">SUM(F19:G19)</f>
        <v>126572</v>
      </c>
      <c r="F19" s="135">
        <f>'数据-基础表'!I13</f>
        <v>126572</v>
      </c>
      <c r="G19" s="1367"/>
      <c r="H19" s="973">
        <f>ROUND($D$3*I19/$E$3,2)</f>
        <v>585.74</v>
      </c>
      <c r="I19" s="116">
        <f>IF($I$17="自定义",P19,M19)</f>
        <v>3807.18</v>
      </c>
      <c r="J19" s="1982"/>
      <c r="K19" s="2585">
        <f t="shared" ref="K19:K26" si="3">ROUND(E$28*E19/E$27,2)</f>
        <v>3807.18</v>
      </c>
      <c r="L19" s="275">
        <f t="shared" ref="L19:L26" si="4">ROUND(IF(COUNTIF(C19,"*住宅*")&gt;0,E$29*E19/E$32,0),2)</f>
        <v>0</v>
      </c>
      <c r="M19" s="2586">
        <f>K19+L19</f>
        <v>3807.18</v>
      </c>
      <c r="N19" s="2587"/>
      <c r="O19" s="2588"/>
      <c r="P19" s="2589">
        <f>N19+O19</f>
        <v>0</v>
      </c>
      <c r="R19" s="275">
        <f t="shared" ref="R19:S26" si="5">D19+H19</f>
        <v>20058.890000000003</v>
      </c>
      <c r="S19" s="2299">
        <f t="shared" si="5"/>
        <v>130379.18</v>
      </c>
    </row>
    <row r="20" spans="1:19">
      <c r="A20" s="138"/>
      <c r="B20" s="115" t="s">
        <v>226</v>
      </c>
      <c r="C20" s="2999" t="s">
        <v>2998</v>
      </c>
      <c r="D20" s="111">
        <f t="shared" si="1"/>
        <v>867.1</v>
      </c>
      <c r="E20" s="134">
        <f t="shared" si="2"/>
        <v>5636</v>
      </c>
      <c r="F20" s="135">
        <f>'数据-基础表'!K13</f>
        <v>5636</v>
      </c>
      <c r="G20" s="1367"/>
      <c r="H20" s="973">
        <f t="shared" ref="H20:H26" si="6">ROUND($D$3*I20/$E$3,2)</f>
        <v>26.08</v>
      </c>
      <c r="I20" s="116">
        <f t="shared" ref="I20:I26" si="7">IF($I$17="自定义",P20,M20)</f>
        <v>169.53</v>
      </c>
      <c r="J20" s="1982"/>
      <c r="K20" s="2585">
        <f t="shared" si="3"/>
        <v>169.53</v>
      </c>
      <c r="L20" s="275">
        <f t="shared" si="4"/>
        <v>0</v>
      </c>
      <c r="M20" s="2586">
        <f t="shared" ref="M20:M26" si="8">K20+L20</f>
        <v>169.53</v>
      </c>
      <c r="N20" s="2587"/>
      <c r="O20" s="2588"/>
      <c r="P20" s="2589">
        <f t="shared" ref="P20:P26" si="9">N20+O20</f>
        <v>0</v>
      </c>
      <c r="R20" s="275">
        <f t="shared" si="5"/>
        <v>893.18000000000006</v>
      </c>
      <c r="S20" s="2299">
        <f t="shared" si="5"/>
        <v>5805.53</v>
      </c>
    </row>
    <row r="21" spans="1:19">
      <c r="A21" s="138"/>
      <c r="B21" s="115" t="s">
        <v>226</v>
      </c>
      <c r="C21" s="2999" t="s">
        <v>2999</v>
      </c>
      <c r="D21" s="111">
        <f t="shared" si="1"/>
        <v>6666.18</v>
      </c>
      <c r="E21" s="134">
        <f t="shared" si="2"/>
        <v>43329</v>
      </c>
      <c r="F21" s="135">
        <f>'数据-基础表'!M13</f>
        <v>43329</v>
      </c>
      <c r="G21" s="1367"/>
      <c r="H21" s="973">
        <f t="shared" si="6"/>
        <v>200.51</v>
      </c>
      <c r="I21" s="116">
        <f t="shared" si="7"/>
        <v>1303.3</v>
      </c>
      <c r="J21" s="1982"/>
      <c r="K21" s="2585">
        <f t="shared" si="3"/>
        <v>1303.3</v>
      </c>
      <c r="L21" s="275">
        <f t="shared" si="4"/>
        <v>0</v>
      </c>
      <c r="M21" s="2586">
        <f t="shared" si="8"/>
        <v>1303.3</v>
      </c>
      <c r="N21" s="2587"/>
      <c r="O21" s="2588"/>
      <c r="P21" s="2589">
        <f t="shared" si="9"/>
        <v>0</v>
      </c>
      <c r="R21" s="275">
        <f t="shared" si="5"/>
        <v>6866.6900000000005</v>
      </c>
      <c r="S21" s="2299">
        <f t="shared" si="5"/>
        <v>44632.3</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27006.43</v>
      </c>
      <c r="E27" s="143">
        <f>IF(SUM(E19:E26)='数据-基础表'!BA5,SUM(E19:E26),IF(F27="地上面积有误","面积有误","地下面积有误"))</f>
        <v>175537</v>
      </c>
      <c r="F27" s="134">
        <f>IF(SUM(F19:F26)=E8,SUM(F19:F26),"地上面积有误")</f>
        <v>175537</v>
      </c>
      <c r="G27" s="112">
        <f>SUM(G19:G26)</f>
        <v>0</v>
      </c>
      <c r="H27" s="974">
        <f>SUM(H19:H26)</f>
        <v>812.33</v>
      </c>
      <c r="I27" s="975">
        <f>SUM(I19:I26)</f>
        <v>5280.01</v>
      </c>
      <c r="J27" s="1982"/>
      <c r="K27" s="2594">
        <f>SUM(K19:K26)</f>
        <v>5280.01</v>
      </c>
      <c r="L27" s="2595">
        <f>SUM(L19:L26)</f>
        <v>0</v>
      </c>
      <c r="M27" s="2596">
        <f>SUM(M19:M26)</f>
        <v>5280.01</v>
      </c>
      <c r="N27" s="2594">
        <f t="shared" ref="N27:O27" si="10">SUM(N19:N26)</f>
        <v>0</v>
      </c>
      <c r="O27" s="2595">
        <f t="shared" si="10"/>
        <v>0</v>
      </c>
      <c r="P27" s="2597">
        <f>SUM(P19:P26)</f>
        <v>0</v>
      </c>
      <c r="R27" s="2303">
        <f>IF(SUM(R19:R26)=$D$3,SUM(R19:R26),SUM(R19:R26)&amp;"误差"&amp;ROUND(SUM(R19:R26)-$D$3,2))</f>
        <v>27818.760000000002</v>
      </c>
      <c r="S27" s="275" t="str">
        <f>IF(SUM(S19:S26)=$E$3,SUM(S19:S26),SUM(S19:S26)&amp;"误差"&amp;ROUND(SUM(S19:S26)-E3,2))</f>
        <v>180817.01误差0.01</v>
      </c>
    </row>
    <row r="28" spans="1:19">
      <c r="A28" s="138"/>
      <c r="B28" s="115" t="s">
        <v>227</v>
      </c>
      <c r="C28" s="136" t="s">
        <v>228</v>
      </c>
      <c r="D28" s="111">
        <f>ROUND($D$3*E28/$E$3,2)</f>
        <v>812.33</v>
      </c>
      <c r="E28" s="134">
        <f>SUM(F28:G28)</f>
        <v>5280</v>
      </c>
      <c r="F28" s="144">
        <f>'数据-基础表'!BQ5+'数据-基础表'!BS5</f>
        <v>5280</v>
      </c>
      <c r="G28" s="145">
        <f>'数据-基础表'!BR5+'数据-基础表'!BT5</f>
        <v>0</v>
      </c>
      <c r="H28" s="1982"/>
      <c r="I28" s="1982"/>
      <c r="J28" s="1982"/>
      <c r="K28" s="1982"/>
      <c r="L28" s="1982"/>
    </row>
    <row r="29" spans="1:19">
      <c r="A29" s="138"/>
      <c r="B29" s="115" t="s">
        <v>227</v>
      </c>
      <c r="C29" s="2311" t="s">
        <v>2321</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812.33</v>
      </c>
      <c r="E30" s="134">
        <f>SUM(E28:E29)</f>
        <v>5280</v>
      </c>
      <c r="F30" s="134">
        <f>SUM(F28:F29)</f>
        <v>5280</v>
      </c>
      <c r="G30" s="112">
        <f>SUM(G28:G29)</f>
        <v>0</v>
      </c>
      <c r="H30" s="1982"/>
      <c r="I30" s="1982"/>
      <c r="J30" s="1982"/>
      <c r="K30" s="1982"/>
      <c r="L30" s="1982"/>
    </row>
    <row r="31" spans="1:19" ht="32.25" customHeight="1" thickBot="1">
      <c r="A31" s="1369"/>
      <c r="B31" s="1370" t="s">
        <v>229</v>
      </c>
      <c r="C31" s="2328" t="s">
        <v>2323</v>
      </c>
      <c r="D31" s="1371">
        <f>D27+D30</f>
        <v>27818.760000000002</v>
      </c>
      <c r="E31" s="1371">
        <f>E27+E30</f>
        <v>180817</v>
      </c>
      <c r="F31" s="1372">
        <f>F27+F30</f>
        <v>180817</v>
      </c>
      <c r="G31" s="1373">
        <f>G27+G30</f>
        <v>0</v>
      </c>
      <c r="H31" s="1982"/>
      <c r="I31" s="1982"/>
      <c r="J31" s="1982"/>
      <c r="K31" s="1982"/>
      <c r="L31" s="1982"/>
    </row>
    <row r="32" spans="1:19">
      <c r="A32" s="1982"/>
      <c r="B32" s="2340" t="s">
        <v>2322</v>
      </c>
      <c r="C32" s="2624"/>
      <c r="D32" s="1200"/>
      <c r="E32" s="1200">
        <f>SUMIF(C19:C26,"*住宅*",E19:E26)</f>
        <v>126572</v>
      </c>
      <c r="F32" s="1200"/>
      <c r="G32" s="1200"/>
    </row>
    <row r="33" spans="4:6">
      <c r="D33" s="1986"/>
    </row>
    <row r="34" spans="4:6">
      <c r="E34" s="3224" t="s">
        <v>3174</v>
      </c>
      <c r="F34" s="1983">
        <f>(F20+F21)/E3</f>
        <v>0.27079865278154158</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5" sqref="K2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43489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8"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2324</v>
      </c>
      <c r="AI5" s="171" t="s">
        <v>2293</v>
      </c>
      <c r="AJ5" s="171" t="s">
        <v>258</v>
      </c>
      <c r="AK5" s="159" t="s">
        <v>259</v>
      </c>
      <c r="AL5" s="159" t="s">
        <v>260</v>
      </c>
      <c r="AM5" s="172" t="s">
        <v>261</v>
      </c>
      <c r="AN5" s="2368"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69056</v>
      </c>
      <c r="F6" s="174">
        <f>SUMIF(项目基本情况!D$15:I$15,C6,项目基本情况!D$19:I$19)</f>
        <v>70</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126572</v>
      </c>
      <c r="L6" s="3001">
        <v>3500</v>
      </c>
      <c r="M6" s="177">
        <f t="shared" ref="M6:M14" si="0">ROUND(K6*L6/10000,0)</f>
        <v>44300</v>
      </c>
      <c r="N6" s="3002">
        <v>0</v>
      </c>
      <c r="O6" s="177">
        <f>IF($N$5="成新度","——",ROUND(M6*N6,0))</f>
        <v>0</v>
      </c>
      <c r="P6" s="178">
        <f>IF($N$5="成新度","——",M6-O6)</f>
        <v>44300</v>
      </c>
      <c r="Q6" s="3003">
        <v>0.05</v>
      </c>
      <c r="R6" s="179">
        <f>SUMIF('数据-汇总表'!C$19:C$33,A6,'数据-汇总表'!R$19:R$33)</f>
        <v>20058.890000000003</v>
      </c>
      <c r="S6" s="132">
        <f>IF('数据-汇总表'!$I$17="按面积比例",SUMIF('数据-汇总表'!C$19:C$33,A6,'数据-汇总表'!K$19:K$33),SUMIF('数据-汇总表'!C$19:C$33,A6,'数据-汇总表'!N$19:N$33))</f>
        <v>3807.18</v>
      </c>
      <c r="T6" s="2232">
        <f>IF($T$4="按面积比例",IF(ISERROR(ROUND($M$14*S6/S$16,0)),"0",ROUND($M$14*S6/S$16,0)),"需自行计算录入")</f>
        <v>1142</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4"/>
      <c r="AN6" s="2369"/>
      <c r="AO6" s="1998"/>
      <c r="AP6" s="1203">
        <f>ROUND(1-1/(1+H6)^F6,3)</f>
        <v>0.95399999999999996</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2992</v>
      </c>
      <c r="D7" s="2306">
        <f>SUMIF(项目基本情况!D$15:I$15,C7,项目基本情况!D$18:I$18)</f>
        <v>40</v>
      </c>
      <c r="E7" s="2307">
        <f>IF(B7="","",SUMIF(项目基本情况!D$15:I$15,C7,项目基本情况!D$17:I$17))</f>
        <v>58098</v>
      </c>
      <c r="F7" s="174">
        <f>SUMIF(项目基本情况!D$15:I$15,C7,项目基本情况!D$19:I$19)</f>
        <v>40</v>
      </c>
      <c r="G7" s="175">
        <f t="shared" ref="G7:G11" si="2">IF(ISERROR(ROUND(POWER(1+H7,D7-F7)*(POWER(1+H7,F7)-1)/(POWER(1+H7,D7)-1),3)),0,ROUND(POWER(1+H7,D7-F7)*(POWER(1+H7,F7)-1)/(POWER(1+H7,D7)-1),3))</f>
        <v>1</v>
      </c>
      <c r="H7" s="3000">
        <v>5.5E-2</v>
      </c>
      <c r="I7" s="3000">
        <v>0.06</v>
      </c>
      <c r="J7" s="176">
        <v>8.5000000000000006E-2</v>
      </c>
      <c r="K7" s="179">
        <f>SUMIF('数据-汇总表'!C$19:C$33,'数据-取费表'!A7,'数据-汇总表'!E$19:E$33)</f>
        <v>5636</v>
      </c>
      <c r="L7" s="3001">
        <v>4000</v>
      </c>
      <c r="M7" s="177">
        <f t="shared" si="0"/>
        <v>2254</v>
      </c>
      <c r="N7" s="3002">
        <v>0</v>
      </c>
      <c r="O7" s="177">
        <f t="shared" ref="O7:O14" si="3">IF($N$5="成新度","——",ROUND(M7*N7,0))</f>
        <v>0</v>
      </c>
      <c r="P7" s="178">
        <f t="shared" ref="P7:P14" si="4">IF($N$5="成新度","——",M7-O7)</f>
        <v>2254</v>
      </c>
      <c r="Q7" s="3530">
        <v>0.2</v>
      </c>
      <c r="R7" s="179">
        <f>SUMIF('数据-汇总表'!C$19:C$33,A7,'数据-汇总表'!R$19:R$33)</f>
        <v>893.18000000000006</v>
      </c>
      <c r="S7" s="132">
        <f>IF('数据-汇总表'!$I$17="按面积比例",SUMIF('数据-汇总表'!C$19:C$33,A7,'数据-汇总表'!K$19:K$33),SUMIF('数据-汇总表'!C$19:C$33,A7,'数据-汇总表'!N$19:N$33))</f>
        <v>169.53</v>
      </c>
      <c r="T7" s="2232">
        <f t="shared" ref="T7:T13" si="5">IF($T$4="按面积比例",IF(ISERROR(ROUND($M$14*S7/S$16,0)),"0",ROUND($M$14*S7/S$16,0)),"需自行计算录入")</f>
        <v>51</v>
      </c>
      <c r="U7" s="3531">
        <v>15</v>
      </c>
      <c r="V7" s="181">
        <v>0.03</v>
      </c>
      <c r="W7" s="181">
        <v>0.1</v>
      </c>
      <c r="X7" s="2319"/>
      <c r="Y7" s="182">
        <v>1</v>
      </c>
      <c r="Z7" s="183"/>
      <c r="AA7" s="176"/>
      <c r="AB7" s="176"/>
      <c r="AC7" s="2322"/>
      <c r="AD7" s="184"/>
      <c r="AE7" s="971">
        <f t="shared" ref="AE7:AE13" ca="1" si="6">IF(AN7="",0,SUMIF(INDIRECT("'"&amp;AN7&amp;"'"&amp;"!E:E"),$AE$5,INDIRECT("'"&amp;AN7&amp;"'"&amp;"!F:F")))</f>
        <v>37.5</v>
      </c>
      <c r="AF7" s="141"/>
      <c r="AG7" s="1212">
        <f t="shared" ref="AG7:AG13" si="7">IF(AF7="",0,AE7-AF7)</f>
        <v>0</v>
      </c>
      <c r="AH7" s="141"/>
      <c r="AI7" s="187">
        <v>365</v>
      </c>
      <c r="AJ7" s="188"/>
      <c r="AK7" s="189">
        <v>1.4999999999999999E-2</v>
      </c>
      <c r="AL7" s="190">
        <v>1.5E-3</v>
      </c>
      <c r="AM7" s="2367">
        <v>0.01</v>
      </c>
      <c r="AN7" s="2369" t="s">
        <v>3160</v>
      </c>
      <c r="AO7" s="1998"/>
      <c r="AP7" s="1203">
        <f t="shared" ref="AP7:AP13" si="8">ROUND(1-1/(1+H7)^F7,3)</f>
        <v>0.88300000000000001</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办公</v>
      </c>
      <c r="B8" s="2335" t="str">
        <f t="shared" si="1"/>
        <v>经营性</v>
      </c>
      <c r="C8" s="173" t="s">
        <v>1678</v>
      </c>
      <c r="D8" s="2306">
        <f>SUMIF(项目基本情况!D$15:I$15,C8,项目基本情况!D$18:I$18)</f>
        <v>40</v>
      </c>
      <c r="E8" s="2307">
        <f>IF(B8="","",SUMIF(项目基本情况!D$15:I$15,C8,项目基本情况!D$17:I$17))</f>
        <v>58098</v>
      </c>
      <c r="F8" s="174">
        <f>SUMIF(项目基本情况!D$15:I$15,C8,项目基本情况!D$19:I$19)</f>
        <v>40</v>
      </c>
      <c r="G8" s="175">
        <f t="shared" si="2"/>
        <v>1</v>
      </c>
      <c r="H8" s="3000">
        <v>0.05</v>
      </c>
      <c r="I8" s="3000">
        <v>5.5E-2</v>
      </c>
      <c r="J8" s="176">
        <v>8.5000000000000006E-2</v>
      </c>
      <c r="K8" s="179">
        <f>SUMIF('数据-汇总表'!C$19:C$33,'数据-取费表'!A8,'数据-汇总表'!E$19:E$33)</f>
        <v>43329</v>
      </c>
      <c r="L8" s="3001">
        <v>4000</v>
      </c>
      <c r="M8" s="177">
        <f>ROUND(K8*L8/10000,0)</f>
        <v>17332</v>
      </c>
      <c r="N8" s="3002">
        <v>0</v>
      </c>
      <c r="O8" s="177">
        <f t="shared" si="3"/>
        <v>0</v>
      </c>
      <c r="P8" s="178">
        <f t="shared" si="4"/>
        <v>17332</v>
      </c>
      <c r="Q8" s="3530">
        <v>0.15</v>
      </c>
      <c r="R8" s="179">
        <f>SUMIF('数据-汇总表'!C$19:C$33,A8,'数据-汇总表'!R$19:R$33)</f>
        <v>6866.6900000000005</v>
      </c>
      <c r="S8" s="132">
        <f>IF('数据-汇总表'!$I$17="按面积比例",SUMIF('数据-汇总表'!C$19:C$33,A8,'数据-汇总表'!K$19:K$33),SUMIF('数据-汇总表'!C$19:C$33,A8,'数据-汇总表'!N$19:N$33))</f>
        <v>1303.3</v>
      </c>
      <c r="T8" s="2232">
        <f t="shared" si="5"/>
        <v>391</v>
      </c>
      <c r="U8" s="180">
        <v>5</v>
      </c>
      <c r="V8" s="181">
        <v>0.03</v>
      </c>
      <c r="W8" s="181">
        <v>0.1</v>
      </c>
      <c r="X8" s="2319"/>
      <c r="Y8" s="182">
        <v>1</v>
      </c>
      <c r="Z8" s="183"/>
      <c r="AA8" s="176"/>
      <c r="AB8" s="176"/>
      <c r="AC8" s="2322"/>
      <c r="AD8" s="184"/>
      <c r="AE8" s="971">
        <f t="shared" ca="1" si="6"/>
        <v>37.5</v>
      </c>
      <c r="AF8" s="141"/>
      <c r="AG8" s="1212">
        <f t="shared" si="7"/>
        <v>0</v>
      </c>
      <c r="AH8" s="141"/>
      <c r="AI8" s="187">
        <v>365</v>
      </c>
      <c r="AJ8" s="188"/>
      <c r="AK8" s="189">
        <v>1.4999999999999999E-2</v>
      </c>
      <c r="AL8" s="190">
        <v>1.5E-3</v>
      </c>
      <c r="AM8" s="2367">
        <v>0.01</v>
      </c>
      <c r="AN8" s="2369" t="s">
        <v>3158</v>
      </c>
      <c r="AO8" s="1998"/>
      <c r="AP8" s="1203">
        <f t="shared" si="8"/>
        <v>0.85799999999999998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2315</v>
      </c>
      <c r="B14" s="2304" t="s">
        <v>1680</v>
      </c>
      <c r="C14" s="2305" t="s">
        <v>2315</v>
      </c>
      <c r="D14" s="2306"/>
      <c r="E14" s="2307"/>
      <c r="F14" s="174"/>
      <c r="G14" s="175"/>
      <c r="H14" s="2308"/>
      <c r="I14" s="2308"/>
      <c r="J14" s="2308"/>
      <c r="K14" s="179">
        <f>SUMIF('数据-汇总表'!C$19:C$33,'数据-取费表'!A14,'数据-汇总表'!E$19:E$33)</f>
        <v>5280</v>
      </c>
      <c r="L14" s="3228">
        <v>3000</v>
      </c>
      <c r="M14" s="177">
        <f t="shared" si="0"/>
        <v>1584</v>
      </c>
      <c r="N14" s="194">
        <v>0</v>
      </c>
      <c r="O14" s="177">
        <f t="shared" si="3"/>
        <v>0</v>
      </c>
      <c r="P14" s="178">
        <f t="shared" si="4"/>
        <v>1584</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2317</v>
      </c>
      <c r="B15" s="2304" t="s">
        <v>1680</v>
      </c>
      <c r="C15" s="2305" t="s">
        <v>2316</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1</v>
      </c>
      <c r="H16" s="203">
        <f>ROUND(SUMPRODUCT(H6:H13,K6:K13)/SUMPRODUCT((H6:H13&gt;0)*(K6:K13)),3)</f>
        <v>4.7E-2</v>
      </c>
      <c r="I16" s="204"/>
      <c r="J16" s="204"/>
      <c r="K16" s="205">
        <f>SUM(K6:K15)</f>
        <v>180817</v>
      </c>
      <c r="L16" s="206">
        <f>ROUND(M16*10000/SUM(K6:K14),0)</f>
        <v>3621</v>
      </c>
      <c r="M16" s="206">
        <f>SUM(M6:M14)</f>
        <v>65470</v>
      </c>
      <c r="N16" s="207">
        <f>ROUND(SUMPRODUCT(M6:M14,N6:N14)/M16,3)</f>
        <v>0</v>
      </c>
      <c r="O16" s="206">
        <f>SUM(O6:O14)</f>
        <v>0</v>
      </c>
      <c r="P16" s="206">
        <f>SUM(P6:P14)</f>
        <v>65470</v>
      </c>
      <c r="Q16" s="208">
        <f>ROUND(SUMPRODUCT(Q6:Q13,K6:K13)/SUMPRODUCT((Q6:Q13&gt;0)*(K6:K13)),2)</f>
        <v>0.08</v>
      </c>
      <c r="R16" s="2309">
        <f>SUM(R6:R13)</f>
        <v>27818.760000000002</v>
      </c>
      <c r="S16" s="209">
        <f>SUM(S6:S13)</f>
        <v>5280.01</v>
      </c>
      <c r="T16" s="210">
        <f>IF(SUMIF(T6:T13,"&lt;9E307")=M14,SUMIF(T6:T13,"&lt;9E307"),"有误，请检查")</f>
        <v>1584</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0.92800000000000005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c r="C19" s="2341"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2.5</v>
      </c>
      <c r="C20" s="2341"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2339</v>
      </c>
      <c r="B27" s="227">
        <v>165</v>
      </c>
      <c r="C27" s="234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2340</v>
      </c>
      <c r="B28" s="229">
        <v>215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2338</v>
      </c>
      <c r="B29" s="232"/>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42" t="s">
        <v>2895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42" t="s">
        <v>2896</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2898</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0.01</v>
      </c>
      <c r="C38" s="2342" t="s">
        <v>2899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2457</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2458</v>
      </c>
      <c r="B40" s="2458">
        <f ca="1">存贷款利率!E2</f>
        <v>4.7500000000000001E-2</v>
      </c>
      <c r="C40" s="234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5">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2900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2901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2902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9" t="s">
        <v>2903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50" t="s">
        <v>2904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50" t="s">
        <v>2905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51" t="s">
        <v>2906</v>
      </c>
      <c r="D53" s="3052" t="s">
        <v>2907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4" t="s">
        <v>2908</v>
      </c>
      <c r="B54" s="186"/>
      <c r="C54" s="1992">
        <v>30</v>
      </c>
      <c r="D54" s="3053"/>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4" t="s">
        <v>2909</v>
      </c>
      <c r="B55" s="186"/>
      <c r="C55" s="1992">
        <v>24</v>
      </c>
      <c r="D55" s="3053"/>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4" t="s">
        <v>2910</v>
      </c>
      <c r="B56" s="186"/>
      <c r="C56" s="1992">
        <v>18</v>
      </c>
      <c r="D56" s="3053"/>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4" t="s">
        <v>2911</v>
      </c>
      <c r="B57" s="186"/>
      <c r="C57" s="1992">
        <v>12</v>
      </c>
      <c r="D57" s="3053"/>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4" t="s">
        <v>2912</v>
      </c>
      <c r="B58" s="186">
        <v>3</v>
      </c>
      <c r="C58" s="1992">
        <v>3</v>
      </c>
      <c r="D58" s="3053"/>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4" t="s">
        <v>2913</v>
      </c>
      <c r="B59" s="186"/>
      <c r="C59" s="1992">
        <v>1.5</v>
      </c>
      <c r="D59" s="3053"/>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4" t="s">
        <v>2914</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4" t="s">
        <v>2915</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4" t="s">
        <v>2916</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5" t="s">
        <v>2917</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18" sqref="E18"/>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21" t="s">
        <v>1664</v>
      </c>
      <c r="B1" s="3322"/>
      <c r="C1" s="3322"/>
      <c r="D1" s="3322"/>
      <c r="E1" s="3322"/>
      <c r="F1" s="3322"/>
      <c r="G1" s="3322"/>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54">
      <c r="A3" s="1226" t="s">
        <v>1667</v>
      </c>
      <c r="B3" s="1227" t="s">
        <v>1654</v>
      </c>
      <c r="C3" s="3056" t="s">
        <v>2924</v>
      </c>
      <c r="D3" s="2007"/>
      <c r="E3" s="1228" t="s">
        <v>1667</v>
      </c>
      <c r="F3" s="1229" t="s">
        <v>1655</v>
      </c>
      <c r="G3" s="3060" t="s">
        <v>2923</v>
      </c>
      <c r="H3" s="2006"/>
      <c r="I3" s="2006"/>
      <c r="J3" s="2006"/>
      <c r="K3" s="2006"/>
      <c r="L3" s="2006"/>
      <c r="M3" s="2006"/>
      <c r="N3" s="2006"/>
      <c r="O3" s="2006"/>
      <c r="P3" s="2006"/>
      <c r="Q3" s="2006"/>
      <c r="R3" s="2006"/>
    </row>
    <row r="4" spans="1:18" ht="41.25">
      <c r="A4" s="1228"/>
      <c r="B4" s="1230" t="s">
        <v>1668</v>
      </c>
      <c r="C4" s="3057" t="s">
        <v>2925</v>
      </c>
      <c r="D4" s="2007"/>
      <c r="E4" s="1231"/>
      <c r="F4" s="1232" t="s">
        <v>1669</v>
      </c>
      <c r="G4" s="3058" t="s">
        <v>2920</v>
      </c>
      <c r="H4" s="2006"/>
      <c r="I4" s="2006"/>
      <c r="J4" s="2006"/>
      <c r="K4" s="2006"/>
      <c r="L4" s="2006"/>
      <c r="M4" s="2006"/>
      <c r="N4" s="2006"/>
      <c r="O4" s="2006"/>
      <c r="P4" s="2006"/>
      <c r="Q4" s="2006"/>
      <c r="R4" s="2006"/>
    </row>
    <row r="5" spans="1:18" ht="41.25">
      <c r="A5" s="1228"/>
      <c r="B5" s="1230" t="s">
        <v>1670</v>
      </c>
      <c r="C5" s="3057" t="s">
        <v>2926</v>
      </c>
      <c r="D5" s="2007"/>
      <c r="E5" s="1231"/>
      <c r="F5" s="1230" t="s">
        <v>2547</v>
      </c>
      <c r="G5" s="3058" t="s">
        <v>2921</v>
      </c>
      <c r="H5" s="2006"/>
      <c r="I5" s="2006"/>
      <c r="J5" s="2006"/>
      <c r="K5" s="2006"/>
      <c r="L5" s="2006"/>
      <c r="M5" s="2006"/>
      <c r="N5" s="2006"/>
      <c r="O5" s="2006"/>
      <c r="P5" s="2006"/>
      <c r="Q5" s="2006"/>
      <c r="R5" s="2006"/>
    </row>
    <row r="6" spans="1:18" ht="54">
      <c r="A6" s="1228"/>
      <c r="B6" s="1230" t="s">
        <v>1656</v>
      </c>
      <c r="C6" s="3058" t="s">
        <v>2920</v>
      </c>
      <c r="D6" s="2007"/>
      <c r="E6" s="1231"/>
      <c r="F6" s="1230" t="s">
        <v>2548</v>
      </c>
      <c r="G6" s="3058" t="s">
        <v>2918</v>
      </c>
      <c r="H6" s="2006"/>
      <c r="I6" s="2006"/>
      <c r="J6" s="2006"/>
      <c r="K6" s="2006"/>
      <c r="L6" s="2006"/>
      <c r="M6" s="2006"/>
      <c r="N6" s="2006"/>
      <c r="O6" s="2006"/>
      <c r="P6" s="2006"/>
      <c r="Q6" s="2006"/>
      <c r="R6" s="2006"/>
    </row>
    <row r="7" spans="1:18" ht="41.25" thickBot="1">
      <c r="A7" s="1228"/>
      <c r="B7" s="1230" t="s">
        <v>2547</v>
      </c>
      <c r="C7" s="3058" t="s">
        <v>2921</v>
      </c>
      <c r="D7" s="2008"/>
      <c r="E7" s="1233"/>
      <c r="F7" s="1234" t="s">
        <v>1671</v>
      </c>
      <c r="G7" s="3061" t="s">
        <v>2922</v>
      </c>
      <c r="H7" s="2006"/>
      <c r="I7" s="2006"/>
      <c r="J7" s="2006"/>
      <c r="K7" s="2006"/>
      <c r="L7" s="2006"/>
      <c r="M7" s="2006"/>
      <c r="N7" s="2006"/>
      <c r="O7" s="2006"/>
      <c r="P7" s="2006"/>
      <c r="Q7" s="2006"/>
      <c r="R7" s="2006"/>
    </row>
    <row r="8" spans="1:18" ht="27">
      <c r="A8" s="1228"/>
      <c r="B8" s="1230" t="s">
        <v>2548</v>
      </c>
      <c r="C8" s="3058" t="s">
        <v>2918</v>
      </c>
      <c r="D8" s="2008"/>
      <c r="E8" s="2008"/>
      <c r="F8" s="1552"/>
      <c r="G8" s="1552"/>
      <c r="H8" s="2006"/>
      <c r="I8" s="2006"/>
      <c r="J8" s="2006"/>
      <c r="K8" s="2006"/>
      <c r="L8" s="2006"/>
      <c r="M8" s="2006"/>
      <c r="N8" s="2006"/>
      <c r="O8" s="2006"/>
      <c r="P8" s="2006"/>
      <c r="Q8" s="2006"/>
      <c r="R8" s="2006"/>
    </row>
    <row r="9" spans="1:18" ht="40.5">
      <c r="A9" s="1228"/>
      <c r="B9" s="1230" t="s">
        <v>1657</v>
      </c>
      <c r="C9" s="3057" t="s">
        <v>2919</v>
      </c>
      <c r="D9" s="2007"/>
      <c r="E9" s="2008"/>
      <c r="F9" s="1552"/>
      <c r="G9" s="1552"/>
      <c r="H9" s="2006"/>
      <c r="I9" s="2006"/>
      <c r="J9" s="2006"/>
      <c r="K9" s="2006"/>
      <c r="L9" s="2006"/>
      <c r="M9" s="2006"/>
      <c r="N9" s="2006"/>
      <c r="O9" s="2006"/>
      <c r="P9" s="2006"/>
      <c r="Q9" s="2006"/>
      <c r="R9" s="2006"/>
    </row>
    <row r="10" spans="1:18" s="2014" customFormat="1" ht="15" thickBot="1">
      <c r="A10" s="1235"/>
      <c r="B10" s="1236" t="s">
        <v>1672</v>
      </c>
      <c r="C10" s="3059"/>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3"/>
      <c r="E13" s="2555"/>
      <c r="F13" s="2555"/>
      <c r="G13" s="2555"/>
    </row>
    <row r="14" spans="1:18" ht="14.25" thickBot="1">
      <c r="A14" s="1237"/>
      <c r="B14" s="1238"/>
      <c r="C14" s="1239" t="s">
        <v>1665</v>
      </c>
      <c r="D14" s="2007"/>
      <c r="E14" s="1240"/>
      <c r="F14" s="1240"/>
      <c r="G14" s="1222" t="s">
        <v>1666</v>
      </c>
    </row>
    <row r="15" spans="1:18" ht="54">
      <c r="A15" s="2565" t="s">
        <v>1658</v>
      </c>
      <c r="B15" s="1241" t="s">
        <v>1654</v>
      </c>
      <c r="C15" s="1242" t="str">
        <f>C3</f>
        <v>估价对象周边居住用地比例、居住小区规模和社区发展完善程度，综合评价居住社区成熟度一般</v>
      </c>
      <c r="D15" s="2007"/>
      <c r="E15" s="2562" t="s">
        <v>1659</v>
      </c>
      <c r="F15" s="1241" t="s">
        <v>1674</v>
      </c>
      <c r="G15" s="1243" t="str">
        <f>G3</f>
        <v>估价对象位于XX开发区，园区建设成熟度XX，产业集聚程度XX</v>
      </c>
    </row>
    <row r="16" spans="1:18" ht="40.5">
      <c r="A16" s="2566"/>
      <c r="B16" s="1244" t="s">
        <v>1668</v>
      </c>
      <c r="C16" s="1245" t="str">
        <f>C4</f>
        <v>估价对象位于XX商圈，周边商业氛围成熟，人流量大，商业繁华度好</v>
      </c>
      <c r="D16" s="2007"/>
      <c r="E16" s="2563"/>
      <c r="F16" s="1246" t="s">
        <v>1669</v>
      </c>
      <c r="G16" s="1004" t="str">
        <f>G4</f>
        <v>估价对象周边道路状况、公共交通通达情况、停车便捷程度，综合评价交通便捷度较好</v>
      </c>
    </row>
    <row r="17" spans="1:7" ht="40.5">
      <c r="A17" s="2566"/>
      <c r="B17" s="1244" t="s">
        <v>1670</v>
      </c>
      <c r="C17" s="1245" t="str">
        <f>C5</f>
        <v>估价对象位于XX商圈，周边办公楼项目较多，入驻率高，办公集聚程度较好</v>
      </c>
      <c r="D17" s="2008"/>
      <c r="E17" s="2563"/>
      <c r="F17" s="1246" t="s">
        <v>1675</v>
      </c>
      <c r="G17" s="2771"/>
    </row>
    <row r="18" spans="1:7" ht="54">
      <c r="A18" s="2566"/>
      <c r="B18" s="1246" t="s">
        <v>1656</v>
      </c>
      <c r="C18" s="1004" t="str">
        <f>C6</f>
        <v>估价对象周边道路状况、公共交通通达情况、停车便捷程度，综合评价交通便捷度较好</v>
      </c>
      <c r="D18" s="2008"/>
      <c r="E18" s="2563"/>
      <c r="F18" s="1246" t="s">
        <v>1671</v>
      </c>
      <c r="G18" s="1004" t="str">
        <f>G7</f>
        <v>该园区内是否有污染型企业，绿化情况，卫生条件，整体环境状况判断</v>
      </c>
    </row>
    <row r="19" spans="1:7" ht="27">
      <c r="A19" s="2566"/>
      <c r="B19" s="1246" t="s">
        <v>1660</v>
      </c>
      <c r="C19" s="2771"/>
      <c r="D19" s="2007"/>
      <c r="E19" s="2563"/>
      <c r="F19" s="1230" t="s">
        <v>2547</v>
      </c>
      <c r="G19" s="1004" t="str">
        <f>G5</f>
        <v>估价对象所在区域公共配套设施齐备情况</v>
      </c>
    </row>
    <row r="20" spans="1:7" ht="40.5">
      <c r="A20" s="2566"/>
      <c r="B20" s="1246" t="s">
        <v>1661</v>
      </c>
      <c r="C20" s="1245" t="str">
        <f>C9</f>
        <v>区域自然环境：；人文环境；综合评价环境状况一般</v>
      </c>
      <c r="D20" s="2008"/>
      <c r="E20" s="2563"/>
      <c r="F20" s="1230" t="s">
        <v>2548</v>
      </c>
      <c r="G20" s="1004" t="str">
        <f>G6</f>
        <v>估价对象所在区域基础设施水平</v>
      </c>
    </row>
    <row r="21" spans="1:7" ht="27">
      <c r="A21" s="2566"/>
      <c r="B21" s="1230" t="s">
        <v>2547</v>
      </c>
      <c r="C21" s="1004" t="str">
        <f>C7</f>
        <v>估价对象所在区域公共配套设施齐备情况</v>
      </c>
      <c r="D21" s="2007"/>
      <c r="E21" s="2563"/>
      <c r="F21" s="1246" t="s">
        <v>1662</v>
      </c>
      <c r="G21" s="3062"/>
    </row>
    <row r="22" spans="1:7" ht="27">
      <c r="A22" s="2566"/>
      <c r="B22" s="1230" t="s">
        <v>2548</v>
      </c>
      <c r="C22" s="1004" t="str">
        <f>C8</f>
        <v>估价对象所在区域基础设施水平</v>
      </c>
      <c r="D22" s="2007"/>
      <c r="E22" s="2563"/>
      <c r="F22" s="1246" t="s">
        <v>1672</v>
      </c>
      <c r="G22" s="2771"/>
    </row>
    <row r="23" spans="1:7" ht="15" thickBot="1">
      <c r="A23" s="2566"/>
      <c r="B23" s="1246" t="s">
        <v>1662</v>
      </c>
      <c r="C23" s="3062"/>
      <c r="E23" s="2564"/>
      <c r="F23" s="1247" t="s">
        <v>1676</v>
      </c>
      <c r="G23" s="3063"/>
    </row>
    <row r="24" spans="1:7" ht="14.25" thickBot="1">
      <c r="A24" s="2567"/>
      <c r="B24" s="1247" t="s">
        <v>1663</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3020" t="s">
        <v>2845</v>
      </c>
      <c r="B1" s="3020">
        <f>SUM(B14:B23)</f>
        <v>225147</v>
      </c>
      <c r="C1" s="3021"/>
      <c r="D1" s="3021"/>
      <c r="E1" s="3021"/>
      <c r="F1" s="3021"/>
    </row>
    <row r="2" spans="1:9" ht="16.5">
      <c r="A2" s="3020" t="s">
        <v>2846</v>
      </c>
      <c r="B2" s="3020">
        <f>SUM(C14:C23)</f>
        <v>34638.629999999997</v>
      </c>
      <c r="C2" s="3021"/>
      <c r="D2" s="3021"/>
      <c r="E2" s="3021"/>
      <c r="F2" s="3021"/>
    </row>
    <row r="3" spans="1:9" ht="16.5">
      <c r="A3" s="3020" t="s">
        <v>2847</v>
      </c>
      <c r="B3" s="3022">
        <f>项目基本情况!D3</f>
        <v>43489</v>
      </c>
      <c r="C3" s="3021"/>
      <c r="D3" s="3021"/>
      <c r="E3" s="3021"/>
      <c r="F3" s="3021"/>
    </row>
    <row r="4" spans="1:9" ht="33">
      <c r="A4" s="3020" t="s">
        <v>2848</v>
      </c>
      <c r="B4" s="3020" t="s">
        <v>2849</v>
      </c>
      <c r="C4" s="3020" t="s">
        <v>2850</v>
      </c>
      <c r="D4" s="3020" t="s">
        <v>2851</v>
      </c>
      <c r="E4" s="3021"/>
      <c r="F4" s="3021"/>
    </row>
    <row r="5" spans="1:9" ht="16.5">
      <c r="A5" s="3020" t="s">
        <v>2852</v>
      </c>
      <c r="B5" s="3020">
        <f ca="1">SUM(D14:D23)</f>
        <v>500197</v>
      </c>
      <c r="C5" s="3020">
        <f ca="1">ROUND(B5*10000/$B$1,0)</f>
        <v>22216</v>
      </c>
      <c r="D5" s="3020">
        <f ca="1">ROUND(B5*10000/$B$2,0)</f>
        <v>144404</v>
      </c>
      <c r="E5" s="3021"/>
      <c r="F5" s="3021"/>
    </row>
    <row r="6" spans="1:9" ht="16.5">
      <c r="A6" s="3020" t="s">
        <v>2853</v>
      </c>
      <c r="B6" s="3020">
        <f>SUM(G14:G23)</f>
        <v>0</v>
      </c>
      <c r="C6" s="3020">
        <f t="shared" ref="C6:C8" si="0">ROUND(B6*10000/$B$1,0)</f>
        <v>0</v>
      </c>
      <c r="D6" s="3020">
        <f t="shared" ref="D6:D8" si="1">ROUND(B6*10000/$B$2,0)</f>
        <v>0</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180817</v>
      </c>
      <c r="C14" s="3024">
        <f>结果表!K38</f>
        <v>27818.76</v>
      </c>
      <c r="D14" s="3024">
        <f ca="1">结果表!C42</f>
        <v>401259</v>
      </c>
      <c r="E14" s="3024">
        <f ca="1">ROUND(D14*10000/B14,0)</f>
        <v>22191</v>
      </c>
      <c r="F14" s="3024">
        <f ca="1">ROUND(D14*10000/C14,0)</f>
        <v>144240</v>
      </c>
      <c r="G14" s="3024" t="str">
        <f>结果表!C44</f>
        <v>——</v>
      </c>
      <c r="H14" s="3024" t="str">
        <f>结果表!C45</f>
        <v>——</v>
      </c>
      <c r="I14" s="3024" t="str">
        <f>结果表!C46</f>
        <v>——</v>
      </c>
    </row>
    <row r="15" spans="1:9" ht="16.5">
      <c r="A15" s="3027" t="s">
        <v>2862</v>
      </c>
      <c r="B15" s="3028">
        <f>'[1]数据-汇总表'!$E$3</f>
        <v>44330</v>
      </c>
      <c r="C15" s="3028">
        <f>'[1]数据-汇总表'!$D$3</f>
        <v>6819.87</v>
      </c>
      <c r="D15" s="3028">
        <f ca="1">[2]结果表!$G$19</f>
        <v>98938</v>
      </c>
      <c r="E15" s="3024">
        <f t="shared" ref="E15:E23" ca="1" si="2">ROUND(D15*10000/B15,0)</f>
        <v>22319</v>
      </c>
      <c r="F15" s="3024">
        <f t="shared" ref="F15:F23" ca="1" si="3">ROUND(D15*10000/C15,0)</f>
        <v>145073</v>
      </c>
      <c r="G15" s="3025"/>
      <c r="H15" s="3025"/>
      <c r="I15" s="3028"/>
    </row>
    <row r="16" spans="1:9" ht="16.5">
      <c r="A16" s="3027" t="s">
        <v>2863</v>
      </c>
      <c r="B16" s="3028"/>
      <c r="C16" s="3028"/>
      <c r="D16" s="3028"/>
      <c r="E16" s="3024" t="e">
        <f t="shared" si="2"/>
        <v>#DIV/0!</v>
      </c>
      <c r="F16" s="3024" t="e">
        <f t="shared" si="3"/>
        <v>#DIV/0!</v>
      </c>
      <c r="G16" s="3025"/>
      <c r="H16" s="3025"/>
      <c r="I16" s="3028"/>
    </row>
    <row r="17" spans="1:9" ht="16.5">
      <c r="A17" s="3027" t="s">
        <v>2864</v>
      </c>
      <c r="B17" s="3028"/>
      <c r="C17" s="3028"/>
      <c r="D17" s="3028"/>
      <c r="E17" s="3024" t="e">
        <f t="shared" si="2"/>
        <v>#DIV/0!</v>
      </c>
      <c r="F17" s="3024" t="e">
        <f t="shared" si="3"/>
        <v>#DIV/0!</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2056</v>
      </c>
      <c r="B1" s="1775"/>
      <c r="C1" s="1803" t="s">
        <v>2057</v>
      </c>
      <c r="D1" s="1804"/>
      <c r="E1" s="1803" t="s">
        <v>2058</v>
      </c>
      <c r="F1" s="1805"/>
      <c r="G1" s="311"/>
      <c r="H1" s="311"/>
      <c r="I1" s="311"/>
      <c r="J1" s="2027"/>
      <c r="K1" s="2027"/>
      <c r="L1" s="2027"/>
      <c r="M1" s="2027"/>
      <c r="N1" s="2027"/>
      <c r="O1" s="2027"/>
      <c r="P1" s="2027"/>
      <c r="Q1" s="2027"/>
      <c r="R1" s="2027"/>
      <c r="S1" s="2027"/>
      <c r="T1" s="2027"/>
      <c r="U1" s="2027"/>
      <c r="V1" s="2027"/>
    </row>
    <row r="2" spans="1:22" ht="21.75" customHeight="1" thickBot="1">
      <c r="A2" s="3359" t="str">
        <f>项目基本情况!K2</f>
        <v>出让国有建设用地使用权</v>
      </c>
      <c r="B2" s="3360"/>
      <c r="C2" s="3361"/>
      <c r="D2" s="3361"/>
      <c r="E2" s="3361"/>
      <c r="F2" s="3361"/>
      <c r="G2" s="3360"/>
      <c r="H2" s="3360"/>
      <c r="I2" s="3362"/>
      <c r="J2" s="2028"/>
      <c r="K2" s="2027"/>
      <c r="L2" s="2027"/>
      <c r="M2" s="2027"/>
      <c r="N2" s="2027"/>
      <c r="O2" s="2027"/>
      <c r="P2" s="2027"/>
      <c r="Q2" s="2027"/>
      <c r="R2" s="2027"/>
      <c r="S2" s="2027"/>
      <c r="T2" s="2027"/>
      <c r="U2" s="2027"/>
      <c r="V2" s="2027"/>
    </row>
    <row r="3" spans="1:22" ht="14.25">
      <c r="A3" s="3352" t="s">
        <v>298</v>
      </c>
      <c r="B3" s="3353"/>
      <c r="C3" s="3353"/>
      <c r="D3" s="3353"/>
      <c r="E3" s="3353"/>
      <c r="F3" s="3353"/>
      <c r="G3" s="3353"/>
      <c r="H3" s="3353"/>
      <c r="I3" s="3353"/>
      <c r="J3" s="2028"/>
      <c r="K3" s="2027"/>
      <c r="L3" s="2027"/>
      <c r="M3" s="2027"/>
      <c r="N3" s="2027"/>
      <c r="O3" s="2027"/>
      <c r="P3" s="2027"/>
      <c r="Q3" s="2027"/>
      <c r="R3" s="2027"/>
      <c r="S3" s="2027"/>
      <c r="T3" s="2027"/>
      <c r="U3" s="2027"/>
      <c r="V3" s="2027"/>
    </row>
    <row r="4" spans="1:22" ht="14.25">
      <c r="A4" s="258" t="s">
        <v>299</v>
      </c>
      <c r="B4" s="259" t="s">
        <v>300</v>
      </c>
      <c r="C4" s="260" t="s">
        <v>3105</v>
      </c>
      <c r="D4" s="260" t="s">
        <v>3106</v>
      </c>
      <c r="E4" s="3324" t="s">
        <v>301</v>
      </c>
      <c r="F4" s="3325"/>
      <c r="G4" s="3325"/>
      <c r="H4" s="3325"/>
      <c r="I4" s="3354"/>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23" t="s">
        <v>302</v>
      </c>
      <c r="B5" s="3349">
        <v>25</v>
      </c>
      <c r="C5" s="3347"/>
      <c r="D5" s="3351"/>
      <c r="E5" s="261" t="s">
        <v>303</v>
      </c>
      <c r="F5" s="262"/>
      <c r="G5" s="262"/>
      <c r="H5" s="262"/>
      <c r="I5" s="263"/>
      <c r="J5" s="2028"/>
      <c r="K5" s="2027"/>
      <c r="L5" s="2027"/>
      <c r="M5" s="2027"/>
      <c r="N5" s="2027"/>
      <c r="O5" s="2027"/>
      <c r="P5" s="2027"/>
      <c r="Q5" s="2027"/>
      <c r="R5" s="2027"/>
      <c r="S5" s="2027"/>
      <c r="T5" s="2027"/>
      <c r="U5" s="2027"/>
      <c r="V5" s="2027"/>
    </row>
    <row r="6" spans="1:22" ht="14.25">
      <c r="A6" s="3323"/>
      <c r="B6" s="3349"/>
      <c r="C6" s="3350"/>
      <c r="D6" s="3351"/>
      <c r="E6" s="261" t="s">
        <v>304</v>
      </c>
      <c r="F6" s="262"/>
      <c r="G6" s="262"/>
      <c r="H6" s="262"/>
      <c r="I6" s="263"/>
      <c r="J6" s="2028"/>
      <c r="K6" s="2027"/>
      <c r="L6" s="2027"/>
      <c r="M6" s="2027"/>
      <c r="N6" s="2027"/>
      <c r="O6" s="2027"/>
      <c r="P6" s="2027"/>
      <c r="Q6" s="2027"/>
      <c r="R6" s="2027"/>
      <c r="S6" s="2027"/>
      <c r="T6" s="2027"/>
      <c r="U6" s="2027"/>
      <c r="V6" s="2027"/>
    </row>
    <row r="7" spans="1:22" ht="14.25">
      <c r="A7" s="3323"/>
      <c r="B7" s="3349"/>
      <c r="C7" s="3348"/>
      <c r="D7" s="3351"/>
      <c r="E7" s="261" t="s">
        <v>305</v>
      </c>
      <c r="F7" s="262"/>
      <c r="G7" s="262"/>
      <c r="H7" s="262"/>
      <c r="I7" s="263"/>
      <c r="J7" s="2028"/>
      <c r="K7" s="2027"/>
      <c r="L7" s="2027"/>
      <c r="M7" s="2027"/>
      <c r="N7" s="2027"/>
      <c r="O7" s="2027"/>
      <c r="P7" s="2027"/>
      <c r="Q7" s="2027"/>
      <c r="R7" s="2027"/>
      <c r="S7" s="2027"/>
      <c r="T7" s="2027"/>
      <c r="U7" s="2027"/>
      <c r="V7" s="2027"/>
    </row>
    <row r="8" spans="1:22" ht="14.25">
      <c r="A8" s="3323" t="s">
        <v>306</v>
      </c>
      <c r="B8" s="3349">
        <v>15</v>
      </c>
      <c r="C8" s="3347"/>
      <c r="D8" s="3351"/>
      <c r="E8" s="261" t="s">
        <v>307</v>
      </c>
      <c r="F8" s="262"/>
      <c r="G8" s="262"/>
      <c r="H8" s="262"/>
      <c r="I8" s="263"/>
      <c r="J8" s="2028"/>
      <c r="K8" s="2027"/>
      <c r="L8" s="2027"/>
      <c r="M8" s="2027"/>
      <c r="N8" s="2027"/>
      <c r="O8" s="2027"/>
      <c r="P8" s="2027"/>
      <c r="Q8" s="2027"/>
      <c r="R8" s="2027"/>
      <c r="S8" s="2027"/>
      <c r="T8" s="2027"/>
      <c r="U8" s="2027"/>
      <c r="V8" s="2027"/>
    </row>
    <row r="9" spans="1:22" ht="14.25">
      <c r="A9" s="3323"/>
      <c r="B9" s="3349"/>
      <c r="C9" s="3348"/>
      <c r="D9" s="3351"/>
      <c r="E9" s="261" t="s">
        <v>308</v>
      </c>
      <c r="F9" s="262"/>
      <c r="G9" s="262"/>
      <c r="H9" s="262"/>
      <c r="I9" s="263"/>
      <c r="J9" s="2028"/>
      <c r="K9" s="2027"/>
      <c r="L9" s="2027"/>
      <c r="M9" s="2027"/>
      <c r="N9" s="2027"/>
      <c r="O9" s="2027"/>
      <c r="P9" s="2027"/>
      <c r="Q9" s="2027"/>
      <c r="R9" s="2027"/>
      <c r="S9" s="2027"/>
      <c r="T9" s="2027"/>
      <c r="U9" s="2027"/>
      <c r="V9" s="2027"/>
    </row>
    <row r="10" spans="1:22" ht="14.25">
      <c r="A10" s="3323" t="s">
        <v>309</v>
      </c>
      <c r="B10" s="3349">
        <v>15</v>
      </c>
      <c r="C10" s="3347"/>
      <c r="D10" s="3351"/>
      <c r="E10" s="261" t="s">
        <v>310</v>
      </c>
      <c r="F10" s="262"/>
      <c r="G10" s="262"/>
      <c r="H10" s="262"/>
      <c r="I10" s="263"/>
      <c r="J10" s="2028"/>
      <c r="K10" s="2027"/>
      <c r="L10" s="2027"/>
      <c r="M10" s="2027"/>
      <c r="N10" s="2027"/>
      <c r="O10" s="2027"/>
      <c r="P10" s="2027"/>
      <c r="Q10" s="2027"/>
      <c r="R10" s="2027"/>
      <c r="S10" s="2027"/>
      <c r="T10" s="2027"/>
      <c r="U10" s="2027"/>
      <c r="V10" s="2027"/>
    </row>
    <row r="11" spans="1:22" ht="14.25">
      <c r="A11" s="3323"/>
      <c r="B11" s="3349"/>
      <c r="C11" s="3348"/>
      <c r="D11" s="3351"/>
      <c r="E11" s="261" t="s">
        <v>311</v>
      </c>
      <c r="F11" s="262"/>
      <c r="G11" s="262"/>
      <c r="H11" s="262"/>
      <c r="I11" s="263"/>
      <c r="J11" s="2028"/>
      <c r="K11" s="2027"/>
      <c r="L11" s="2027"/>
      <c r="M11" s="2027"/>
      <c r="N11" s="2027"/>
      <c r="O11" s="2027"/>
      <c r="P11" s="2027"/>
      <c r="Q11" s="2027"/>
      <c r="R11" s="2027"/>
      <c r="S11" s="2027"/>
      <c r="T11" s="2027"/>
      <c r="U11" s="2027"/>
      <c r="V11" s="2027"/>
    </row>
    <row r="12" spans="1:22" ht="14.25">
      <c r="A12" s="3323" t="s">
        <v>312</v>
      </c>
      <c r="B12" s="3349">
        <v>15</v>
      </c>
      <c r="C12" s="3347"/>
      <c r="D12" s="3351"/>
      <c r="E12" s="261" t="s">
        <v>313</v>
      </c>
      <c r="F12" s="262"/>
      <c r="G12" s="262"/>
      <c r="H12" s="262"/>
      <c r="I12" s="263"/>
      <c r="J12" s="2028"/>
      <c r="K12" s="2027"/>
      <c r="L12" s="2027"/>
      <c r="M12" s="2027"/>
      <c r="N12" s="2027"/>
      <c r="O12" s="2027"/>
      <c r="P12" s="2027"/>
      <c r="Q12" s="2027"/>
      <c r="R12" s="2027"/>
      <c r="S12" s="2027"/>
      <c r="T12" s="2027"/>
      <c r="U12" s="2027"/>
      <c r="V12" s="2027"/>
    </row>
    <row r="13" spans="1:22" ht="14.25">
      <c r="A13" s="3323"/>
      <c r="B13" s="3349"/>
      <c r="C13" s="3348"/>
      <c r="D13" s="3351"/>
      <c r="E13" s="261" t="s">
        <v>314</v>
      </c>
      <c r="F13" s="262"/>
      <c r="G13" s="262"/>
      <c r="H13" s="262"/>
      <c r="I13" s="263"/>
      <c r="J13" s="2028"/>
      <c r="K13" s="2027"/>
      <c r="L13" s="2027"/>
      <c r="M13" s="2027"/>
      <c r="N13" s="2027"/>
      <c r="O13" s="2027"/>
      <c r="P13" s="2027"/>
      <c r="Q13" s="2027"/>
      <c r="R13" s="2027"/>
      <c r="S13" s="2027"/>
      <c r="T13" s="2027"/>
      <c r="U13" s="2027"/>
      <c r="V13" s="2027"/>
    </row>
    <row r="14" spans="1:22" ht="14.25">
      <c r="A14" s="3323" t="s">
        <v>315</v>
      </c>
      <c r="B14" s="3349">
        <v>30</v>
      </c>
      <c r="C14" s="3347">
        <v>3</v>
      </c>
      <c r="D14" s="3351">
        <v>7</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23"/>
      <c r="B15" s="3349"/>
      <c r="C15" s="3350"/>
      <c r="D15" s="3351"/>
      <c r="E15" s="261" t="s">
        <v>317</v>
      </c>
      <c r="F15" s="262"/>
      <c r="G15" s="262"/>
      <c r="H15" s="262"/>
      <c r="I15" s="263"/>
      <c r="J15" s="2028"/>
      <c r="K15" s="2027"/>
      <c r="L15" s="2027"/>
      <c r="M15" s="2027"/>
      <c r="N15" s="2027"/>
      <c r="O15" s="2027"/>
      <c r="P15" s="2027"/>
      <c r="Q15" s="2027"/>
      <c r="R15" s="2027"/>
      <c r="S15" s="2027"/>
      <c r="T15" s="2027"/>
      <c r="U15" s="2027"/>
      <c r="V15" s="2027"/>
    </row>
    <row r="16" spans="1:22" ht="14.25">
      <c r="A16" s="3323"/>
      <c r="B16" s="3349"/>
      <c r="C16" s="3348"/>
      <c r="D16" s="3351"/>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3</v>
      </c>
      <c r="D17" s="265">
        <f>SUM(D5:D16)</f>
        <v>7</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0.3</v>
      </c>
      <c r="D18" s="267">
        <f>1-C18</f>
        <v>0.7</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304469</v>
      </c>
      <c r="D19" s="271">
        <f ca="1">SUMIF(INDIRECT("'"&amp;D4&amp;"'"&amp;"!A:A"),结果表!B19,INDIRECT("'"&amp;D4&amp;"'"&amp;"!B:B"))</f>
        <v>442740</v>
      </c>
      <c r="E19" s="268" t="s">
        <v>323</v>
      </c>
      <c r="F19" s="269" t="s">
        <v>322</v>
      </c>
      <c r="G19" s="272">
        <f ca="1">ROUND(C19*$C$18+D19*$D$18,0)</f>
        <v>401259</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16839</v>
      </c>
      <c r="D20" s="277">
        <f ca="1">SUMIF(INDIRECT("'"&amp;D4&amp;"'"&amp;"!A:A"),结果表!B20,INDIRECT("'"&amp;D4&amp;"'"&amp;"!B:B"))</f>
        <v>24486</v>
      </c>
      <c r="E20" s="274"/>
      <c r="F20" s="275" t="s">
        <v>325</v>
      </c>
      <c r="G20" s="278">
        <f ca="1">ROUND(C20*$C$18+D20*$D$18,0)</f>
        <v>22192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109447</v>
      </c>
      <c r="D21" s="151">
        <f ca="1">SUMIF(INDIRECT("'"&amp;D4&amp;"'"&amp;"!A:A"),结果表!B21,INDIRECT("'"&amp;D4&amp;"'"&amp;"!B:B"))</f>
        <v>159152</v>
      </c>
      <c r="E21" s="274"/>
      <c r="F21" s="280" t="s">
        <v>327</v>
      </c>
      <c r="G21" s="282">
        <f ca="1">ROUND(C21*$C$18+D21*$D$18,0)</f>
        <v>144241</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0.45413818812424256</v>
      </c>
      <c r="E22" s="284"/>
      <c r="F22" s="285"/>
      <c r="G22" s="286">
        <f ca="1">ROUND(G19/('数据-汇总表'!D3/666.67),0)</f>
        <v>9616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29"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30"/>
      <c r="B25" s="1320" t="s">
        <v>331</v>
      </c>
      <c r="C25" s="290">
        <f>IF(B30=0,0,C30)</f>
        <v>0</v>
      </c>
      <c r="D25" s="291"/>
      <c r="E25" s="311"/>
      <c r="F25" s="311"/>
      <c r="G25" s="311"/>
      <c r="H25" s="311"/>
      <c r="I25" s="311"/>
      <c r="J25" s="2027"/>
      <c r="K25" s="1254" t="str">
        <f ca="1">项目基本情况!B16&amp;"国有建设用地使用权价格："&amp;O38&amp;"万元"</f>
        <v>出让国有建设用地使用权价格：401259万元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大写金额：人民币肆拾亿壹仟贰佰伍拾玖万元整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单位面积地价：144240元/平方米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楼面地价：22191元/平方米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5" t="s">
        <v>336</v>
      </c>
      <c r="B30" s="309"/>
      <c r="C30" s="309"/>
      <c r="D30" s="310"/>
      <c r="E30" s="3106" t="s">
        <v>2973</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337</v>
      </c>
      <c r="B32" s="1380" t="s">
        <v>1689</v>
      </c>
      <c r="C32" s="1381">
        <f ca="1">G19-C24</f>
        <v>401259</v>
      </c>
      <c r="D32" s="1382" t="s">
        <v>1690</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340</v>
      </c>
      <c r="B33" s="1383" t="s">
        <v>1691</v>
      </c>
      <c r="C33" s="264">
        <f ca="1">ROUND(C32*10000/'数据-汇总表'!E3,0)</f>
        <v>22191</v>
      </c>
      <c r="D33" s="1384" t="s">
        <v>1692</v>
      </c>
      <c r="E33" s="3329"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144240</v>
      </c>
      <c r="D34" s="1386" t="s">
        <v>1692</v>
      </c>
      <c r="E34" s="3370"/>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9616</v>
      </c>
      <c r="D35" s="1389" t="s">
        <v>1694</v>
      </c>
      <c r="E35" s="3371"/>
      <c r="F35" s="301" t="s">
        <v>342</v>
      </c>
      <c r="G35" s="981"/>
      <c r="H35" s="980" t="s">
        <v>343</v>
      </c>
      <c r="I35" s="311"/>
      <c r="J35" s="2027"/>
      <c r="K35" s="3344" t="s">
        <v>350</v>
      </c>
      <c r="L35" s="3344" t="s">
        <v>351</v>
      </c>
      <c r="M35" s="1263" t="s">
        <v>352</v>
      </c>
      <c r="N35" s="3344" t="s">
        <v>353</v>
      </c>
      <c r="O35" s="3344" t="s">
        <v>354</v>
      </c>
      <c r="P35" s="2027"/>
      <c r="V35" s="2027"/>
    </row>
    <row r="36" spans="1:26" ht="16.5" customHeight="1">
      <c r="A36" s="303" t="s">
        <v>344</v>
      </c>
      <c r="B36" s="304" t="s">
        <v>333</v>
      </c>
      <c r="C36" s="305" t="s">
        <v>345</v>
      </c>
      <c r="D36" s="305" t="s">
        <v>346</v>
      </c>
      <c r="E36" s="306" t="s">
        <v>347</v>
      </c>
      <c r="F36" s="311"/>
      <c r="G36" s="311"/>
      <c r="H36" s="311"/>
      <c r="I36" s="311"/>
      <c r="J36" s="2029"/>
      <c r="K36" s="3345"/>
      <c r="L36" s="3345"/>
      <c r="M36" s="1265" t="s">
        <v>355</v>
      </c>
      <c r="N36" s="3345"/>
      <c r="O36" s="3345"/>
      <c r="P36" s="2027"/>
      <c r="V36" s="2027"/>
    </row>
    <row r="37" spans="1:26" ht="16.5" customHeight="1" thickBot="1">
      <c r="A37" s="1259" t="s">
        <v>348</v>
      </c>
      <c r="B37" s="307"/>
      <c r="C37" s="294"/>
      <c r="D37" s="294"/>
      <c r="E37" s="295"/>
      <c r="F37" s="311"/>
      <c r="G37" s="311"/>
      <c r="H37" s="311"/>
      <c r="I37" s="311"/>
      <c r="J37" s="2029"/>
      <c r="K37" s="3346"/>
      <c r="L37" s="3346"/>
      <c r="M37" s="1266"/>
      <c r="N37" s="3346"/>
      <c r="O37" s="3346"/>
      <c r="P37" s="2027"/>
      <c r="V37" s="2027"/>
    </row>
    <row r="38" spans="1:26" ht="16.5" customHeight="1" thickBot="1">
      <c r="A38" s="1259" t="s">
        <v>349</v>
      </c>
      <c r="B38" s="307"/>
      <c r="C38" s="294"/>
      <c r="D38" s="294"/>
      <c r="E38" s="295"/>
      <c r="F38" s="311"/>
      <c r="G38" s="311"/>
      <c r="H38" s="311"/>
      <c r="I38" s="311"/>
      <c r="J38" s="2029"/>
      <c r="K38" s="1267">
        <f>'数据-汇总表'!D3</f>
        <v>27818.76</v>
      </c>
      <c r="L38" s="1268">
        <f>'数据-汇总表'!E3</f>
        <v>180817</v>
      </c>
      <c r="M38" s="1268">
        <f ca="1">C34</f>
        <v>144240</v>
      </c>
      <c r="N38" s="1268">
        <f ca="1">C33</f>
        <v>22191</v>
      </c>
      <c r="O38" s="1269">
        <f ca="1">C32</f>
        <v>401259</v>
      </c>
      <c r="P38" s="2027"/>
      <c r="V38" s="2027"/>
    </row>
    <row r="39" spans="1:26" ht="16.5" customHeight="1" thickBot="1">
      <c r="A39" s="1264"/>
      <c r="B39" s="308"/>
      <c r="C39" s="309"/>
      <c r="D39" s="309"/>
      <c r="E39" s="310"/>
      <c r="F39" s="311"/>
      <c r="G39" s="311"/>
      <c r="H39" s="311"/>
      <c r="I39" s="311"/>
      <c r="J39" s="2029"/>
      <c r="K39" s="3389" t="str">
        <f>MID(A44,3,LEN(A44)-2)</f>
        <v/>
      </c>
      <c r="L39" s="3390"/>
      <c r="M39" s="3390"/>
      <c r="N39" s="3391"/>
      <c r="O39" s="1391" t="str">
        <f>C44</f>
        <v>——</v>
      </c>
      <c r="P39" s="2027"/>
      <c r="V39" s="2027"/>
    </row>
    <row r="40" spans="1:26" ht="19.5" thickBot="1">
      <c r="A40" s="104" t="s">
        <v>873</v>
      </c>
      <c r="B40" s="311"/>
      <c r="C40" s="311"/>
      <c r="D40" s="311"/>
      <c r="E40" s="311"/>
      <c r="F40" s="311"/>
      <c r="G40" s="311"/>
      <c r="H40" s="311"/>
      <c r="I40" s="311"/>
      <c r="J40" s="2029"/>
      <c r="K40" s="3389" t="str">
        <f t="shared" ref="K40:K41" si="0">MID(A45,3,LEN(A45)-2)</f>
        <v/>
      </c>
      <c r="L40" s="3390"/>
      <c r="M40" s="3390"/>
      <c r="N40" s="3391"/>
      <c r="O40" s="1391" t="str">
        <f>C45</f>
        <v>——</v>
      </c>
      <c r="P40" s="2027"/>
      <c r="V40" s="2027"/>
    </row>
    <row r="41" spans="1:26" ht="16.5" thickBot="1">
      <c r="A41" s="312" t="s">
        <v>356</v>
      </c>
      <c r="B41" s="313"/>
      <c r="C41" s="314" t="s">
        <v>357</v>
      </c>
      <c r="D41" s="315" t="s">
        <v>358</v>
      </c>
      <c r="E41" s="315" t="s">
        <v>359</v>
      </c>
      <c r="F41" s="316" t="s">
        <v>360</v>
      </c>
      <c r="G41" s="311"/>
      <c r="H41" s="311"/>
      <c r="I41" s="311"/>
      <c r="J41" s="2029"/>
      <c r="K41" s="3389" t="str">
        <f t="shared" si="0"/>
        <v/>
      </c>
      <c r="L41" s="3390"/>
      <c r="M41" s="3390"/>
      <c r="N41" s="3391"/>
      <c r="O41" s="1391" t="str">
        <f>C46</f>
        <v>——</v>
      </c>
      <c r="P41" s="2027"/>
      <c r="V41" s="2027"/>
    </row>
    <row r="42" spans="1:26" ht="29.25">
      <c r="A42" s="3331" t="s">
        <v>2068</v>
      </c>
      <c r="B42" s="3332"/>
      <c r="C42" s="264">
        <f ca="1">C32</f>
        <v>401259</v>
      </c>
      <c r="D42" s="317">
        <f ca="1">C33</f>
        <v>22191</v>
      </c>
      <c r="E42" s="317">
        <f ca="1">C34</f>
        <v>144240</v>
      </c>
      <c r="F42" s="318">
        <f ca="1">C35</f>
        <v>9616</v>
      </c>
      <c r="G42" s="311"/>
      <c r="H42" s="311"/>
      <c r="I42" s="319"/>
      <c r="J42" s="2029"/>
      <c r="K42" s="1270" t="s">
        <v>361</v>
      </c>
      <c r="L42" s="2046" t="s">
        <v>362</v>
      </c>
      <c r="M42" s="1271" t="s">
        <v>363</v>
      </c>
      <c r="N42" s="2047" t="s">
        <v>364</v>
      </c>
      <c r="O42" s="2048" t="s">
        <v>365</v>
      </c>
      <c r="P42" s="2027"/>
      <c r="V42" s="2027"/>
    </row>
    <row r="43" spans="1:26" ht="30">
      <c r="A43" s="3342" t="s">
        <v>2731</v>
      </c>
      <c r="B43" s="3343"/>
      <c r="C43" s="264">
        <f>IF(H33="正常操作",G33+G34+G35,G34+G35)</f>
        <v>0</v>
      </c>
      <c r="D43" s="317" t="s">
        <v>43</v>
      </c>
      <c r="E43" s="317" t="s">
        <v>44</v>
      </c>
      <c r="F43" s="318" t="s">
        <v>44</v>
      </c>
      <c r="G43" s="2844" t="s">
        <v>952</v>
      </c>
      <c r="H43" s="311"/>
      <c r="I43" s="319"/>
      <c r="J43" s="2029"/>
      <c r="K43" s="1272" t="str">
        <f>C4</f>
        <v>比较法-住宅、综合</v>
      </c>
      <c r="L43" s="1273">
        <f ca="1">IF(L42="估价结果/万元",C19,C20)</f>
        <v>304469</v>
      </c>
      <c r="M43" s="1274">
        <f>C18</f>
        <v>0.3</v>
      </c>
      <c r="N43" s="1275">
        <f ca="1">IF(N42="测算结果/万元",G19,G20)</f>
        <v>401259</v>
      </c>
      <c r="O43" s="1276">
        <f ca="1">IF(O42="最终结果/万元",C32,C33)</f>
        <v>401259</v>
      </c>
      <c r="P43" s="2027"/>
      <c r="V43" s="2027"/>
    </row>
    <row r="44" spans="1:26" ht="30.75" thickBot="1">
      <c r="A44" s="3331" t="str">
        <f>IF(OR(项目基本情况!E8="抵押价格",项目基本情况!E8="已注销及未注销"),"3.抵押价格","——")</f>
        <v>——</v>
      </c>
      <c r="B44" s="3332"/>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剩余法-待开发</v>
      </c>
      <c r="L44" s="1278">
        <f ca="1">IF(L42="估价结果/万元",D19,D20)</f>
        <v>442740</v>
      </c>
      <c r="M44" s="1279">
        <f>D18</f>
        <v>0.7</v>
      </c>
      <c r="N44" s="1280"/>
      <c r="O44" s="1281"/>
      <c r="P44" s="2027"/>
      <c r="V44" s="2027"/>
    </row>
    <row r="45" spans="1:26" ht="15">
      <c r="A45" s="3337" t="str">
        <f>IF(项目基本情况!E8="已注销及未注销","4.抵押担保权已注销时的抵押价格",IF(项目基本情况!E8="已注销","3.抵押担保权已注销时的抵押价格","——"))</f>
        <v>——</v>
      </c>
      <c r="B45" s="3338"/>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33" t="str">
        <f>IF(项目基本情况!E9="抵押净值",IF(A45="——","4.抵押净值","5.抵押净值"),"——")</f>
        <v>——</v>
      </c>
      <c r="B46" s="3334"/>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78" t="s">
        <v>374</v>
      </c>
      <c r="B63" s="3379"/>
      <c r="C63" s="3380"/>
      <c r="D63" s="341">
        <f ca="1">ROUND(C42*F63,0)</f>
        <v>240755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39" t="s">
        <v>378</v>
      </c>
      <c r="B64" s="3340"/>
      <c r="C64" s="3340"/>
      <c r="D64" s="3340"/>
      <c r="E64" s="3340"/>
      <c r="F64" s="3340"/>
      <c r="G64" s="3341"/>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35" t="s">
        <v>386</v>
      </c>
      <c r="B66" s="3336"/>
      <c r="C66" s="3336"/>
      <c r="D66" s="261">
        <f ca="1">IF(H66="情况1",0,IF(H66="情况2",D70,IF(H66="情况3",D71,IF(H66="情况4",D72))))</f>
        <v>12840</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93" t="s">
        <v>385</v>
      </c>
      <c r="M66" s="3394"/>
      <c r="N66" s="2436"/>
      <c r="O66" s="2437"/>
      <c r="P66" s="2438"/>
      <c r="Q66" s="2027"/>
      <c r="R66" s="2027"/>
      <c r="S66" s="2027"/>
      <c r="T66" s="2027"/>
      <c r="U66" s="2027"/>
      <c r="V66" s="2027"/>
    </row>
    <row r="67" spans="1:22" ht="25.5" customHeight="1">
      <c r="A67" s="352" t="s">
        <v>390</v>
      </c>
      <c r="B67" s="3326" t="s">
        <v>391</v>
      </c>
      <c r="C67" s="3326"/>
      <c r="D67" s="353">
        <v>0</v>
      </c>
      <c r="E67" s="41" t="s">
        <v>392</v>
      </c>
      <c r="F67" s="62" t="s">
        <v>21</v>
      </c>
      <c r="G67" s="3381"/>
      <c r="H67" s="311"/>
      <c r="I67" s="1291"/>
      <c r="J67" s="2034"/>
      <c r="K67" s="1975">
        <v>2</v>
      </c>
      <c r="L67" s="3392" t="s">
        <v>389</v>
      </c>
      <c r="M67" s="3392"/>
      <c r="N67" s="1324">
        <f>'数据-取费表'!B2</f>
        <v>43489</v>
      </c>
      <c r="O67" s="1324"/>
      <c r="P67" s="1324"/>
      <c r="Q67" s="2027"/>
      <c r="R67" s="2027"/>
      <c r="S67" s="2027"/>
      <c r="T67" s="2027"/>
      <c r="U67" s="2027"/>
      <c r="V67" s="2027"/>
    </row>
    <row r="68" spans="1:22" ht="25.5" customHeight="1">
      <c r="A68" s="354"/>
      <c r="B68" s="3326" t="s">
        <v>394</v>
      </c>
      <c r="C68" s="3326"/>
      <c r="D68" s="355"/>
      <c r="E68" s="77"/>
      <c r="F68" s="356"/>
      <c r="G68" s="3382"/>
      <c r="H68" s="311"/>
      <c r="I68" s="1291"/>
      <c r="J68" s="2034"/>
      <c r="K68" s="1975">
        <v>3</v>
      </c>
      <c r="L68" s="3392" t="s">
        <v>393</v>
      </c>
      <c r="M68" s="3392"/>
      <c r="N68" s="1292">
        <f ca="1">C42</f>
        <v>401259</v>
      </c>
      <c r="O68" s="1292"/>
      <c r="P68" s="1292"/>
      <c r="Q68" s="2027"/>
      <c r="R68" s="2027"/>
      <c r="S68" s="2027"/>
      <c r="T68" s="2027"/>
      <c r="U68" s="2027"/>
      <c r="V68" s="2027"/>
    </row>
    <row r="69" spans="1:22" ht="12" customHeight="1">
      <c r="A69" s="357"/>
      <c r="B69" s="3326" t="s">
        <v>395</v>
      </c>
      <c r="C69" s="3326"/>
      <c r="D69" s="358"/>
      <c r="E69" s="73"/>
      <c r="F69" s="356"/>
      <c r="G69" s="3383"/>
      <c r="H69" s="311"/>
      <c r="I69" s="1291"/>
      <c r="J69" s="2034"/>
      <c r="K69" s="1293">
        <v>4</v>
      </c>
      <c r="L69" s="3397" t="s">
        <v>2884</v>
      </c>
      <c r="M69" s="3398"/>
      <c r="N69" s="1294" t="str">
        <f>C44</f>
        <v>——</v>
      </c>
      <c r="O69" s="1294"/>
      <c r="P69" s="1294"/>
      <c r="Q69" s="2027"/>
      <c r="R69" s="2027"/>
      <c r="S69" s="2027"/>
      <c r="T69" s="2027"/>
      <c r="U69" s="2027"/>
      <c r="V69" s="2027"/>
    </row>
    <row r="70" spans="1:22" ht="24" customHeight="1">
      <c r="A70" s="359" t="s">
        <v>396</v>
      </c>
      <c r="B70" s="3326" t="s">
        <v>397</v>
      </c>
      <c r="C70" s="3326"/>
      <c r="D70" s="358">
        <f ca="1">ROUND(D63*'数据-取费表'!B41/(1+'数据-取费表'!C42),0)</f>
        <v>12840</v>
      </c>
      <c r="E70" s="17" t="s">
        <v>398</v>
      </c>
      <c r="F70" s="360">
        <f>'数据-取费表'!B41</f>
        <v>5.6000000000000001E-2</v>
      </c>
      <c r="G70" s="361"/>
      <c r="H70" s="311"/>
      <c r="I70" s="1291"/>
      <c r="J70" s="2034"/>
      <c r="K70" s="3037"/>
      <c r="L70" s="3038"/>
      <c r="M70" s="3038"/>
      <c r="N70" s="3039" t="s">
        <v>2889</v>
      </c>
      <c r="O70" s="3038"/>
      <c r="P70" s="3040"/>
      <c r="Q70" s="2027"/>
      <c r="R70" s="2027"/>
      <c r="S70" s="2027"/>
      <c r="T70" s="2027"/>
      <c r="U70" s="2027"/>
      <c r="V70" s="2027"/>
    </row>
    <row r="71" spans="1:22" ht="12" customHeight="1">
      <c r="A71" s="359" t="s">
        <v>404</v>
      </c>
      <c r="B71" s="3327" t="s">
        <v>405</v>
      </c>
      <c r="C71" s="3328"/>
      <c r="D71" s="358">
        <f ca="1">ROUND(D63*'数据-取费表'!B41/(1+'数据-取费表'!C42),0)</f>
        <v>12840</v>
      </c>
      <c r="E71" s="17" t="s">
        <v>398</v>
      </c>
      <c r="F71" s="360">
        <f>'数据-取费表'!B41</f>
        <v>5.6000000000000001E-2</v>
      </c>
      <c r="G71" s="361"/>
      <c r="H71" s="311"/>
      <c r="I71" s="1291"/>
      <c r="J71" s="2034"/>
      <c r="K71" s="3036" t="s">
        <v>399</v>
      </c>
      <c r="L71" s="3399" t="s">
        <v>400</v>
      </c>
      <c r="M71" s="3399"/>
      <c r="N71" s="3036" t="s">
        <v>401</v>
      </c>
      <c r="O71" s="3036" t="s">
        <v>402</v>
      </c>
      <c r="P71" s="3036" t="s">
        <v>403</v>
      </c>
      <c r="Q71" s="2027"/>
      <c r="R71" s="2027"/>
      <c r="S71" s="2027"/>
      <c r="T71" s="2027"/>
      <c r="U71" s="2027"/>
      <c r="V71" s="2027"/>
    </row>
    <row r="72" spans="1:22" ht="12" customHeight="1">
      <c r="A72" s="359" t="s">
        <v>407</v>
      </c>
      <c r="B72" s="3327" t="s">
        <v>408</v>
      </c>
      <c r="C72" s="3328"/>
      <c r="D72" s="358">
        <f ca="1">C86</f>
        <v>12728</v>
      </c>
      <c r="E72" s="73" t="s">
        <v>409</v>
      </c>
      <c r="F72" s="360">
        <f>'数据-取费表'!B41</f>
        <v>5.6000000000000001E-2</v>
      </c>
      <c r="G72" s="361"/>
      <c r="H72" s="1297"/>
      <c r="I72" s="1291"/>
      <c r="J72" s="2034"/>
      <c r="K72" s="1975">
        <v>1</v>
      </c>
      <c r="L72" s="3374" t="s">
        <v>406</v>
      </c>
      <c r="M72" s="3374"/>
      <c r="N72" s="1295">
        <f ca="1">D66</f>
        <v>12840</v>
      </c>
      <c r="O72" s="1858" t="str">
        <f>E66</f>
        <v>销售额×税（费）率</v>
      </c>
      <c r="P72" s="1296">
        <f>F66</f>
        <v>5.6000000000000001E-2</v>
      </c>
      <c r="Q72" s="2027"/>
      <c r="R72" s="2027"/>
      <c r="S72" s="2027"/>
      <c r="T72" s="2027"/>
      <c r="U72" s="2027"/>
      <c r="V72" s="2027"/>
    </row>
    <row r="73" spans="1:22" ht="24" customHeight="1">
      <c r="A73" s="3368" t="s">
        <v>411</v>
      </c>
      <c r="B73" s="3336"/>
      <c r="C73" s="3336"/>
      <c r="D73" s="362">
        <f>IF(H73="个人住宅",0,ROUND(D63*I73,0))</f>
        <v>0</v>
      </c>
      <c r="E73" s="17" t="s">
        <v>412</v>
      </c>
      <c r="F73" s="360" t="str">
        <f>IF(H73="正常",I73,"免征")</f>
        <v>免征</v>
      </c>
      <c r="G73" s="361"/>
      <c r="H73" s="191" t="s">
        <v>2456</v>
      </c>
      <c r="I73" s="360">
        <f>'数据-取费表'!B49</f>
        <v>5.0000000000000001E-4</v>
      </c>
      <c r="J73" s="2034"/>
      <c r="K73" s="1975">
        <v>2</v>
      </c>
      <c r="L73" s="3374" t="s">
        <v>410</v>
      </c>
      <c r="M73" s="3374"/>
      <c r="N73" s="1295">
        <f t="shared" ref="N73:P74" si="1">D73</f>
        <v>0</v>
      </c>
      <c r="O73" s="1858" t="str">
        <f t="shared" si="1"/>
        <v>销售额×税（费）率</v>
      </c>
      <c r="P73" s="1296" t="str">
        <f t="shared" si="1"/>
        <v>免征</v>
      </c>
      <c r="Q73" s="2027"/>
      <c r="R73" s="2027"/>
      <c r="S73" s="2027"/>
      <c r="T73" s="2027"/>
      <c r="U73" s="2027"/>
      <c r="V73" s="2027"/>
    </row>
    <row r="74" spans="1:22" ht="24.75">
      <c r="A74" s="3368" t="s">
        <v>415</v>
      </c>
      <c r="B74" s="3336"/>
      <c r="C74" s="3336"/>
      <c r="D74" s="362">
        <f ca="1">IF(H74="个人住宅",D75,D76)</f>
        <v>135611</v>
      </c>
      <c r="E74" s="17" t="s">
        <v>416</v>
      </c>
      <c r="F74" s="360" t="str">
        <f>IF(H74="正常",F76,"免征")</f>
        <v>——</v>
      </c>
      <c r="G74" s="982" t="s">
        <v>417</v>
      </c>
      <c r="H74" s="363" t="s">
        <v>413</v>
      </c>
      <c r="I74" s="42"/>
      <c r="J74" s="2034"/>
      <c r="K74" s="1975">
        <v>3</v>
      </c>
      <c r="L74" s="3374" t="s">
        <v>414</v>
      </c>
      <c r="M74" s="3374"/>
      <c r="N74" s="1295">
        <f t="shared" ca="1" si="1"/>
        <v>135611</v>
      </c>
      <c r="O74" s="1858" t="str">
        <f t="shared" si="1"/>
        <v>增值额×税（费）率</v>
      </c>
      <c r="P74" s="1298" t="str">
        <f t="shared" si="1"/>
        <v>——</v>
      </c>
      <c r="Q74" s="2027"/>
      <c r="R74" s="2027"/>
      <c r="S74" s="2027"/>
      <c r="T74" s="2027"/>
      <c r="U74" s="2027"/>
      <c r="V74" s="2027"/>
    </row>
    <row r="75" spans="1:22" ht="24">
      <c r="A75" s="359" t="s">
        <v>418</v>
      </c>
      <c r="B75" s="3324" t="s">
        <v>419</v>
      </c>
      <c r="C75" s="3354"/>
      <c r="D75" s="364">
        <v>0</v>
      </c>
      <c r="E75" s="41" t="s">
        <v>420</v>
      </c>
      <c r="F75" s="365"/>
      <c r="G75" s="361"/>
      <c r="H75" s="42"/>
      <c r="I75" s="42"/>
      <c r="J75" s="2034"/>
      <c r="K75" s="3029">
        <f>IF(H77="非个人房产","",4)</f>
        <v>4</v>
      </c>
      <c r="L75" s="3374" t="str">
        <f>IF(H77="非个人房产","——","个人所得税")</f>
        <v>个人所得税</v>
      </c>
      <c r="M75" s="3374"/>
      <c r="N75" s="1299">
        <f ca="1">D77</f>
        <v>2408</v>
      </c>
      <c r="O75" s="1871" t="str">
        <f>E77</f>
        <v>销售额×税（费）率</v>
      </c>
      <c r="P75" s="1300">
        <f>F77</f>
        <v>0.01</v>
      </c>
      <c r="Q75" s="2027"/>
      <c r="R75" s="2027"/>
      <c r="S75" s="2027"/>
      <c r="T75" s="2027"/>
      <c r="U75" s="2027"/>
      <c r="V75" s="2027"/>
    </row>
    <row r="76" spans="1:22" ht="24.75">
      <c r="A76" s="359" t="s">
        <v>396</v>
      </c>
      <c r="B76" s="3324" t="s">
        <v>422</v>
      </c>
      <c r="C76" s="3325"/>
      <c r="D76" s="362">
        <f ca="1">IF(H76="转让取得",C99,C115)</f>
        <v>135611</v>
      </c>
      <c r="E76" s="17" t="s">
        <v>423</v>
      </c>
      <c r="F76" s="53" t="s">
        <v>21</v>
      </c>
      <c r="G76" s="361"/>
      <c r="H76" s="363" t="s">
        <v>424</v>
      </c>
      <c r="I76" s="42"/>
      <c r="J76" s="2034"/>
      <c r="K76" s="3029" t="str">
        <f>IF(项目基本情况!K6="上海银行",IF(K75="",4,K75+1),"")</f>
        <v/>
      </c>
      <c r="L76" s="3385" t="str">
        <f>IF(项目基本情况!K6="上海银行","其他处置费用","")</f>
        <v/>
      </c>
      <c r="M76" s="3386"/>
      <c r="N76" s="1295" t="str">
        <f>IF(项目基本情况!K6="上海银行",N89,"")</f>
        <v/>
      </c>
      <c r="O76" s="3387" t="str">
        <f>IF(项目基本情况!K6="上海银行","包含处置中涉及的律师、诉讼、拍卖、评估等费用","")</f>
        <v/>
      </c>
      <c r="P76" s="3388"/>
      <c r="Q76" s="2027"/>
      <c r="R76" s="2027"/>
      <c r="S76" s="2027"/>
      <c r="T76" s="2027"/>
      <c r="U76" s="2027"/>
      <c r="V76" s="2027"/>
    </row>
    <row r="77" spans="1:22" ht="26.25" thickBot="1">
      <c r="A77" s="3376" t="s">
        <v>426</v>
      </c>
      <c r="B77" s="3377"/>
      <c r="C77" s="3377"/>
      <c r="D77" s="366">
        <f ca="1">IF(H77="非个人房产","——",IF(H77="个人住宅",0,ROUND(D63*I77,0)))</f>
        <v>2408</v>
      </c>
      <c r="E77" s="367" t="str">
        <f>IF(H77="非个人房产","——","销售额×税（费）率")</f>
        <v>销售额×税（费）率</v>
      </c>
      <c r="F77" s="368">
        <f>IF(H77="非个人房产","——",IF(H77="个人住宅","免征",I77))</f>
        <v>0.01</v>
      </c>
      <c r="G77" s="983" t="s">
        <v>417</v>
      </c>
      <c r="H77" s="363" t="s">
        <v>2885</v>
      </c>
      <c r="I77" s="369">
        <v>0.01</v>
      </c>
      <c r="J77" s="2034"/>
      <c r="K77" s="3375">
        <f>IF(AND(K75="",K76=""),4,IF(项目基本情况!K6="上海银行",K76+1,K75+1))</f>
        <v>5</v>
      </c>
      <c r="L77" s="3374" t="s">
        <v>2886</v>
      </c>
      <c r="M77" s="3035" t="s">
        <v>421</v>
      </c>
      <c r="N77" s="1301"/>
      <c r="O77" s="1302">
        <f ca="1">SUMIF(N72:N76,"&lt;9e307")</f>
        <v>150859</v>
      </c>
      <c r="P77" s="1303"/>
      <c r="Q77" s="3033" t="e">
        <f ca="1">O77/N69</f>
        <v>#VALUE!</v>
      </c>
      <c r="R77" s="2027"/>
      <c r="S77" s="2027"/>
      <c r="T77" s="2027"/>
      <c r="U77" s="2027"/>
      <c r="V77" s="2027"/>
    </row>
    <row r="78" spans="1:22" ht="12" customHeight="1">
      <c r="A78" s="1304"/>
      <c r="B78" s="311"/>
      <c r="C78" s="311"/>
      <c r="D78" s="311"/>
      <c r="E78" s="42"/>
      <c r="F78" s="42"/>
      <c r="G78" s="42"/>
      <c r="H78" s="1002"/>
      <c r="I78" s="311"/>
      <c r="J78" s="2034"/>
      <c r="K78" s="3375"/>
      <c r="L78" s="3374"/>
      <c r="M78" s="3035" t="s">
        <v>425</v>
      </c>
      <c r="N78" s="1301"/>
      <c r="O78" s="1302" t="str">
        <f ca="1">NUMBERSTRING(INT(O77*10000),2)&amp;"元整"</f>
        <v>壹拾伍亿零捌佰伍拾玖万元整</v>
      </c>
      <c r="P78" s="1303"/>
      <c r="Q78" s="2027"/>
      <c r="R78" s="2027"/>
      <c r="S78" s="2027"/>
      <c r="T78" s="2027"/>
      <c r="U78" s="2027"/>
      <c r="V78" s="2027"/>
    </row>
    <row r="79" spans="1:22" ht="13.5" thickBot="1">
      <c r="A79" s="3369" t="s">
        <v>427</v>
      </c>
      <c r="B79" s="3369"/>
      <c r="C79" s="3369"/>
      <c r="D79" s="3369"/>
      <c r="E79" s="3369"/>
      <c r="F79" s="42"/>
      <c r="G79" s="42"/>
      <c r="H79" s="1002"/>
      <c r="I79" s="311"/>
      <c r="J79" s="2034"/>
      <c r="K79" s="3395">
        <f>K77+1</f>
        <v>6</v>
      </c>
      <c r="L79" s="3374" t="s">
        <v>2887</v>
      </c>
      <c r="M79" s="3035" t="s">
        <v>421</v>
      </c>
      <c r="N79" s="1301"/>
      <c r="O79" s="1302" t="e">
        <f ca="1">N69-O77</f>
        <v>#VALUE!</v>
      </c>
      <c r="P79" s="1303"/>
      <c r="Q79" s="2027"/>
      <c r="R79" s="2027"/>
      <c r="S79" s="2027"/>
      <c r="T79" s="2027"/>
      <c r="U79" s="2027"/>
      <c r="V79" s="2027"/>
    </row>
    <row r="80" spans="1:22" ht="12.75">
      <c r="A80" s="3364" t="s">
        <v>428</v>
      </c>
      <c r="B80" s="3365"/>
      <c r="C80" s="993"/>
      <c r="D80" s="993" t="s">
        <v>429</v>
      </c>
      <c r="E80" s="370" t="s">
        <v>430</v>
      </c>
      <c r="F80" s="42"/>
      <c r="G80" s="42"/>
      <c r="H80" s="1002"/>
      <c r="I80" s="311"/>
      <c r="J80" s="2027"/>
      <c r="K80" s="3396"/>
      <c r="L80" s="3374"/>
      <c r="M80" s="3035" t="s">
        <v>425</v>
      </c>
      <c r="N80" s="1301"/>
      <c r="O80" s="1302" t="e">
        <f ca="1">NUMBERSTRING(INT(O79*10000),2)&amp;"元整"</f>
        <v>#VALUE!</v>
      </c>
      <c r="P80" s="1303"/>
      <c r="Q80" s="2027"/>
      <c r="R80" s="2027"/>
      <c r="S80" s="2027"/>
      <c r="T80" s="2027"/>
      <c r="U80" s="2027"/>
      <c r="V80" s="2027"/>
    </row>
    <row r="81" spans="1:26" ht="13.5" thickBot="1">
      <c r="A81" s="381" t="s">
        <v>1824</v>
      </c>
      <c r="B81" s="371" t="s">
        <v>431</v>
      </c>
      <c r="C81" s="372">
        <f ca="1">ROUND((C82+C83)/(1+'数据-取费表'!C42),0)</f>
        <v>229290</v>
      </c>
      <c r="D81" s="373"/>
      <c r="E81" s="374"/>
      <c r="F81" s="42"/>
      <c r="G81" s="42"/>
      <c r="H81" s="1002"/>
      <c r="I81" s="311"/>
      <c r="J81" s="2027"/>
      <c r="K81" s="3029">
        <f>K79+1</f>
        <v>7</v>
      </c>
      <c r="L81" s="3372" t="s">
        <v>2888</v>
      </c>
      <c r="M81" s="3373"/>
      <c r="N81" s="1305"/>
      <c r="O81" s="1306" t="e">
        <f ca="1">ROUND(O79*10000/'数据-汇总表'!E3,0)</f>
        <v>#VALUE!</v>
      </c>
      <c r="P81" s="1307"/>
      <c r="Q81" s="2027"/>
      <c r="R81" s="2027"/>
      <c r="S81" s="2027"/>
      <c r="T81" s="2027"/>
      <c r="U81" s="2027"/>
      <c r="V81" s="2027"/>
    </row>
    <row r="82" spans="1:26" ht="13.5" thickTop="1">
      <c r="A82" s="375" t="s">
        <v>1825</v>
      </c>
      <c r="B82" s="376" t="s">
        <v>432</v>
      </c>
      <c r="C82" s="377">
        <f ca="1">D63</f>
        <v>240755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84" t="s">
        <v>2875</v>
      </c>
      <c r="L83" s="3041" t="s">
        <v>2876</v>
      </c>
      <c r="M83" s="3031" t="e">
        <f>IF(N69&gt;10000,N69*0.5%,IF(AND(N69&gt;1000,N69&lt;=10000),N69*1%,IF(AND(N69&gt;100,N69&lt;=1000),N69*3%,IF(AND(N69&gt;10,N69&lt;=100),N69*5%,N69*8%))))</f>
        <v>#VALUE!</v>
      </c>
      <c r="N83" s="53" t="e">
        <f>ROUND(M83,1)</f>
        <v>#VALUE!</v>
      </c>
      <c r="O83" s="3034"/>
      <c r="P83" s="2027"/>
      <c r="Q83" s="2027"/>
      <c r="R83" s="2027"/>
      <c r="S83" s="2027"/>
      <c r="T83" s="2027"/>
      <c r="U83" s="2027"/>
      <c r="V83" s="2027"/>
    </row>
    <row r="84" spans="1:26" ht="12.75">
      <c r="A84" s="381" t="s">
        <v>1827</v>
      </c>
      <c r="B84" s="382" t="s">
        <v>434</v>
      </c>
      <c r="C84" s="383">
        <v>2000</v>
      </c>
      <c r="D84" s="384" t="s">
        <v>19</v>
      </c>
      <c r="E84" s="3076" t="s">
        <v>2945</v>
      </c>
      <c r="F84" s="42"/>
      <c r="G84" s="42"/>
      <c r="H84" s="1002"/>
      <c r="I84" s="311"/>
      <c r="J84" s="2027"/>
      <c r="K84" s="3384"/>
      <c r="L84" s="3041" t="s">
        <v>2877</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2878</v>
      </c>
      <c r="P84" s="2027"/>
      <c r="Q84" s="2027"/>
      <c r="R84" s="2027"/>
      <c r="S84" s="2027"/>
      <c r="T84" s="2027"/>
      <c r="U84" s="2027"/>
      <c r="V84" s="2027"/>
    </row>
    <row r="85" spans="1:26" ht="12.75">
      <c r="A85" s="381" t="s">
        <v>1828</v>
      </c>
      <c r="B85" s="382" t="s">
        <v>435</v>
      </c>
      <c r="C85" s="385">
        <f ca="1">C81-C84</f>
        <v>227290</v>
      </c>
      <c r="D85" s="378" t="s">
        <v>19</v>
      </c>
      <c r="E85" s="379"/>
      <c r="F85" s="42"/>
      <c r="G85" s="42"/>
      <c r="H85" s="1002"/>
      <c r="I85" s="311"/>
      <c r="J85" s="2027"/>
      <c r="K85" s="3384"/>
      <c r="L85" s="3041" t="s">
        <v>2879</v>
      </c>
      <c r="M85" s="3031" t="e">
        <f>IF(N69&gt;1000,N69*0.1%,IF(AND(N69&gt;500,N69&lt;=1000),N69*0.5%,IF(AND(N69&gt;50,N69&lt;=500),N69*1%,IF(AND(N69&gt;1,N69&lt;=50),N69*1.5%))))</f>
        <v>#VALUE!</v>
      </c>
      <c r="N85" s="53" t="e">
        <f t="shared" si="2"/>
        <v>#VALUE!</v>
      </c>
      <c r="O85" s="2027" t="s">
        <v>2878</v>
      </c>
      <c r="P85" s="2027"/>
      <c r="Q85" s="2027"/>
      <c r="R85" s="2027"/>
      <c r="S85" s="2027"/>
      <c r="T85" s="2027"/>
      <c r="U85" s="2027"/>
      <c r="V85" s="2027"/>
    </row>
    <row r="86" spans="1:26" ht="13.5" thickBot="1">
      <c r="A86" s="386" t="s">
        <v>1829</v>
      </c>
      <c r="B86" s="387" t="s">
        <v>436</v>
      </c>
      <c r="C86" s="388">
        <f ca="1">IF(C85&lt;=0,0,ROUND(C85*D86,0))</f>
        <v>12728</v>
      </c>
      <c r="D86" s="389">
        <f>'数据-取费表'!B41</f>
        <v>5.6000000000000001E-2</v>
      </c>
      <c r="E86" s="390"/>
      <c r="F86" s="42"/>
      <c r="G86" s="42"/>
      <c r="H86" s="1002"/>
      <c r="I86" s="311"/>
      <c r="J86" s="2027"/>
      <c r="K86" s="3384"/>
      <c r="L86" s="3041" t="s">
        <v>2880</v>
      </c>
      <c r="M86" s="3031" t="e">
        <f>N69*0.5%</f>
        <v>#VALUE!</v>
      </c>
      <c r="N86" s="53" t="e">
        <f>IF(M86&gt;0.5,0.5,ROUND(M86,0))</f>
        <v>#VALUE!</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84"/>
      <c r="L87" s="3041" t="s">
        <v>2882</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7"/>
      <c r="R87" s="2027"/>
      <c r="S87" s="2027"/>
      <c r="T87" s="2027"/>
      <c r="U87" s="2027"/>
      <c r="V87" s="2027"/>
      <c r="W87" s="292"/>
      <c r="X87" s="292"/>
      <c r="Y87" s="292"/>
      <c r="Z87" s="292"/>
    </row>
    <row r="88" spans="1:26" s="1313" customFormat="1" ht="15" thickBot="1">
      <c r="A88" s="3366" t="s">
        <v>437</v>
      </c>
      <c r="B88" s="3367"/>
      <c r="C88" s="3367"/>
      <c r="D88" s="3367"/>
      <c r="E88" s="3367"/>
      <c r="F88" s="3367"/>
      <c r="G88" s="3367"/>
      <c r="H88" s="3367"/>
      <c r="I88" s="1314"/>
      <c r="J88" s="2035"/>
      <c r="K88" s="3384"/>
      <c r="L88" s="3041" t="s">
        <v>2883</v>
      </c>
      <c r="M88" s="3031" t="e">
        <f>IF(N69&gt;10000,N69*0.5%,IF(AND(N69&gt;5000,N69&lt;=10000),N69*1%,IF(AND(N69&gt;1000,N69&lt;=5000),N69*2%,IF(AND(N69&gt;200,N69&lt;=1000),N69*3%,N69*5%))))</f>
        <v>#VALUE!</v>
      </c>
      <c r="N88" s="53" t="e">
        <f>ROUND(M88,1)</f>
        <v>#VALUE!</v>
      </c>
      <c r="O88" s="3034"/>
      <c r="P88" s="11"/>
      <c r="Q88" s="2032"/>
      <c r="R88" s="2032"/>
      <c r="S88" s="2032"/>
      <c r="T88" s="2032"/>
      <c r="U88" s="2032"/>
      <c r="V88" s="2032"/>
      <c r="W88" s="2036"/>
      <c r="X88" s="2036"/>
      <c r="Y88" s="2036"/>
      <c r="Z88" s="2036"/>
    </row>
    <row r="89" spans="1:26" s="1313" customFormat="1" ht="14.25">
      <c r="A89" s="3364" t="s">
        <v>428</v>
      </c>
      <c r="B89" s="3365"/>
      <c r="C89" s="993"/>
      <c r="D89" s="993" t="s">
        <v>429</v>
      </c>
      <c r="E89" s="391" t="s">
        <v>438</v>
      </c>
      <c r="F89" s="392"/>
      <c r="G89" s="392"/>
      <c r="H89" s="393"/>
      <c r="I89" s="1315"/>
      <c r="J89" s="2037"/>
      <c r="K89" s="3384"/>
      <c r="L89" s="3041" t="s">
        <v>27</v>
      </c>
      <c r="M89" s="3032"/>
      <c r="N89" s="53" t="e">
        <f>ROUND(SUM(N83:N88),0)</f>
        <v>#VALUE!</v>
      </c>
      <c r="O89" s="3042" t="e">
        <f>N89/N69</f>
        <v>#VALUE!</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229290</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3937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27" t="s">
        <v>447</v>
      </c>
      <c r="F94" s="3326"/>
      <c r="G94" s="3326"/>
      <c r="H94" s="3363"/>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1376</v>
      </c>
      <c r="D96" s="406">
        <f>'数据-取费表'!B43</f>
        <v>6.000000000000001E-3</v>
      </c>
      <c r="E96" s="3355" t="s">
        <v>2429</v>
      </c>
      <c r="F96" s="3356"/>
      <c r="G96" s="3356"/>
      <c r="H96" s="3357"/>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225353</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57.239776479552958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133834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66" t="s">
        <v>454</v>
      </c>
      <c r="B101" s="3367"/>
      <c r="C101" s="3367"/>
      <c r="D101" s="3367"/>
      <c r="E101" s="3367"/>
      <c r="F101" s="3367"/>
      <c r="G101" s="3367"/>
      <c r="H101" s="3367"/>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64" t="s">
        <v>428</v>
      </c>
      <c r="B102" s="3365"/>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229290</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2066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58" t="s">
        <v>462</v>
      </c>
      <c r="F109" s="3356"/>
      <c r="G109" s="3356"/>
      <c r="H109" s="1940" t="s">
        <v>2280</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58" t="s">
        <v>464</v>
      </c>
      <c r="F110" s="3356"/>
      <c r="G110" s="3356"/>
      <c r="H110" s="3357"/>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1376</v>
      </c>
      <c r="D111" s="406">
        <f>'数据-取费表'!B43</f>
        <v>6.000000000000001E-3</v>
      </c>
      <c r="E111" s="3355" t="s">
        <v>2429</v>
      </c>
      <c r="F111" s="3356"/>
      <c r="G111" s="3356"/>
      <c r="H111" s="3357"/>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58" t="s">
        <v>2454</v>
      </c>
      <c r="F112" s="3356"/>
      <c r="G112" s="3356"/>
      <c r="H112" s="3357"/>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227224</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109.98257502420135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135611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T25" sqref="T25"/>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2304</v>
      </c>
      <c r="C1" s="3403" t="s">
        <v>2305</v>
      </c>
      <c r="D1" s="3404"/>
      <c r="E1" s="3404"/>
      <c r="F1" s="3404"/>
      <c r="G1" s="3404"/>
      <c r="H1" s="3404"/>
      <c r="I1" s="3404"/>
      <c r="J1" s="3404"/>
      <c r="K1" s="3404"/>
      <c r="L1" s="3404"/>
      <c r="M1" s="3404"/>
      <c r="N1" s="3404"/>
      <c r="O1" s="3404"/>
      <c r="P1" s="3404"/>
      <c r="Q1" s="3404"/>
      <c r="R1" s="3404"/>
      <c r="S1" s="3405"/>
      <c r="T1" s="2233" t="s">
        <v>2306</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25.5">
      <c r="A2" s="2234"/>
      <c r="B2" s="948" t="s">
        <v>2307</v>
      </c>
      <c r="C2" s="949" t="str">
        <f t="shared" ref="C2:L2" si="0">C3&amp;"(含)"&amp;"-"&amp;D3</f>
        <v>0(含)-1</v>
      </c>
      <c r="D2" s="950" t="str">
        <f t="shared" si="0"/>
        <v>1(含)-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v>1</v>
      </c>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5" t="s">
        <v>2931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7" t="s">
        <v>2930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7" t="s">
        <v>2929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6"/>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5" t="s">
        <v>2944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5" t="s">
        <v>2928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5" t="s">
        <v>2927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2308</v>
      </c>
      <c r="B17" s="2277" t="s">
        <v>2309</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499646</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22192</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225147</v>
      </c>
      <c r="C22" s="3400" t="s">
        <v>20</v>
      </c>
      <c r="D22" s="3401"/>
      <c r="E22" s="3401"/>
      <c r="F22" s="3401"/>
      <c r="G22" s="3401"/>
      <c r="H22" s="3401"/>
      <c r="I22" s="3401"/>
      <c r="J22" s="3401"/>
      <c r="K22" s="3401"/>
      <c r="L22" s="3401"/>
      <c r="M22" s="3401"/>
      <c r="N22" s="3401"/>
      <c r="O22" s="3401"/>
      <c r="P22" s="3401"/>
      <c r="Q22" s="3402"/>
      <c r="R22" s="490">
        <f ca="1">ROUND(S22*10000/B22,0)</f>
        <v>22192</v>
      </c>
      <c r="S22" s="53">
        <f ca="1">SUM(S24:S10000)</f>
        <v>499646</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f>'数据-基础表'!B3</f>
        <v>180817</v>
      </c>
      <c r="C24" s="961">
        <v>1</v>
      </c>
      <c r="D24" s="962"/>
      <c r="E24" s="961">
        <v>1</v>
      </c>
      <c r="F24" s="962"/>
      <c r="G24" s="961">
        <v>1</v>
      </c>
      <c r="H24" s="962"/>
      <c r="I24" s="961">
        <v>1</v>
      </c>
      <c r="J24" s="962"/>
      <c r="K24" s="961">
        <v>1</v>
      </c>
      <c r="L24" s="962"/>
      <c r="M24" s="961">
        <v>1</v>
      </c>
      <c r="N24" s="962"/>
      <c r="O24" s="961">
        <v>1</v>
      </c>
      <c r="P24" s="962"/>
      <c r="Q24" s="961">
        <v>1</v>
      </c>
      <c r="R24" s="963">
        <f ca="1">结果表!G20</f>
        <v>22192</v>
      </c>
      <c r="S24" s="961">
        <f t="shared" ref="S24:S54" ca="1" si="11">ROUND(R24*B24/10000,0)</f>
        <v>401269</v>
      </c>
      <c r="T24" s="1972"/>
      <c r="U24" s="1972"/>
      <c r="V24" s="1972"/>
      <c r="W24" s="1972"/>
      <c r="X24" s="1972"/>
      <c r="Y24" s="1972"/>
      <c r="Z24" s="1972"/>
      <c r="AA24" s="1972"/>
      <c r="AB24" s="1972"/>
      <c r="AC24" s="1972"/>
      <c r="AD24" s="1972"/>
      <c r="AE24" s="1972"/>
      <c r="AF24" s="1972"/>
      <c r="AG24" s="1972"/>
      <c r="AH24" s="1972"/>
      <c r="AI24" s="1972"/>
    </row>
    <row r="25" spans="1:45">
      <c r="A25" s="964"/>
      <c r="B25" s="137">
        <f>31031+11537+962+100+700</f>
        <v>44330</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22192</v>
      </c>
      <c r="S25" s="799">
        <f t="shared" ca="1" si="11"/>
        <v>98377</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disablePrompts="1"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4" zoomScale="80" zoomScaleNormal="95" zoomScaleSheetLayoutView="80" workbookViewId="0">
      <selection activeCell="C40" sqref="C4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304469</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16839</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109447</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7297</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415" t="s">
        <v>522</v>
      </c>
      <c r="D6" s="3416"/>
      <c r="E6" s="3415" t="s">
        <v>523</v>
      </c>
      <c r="F6" s="3416"/>
      <c r="G6" s="3415" t="s">
        <v>524</v>
      </c>
      <c r="H6" s="3416"/>
      <c r="I6" s="3415" t="s">
        <v>525</v>
      </c>
      <c r="J6" s="3416"/>
      <c r="K6" s="514" t="s">
        <v>526</v>
      </c>
      <c r="L6" s="2132"/>
      <c r="M6" s="2131"/>
      <c r="N6" s="2131"/>
      <c r="O6" s="2133"/>
      <c r="P6" s="3417" t="s">
        <v>527</v>
      </c>
      <c r="Q6" s="3418"/>
      <c r="R6" s="3423" t="s">
        <v>523</v>
      </c>
      <c r="S6" s="3424"/>
      <c r="T6" s="3423" t="s">
        <v>524</v>
      </c>
      <c r="U6" s="3424"/>
      <c r="V6" s="3410" t="s">
        <v>525</v>
      </c>
      <c r="W6" s="3410"/>
      <c r="X6" s="1566"/>
      <c r="Y6" s="3423" t="s">
        <v>527</v>
      </c>
      <c r="Z6" s="3424"/>
      <c r="AA6" s="3412" t="s">
        <v>523</v>
      </c>
      <c r="AB6" s="3413" t="s">
        <v>524</v>
      </c>
      <c r="AC6" s="3412" t="s">
        <v>525</v>
      </c>
    </row>
    <row r="7" spans="1:30" ht="20.25">
      <c r="A7" s="515"/>
      <c r="B7" s="516"/>
      <c r="C7" s="3431" t="s">
        <v>2932</v>
      </c>
      <c r="D7" s="3432"/>
      <c r="E7" s="3431" t="str">
        <f>土地案例!A2</f>
        <v>龙华区福城街道</v>
      </c>
      <c r="F7" s="3432"/>
      <c r="G7" s="3431" t="str">
        <f>土地案例!A4</f>
        <v>龙岗区平湖街道</v>
      </c>
      <c r="H7" s="3432"/>
      <c r="I7" s="3431" t="str">
        <f>土地案例!A5</f>
        <v>龙华民治街道</v>
      </c>
      <c r="J7" s="3432"/>
      <c r="K7" s="514"/>
      <c r="L7" s="2132"/>
      <c r="M7" s="2131"/>
      <c r="N7" s="2131"/>
      <c r="O7" s="2133"/>
      <c r="P7" s="3419"/>
      <c r="Q7" s="3420"/>
      <c r="R7" s="3425"/>
      <c r="S7" s="3426"/>
      <c r="T7" s="3425"/>
      <c r="U7" s="3426"/>
      <c r="V7" s="3410"/>
      <c r="W7" s="3410"/>
      <c r="X7" s="1566"/>
      <c r="Y7" s="3425"/>
      <c r="Z7" s="3426"/>
      <c r="AA7" s="3413"/>
      <c r="AB7" s="3413"/>
      <c r="AC7" s="3413"/>
    </row>
    <row r="8" spans="1:30" ht="21" thickBot="1">
      <c r="A8" s="515"/>
      <c r="B8" s="516"/>
      <c r="C8" s="3433" t="s">
        <v>2936</v>
      </c>
      <c r="D8" s="3434"/>
      <c r="E8" s="3433" t="s">
        <v>2936</v>
      </c>
      <c r="F8" s="3434"/>
      <c r="G8" s="3429" t="s">
        <v>2936</v>
      </c>
      <c r="H8" s="3430"/>
      <c r="I8" s="3429" t="s">
        <v>2936</v>
      </c>
      <c r="J8" s="3430"/>
      <c r="K8" s="514" t="s">
        <v>528</v>
      </c>
      <c r="L8" s="2132"/>
      <c r="M8" s="2131"/>
      <c r="N8" s="2131"/>
      <c r="O8" s="2133"/>
      <c r="P8" s="3421"/>
      <c r="Q8" s="3422"/>
      <c r="R8" s="3425"/>
      <c r="S8" s="3426"/>
      <c r="T8" s="3427"/>
      <c r="U8" s="3428"/>
      <c r="V8" s="3410"/>
      <c r="W8" s="3410"/>
      <c r="X8" s="1566"/>
      <c r="Y8" s="3427"/>
      <c r="Z8" s="3428"/>
      <c r="AA8" s="3414"/>
      <c r="AB8" s="3414"/>
      <c r="AC8" s="3414"/>
    </row>
    <row r="9" spans="1:30" s="1219" customFormat="1" ht="21" thickBot="1">
      <c r="A9" s="2890"/>
      <c r="B9" s="2897" t="s">
        <v>529</v>
      </c>
      <c r="C9" s="2889">
        <f>'数据-取费表'!B2</f>
        <v>43489</v>
      </c>
      <c r="D9" s="520">
        <v>100</v>
      </c>
      <c r="E9" s="521" t="str">
        <f>土地案例!O2</f>
        <v>2018-09-26</v>
      </c>
      <c r="F9" s="522">
        <f>SUMIF(72:72,YEAR(E9)&amp;"-"&amp;INT((MONTH(E9)+2)/3),73:73)</f>
        <v>98</v>
      </c>
      <c r="G9" s="523" t="str">
        <f>土地案例!O4</f>
        <v>2018-02-01</v>
      </c>
      <c r="H9" s="520">
        <f>SUMIF(72:72,YEAR(G9)&amp;"-"&amp;INT((MONTH(G9)+2)/3),73:73)</f>
        <v>96</v>
      </c>
      <c r="I9" s="523" t="str">
        <f>土地案例!O5</f>
        <v>2017-11-10</v>
      </c>
      <c r="J9" s="520">
        <f>SUMIF(72:72,YEAR(I9)&amp;"-"&amp;INT((MONTH(I9)+2)/3),73:73)</f>
        <v>95</v>
      </c>
      <c r="K9" s="524"/>
      <c r="L9" s="2134"/>
      <c r="M9" s="2131"/>
      <c r="N9" s="2131"/>
      <c r="O9" s="2135"/>
      <c r="P9" s="3440" t="s">
        <v>530</v>
      </c>
      <c r="Q9" s="3442"/>
      <c r="R9" s="1567" t="s">
        <v>8</v>
      </c>
      <c r="S9" s="1568">
        <f t="shared" ref="S9:S17" si="0">F9</f>
        <v>98</v>
      </c>
      <c r="T9" s="1567" t="s">
        <v>8</v>
      </c>
      <c r="U9" s="1568">
        <f t="shared" ref="U9:U17" si="1">H9</f>
        <v>96</v>
      </c>
      <c r="V9" s="1567" t="s">
        <v>8</v>
      </c>
      <c r="W9" s="1568">
        <f t="shared" ref="W9:W17" si="2">J9</f>
        <v>95</v>
      </c>
      <c r="X9" s="1569"/>
      <c r="Y9" s="3440" t="s">
        <v>530</v>
      </c>
      <c r="Z9" s="3441"/>
      <c r="AA9" s="1570">
        <f>D9/F9</f>
        <v>1.0204081632653061</v>
      </c>
      <c r="AB9" s="1570">
        <f>D9/H9</f>
        <v>1.0416666666666667</v>
      </c>
      <c r="AC9" s="1570">
        <f>D9/J9</f>
        <v>1.0526315789473684</v>
      </c>
    </row>
    <row r="10" spans="1:30" s="1219"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40" t="s">
        <v>533</v>
      </c>
      <c r="Q10" s="3441"/>
      <c r="R10" s="1567" t="s">
        <v>8</v>
      </c>
      <c r="S10" s="1568">
        <f t="shared" si="0"/>
        <v>100</v>
      </c>
      <c r="T10" s="1567" t="s">
        <v>8</v>
      </c>
      <c r="U10" s="1568">
        <f t="shared" si="1"/>
        <v>100</v>
      </c>
      <c r="V10" s="1567" t="s">
        <v>8</v>
      </c>
      <c r="W10" s="1568">
        <f t="shared" si="2"/>
        <v>100</v>
      </c>
      <c r="X10" s="1569"/>
      <c r="Y10" s="3440" t="s">
        <v>533</v>
      </c>
      <c r="Z10" s="3441"/>
      <c r="AA10" s="1570">
        <f t="shared" ref="AA10:AA47" si="3">D10/F10</f>
        <v>1</v>
      </c>
      <c r="AB10" s="1570">
        <f t="shared" ref="AB10:AB47" si="4">D10/H10</f>
        <v>1</v>
      </c>
      <c r="AC10" s="1570">
        <f t="shared" ref="AC10:AC47" si="5">D10/J10</f>
        <v>1</v>
      </c>
    </row>
    <row r="11" spans="1:30" s="1219" customFormat="1" ht="20.25">
      <c r="A11" s="2892"/>
      <c r="B11" s="2899" t="s">
        <v>2757</v>
      </c>
      <c r="C11" s="2886" t="s">
        <v>3069</v>
      </c>
      <c r="D11" s="254">
        <v>100</v>
      </c>
      <c r="E11" s="2886" t="s">
        <v>3069</v>
      </c>
      <c r="F11" s="254">
        <f>SUMIF(77:77,E11,78:78)-SUMIF(77:77,C11,78:78)+100</f>
        <v>100</v>
      </c>
      <c r="G11" s="2886" t="s">
        <v>3069</v>
      </c>
      <c r="H11" s="254">
        <f>SUMIF(77:77,G11,78:78)-SUMIF(77:77,C11,78:78)+100</f>
        <v>100</v>
      </c>
      <c r="I11" s="2886" t="s">
        <v>3069</v>
      </c>
      <c r="J11" s="254">
        <f>SUMIF(77:77,I11,78:78)-SUMIF(77:77,C11,78:78)+100</f>
        <v>100</v>
      </c>
      <c r="K11" s="524"/>
      <c r="L11" s="2134"/>
      <c r="M11" s="2131"/>
      <c r="N11" s="2131"/>
      <c r="O11" s="2136"/>
      <c r="P11" s="3409" t="s">
        <v>535</v>
      </c>
      <c r="Q11" s="1150" t="str">
        <f t="shared" ref="Q11:Q17" si="6">B11</f>
        <v>用途</v>
      </c>
      <c r="R11" s="1567" t="s">
        <v>8</v>
      </c>
      <c r="S11" s="1568">
        <f t="shared" si="0"/>
        <v>100</v>
      </c>
      <c r="T11" s="1567" t="s">
        <v>8</v>
      </c>
      <c r="U11" s="1568">
        <f t="shared" si="1"/>
        <v>100</v>
      </c>
      <c r="V11" s="1567" t="s">
        <v>8</v>
      </c>
      <c r="W11" s="1568">
        <f t="shared" si="2"/>
        <v>100</v>
      </c>
      <c r="X11" s="1569"/>
      <c r="Y11" s="3349" t="s">
        <v>536</v>
      </c>
      <c r="Z11" s="1149" t="str">
        <f t="shared" ref="Z11:Z17" si="7">Q11</f>
        <v>用途</v>
      </c>
      <c r="AA11" s="1570">
        <f t="shared" si="3"/>
        <v>1</v>
      </c>
      <c r="AB11" s="1570">
        <f t="shared" si="4"/>
        <v>1</v>
      </c>
      <c r="AC11" s="1570">
        <f t="shared" si="5"/>
        <v>1</v>
      </c>
    </row>
    <row r="12" spans="1:30" s="1337" customFormat="1" ht="27">
      <c r="A12" s="2893"/>
      <c r="B12" s="2898" t="s">
        <v>2758</v>
      </c>
      <c r="C12" s="909"/>
      <c r="D12" s="255">
        <v>100</v>
      </c>
      <c r="E12" s="529"/>
      <c r="F12" s="255">
        <f>ROUND(100/'数据-取费表'!G16,0)</f>
        <v>100</v>
      </c>
      <c r="G12" s="530"/>
      <c r="H12" s="255">
        <f>ROUND(100/'数据-取费表'!G16,0)</f>
        <v>100</v>
      </c>
      <c r="I12" s="530"/>
      <c r="J12" s="255">
        <f>ROUND(100/'数据-取费表'!G16,0)</f>
        <v>100</v>
      </c>
      <c r="K12" s="531"/>
      <c r="L12" s="2137"/>
      <c r="M12" s="2131"/>
      <c r="N12" s="2131"/>
      <c r="O12" s="2138"/>
      <c r="P12" s="3409"/>
      <c r="Q12" s="1150" t="str">
        <f t="shared" si="6"/>
        <v>土地使用年限（年）</v>
      </c>
      <c r="R12" s="1567" t="s">
        <v>8</v>
      </c>
      <c r="S12" s="1568">
        <f t="shared" si="0"/>
        <v>100</v>
      </c>
      <c r="T12" s="1567" t="s">
        <v>8</v>
      </c>
      <c r="U12" s="1568">
        <f t="shared" si="1"/>
        <v>100</v>
      </c>
      <c r="V12" s="1567" t="s">
        <v>8</v>
      </c>
      <c r="W12" s="1568">
        <f t="shared" si="2"/>
        <v>100</v>
      </c>
      <c r="X12" s="1569"/>
      <c r="Y12" s="3349"/>
      <c r="Z12" s="1149" t="str">
        <f t="shared" si="7"/>
        <v>土地使用年限（年）</v>
      </c>
      <c r="AA12" s="1570">
        <f t="shared" si="3"/>
        <v>1</v>
      </c>
      <c r="AB12" s="1570">
        <f t="shared" si="4"/>
        <v>1</v>
      </c>
      <c r="AC12" s="1570">
        <f t="shared" si="5"/>
        <v>1</v>
      </c>
    </row>
    <row r="13" spans="1:30" ht="20.25">
      <c r="A13" s="2894"/>
      <c r="B13" s="2898" t="s">
        <v>2759</v>
      </c>
      <c r="C13" s="534">
        <f>'数据-汇总表'!I5</f>
        <v>6.5</v>
      </c>
      <c r="D13" s="255">
        <v>100</v>
      </c>
      <c r="E13" s="533">
        <v>3.98</v>
      </c>
      <c r="F13" s="255">
        <f>LOOKUP(E13,82:82,83:83)-LOOKUP(C13,82:82,83:83)+100</f>
        <v>106</v>
      </c>
      <c r="G13" s="534">
        <v>4.5</v>
      </c>
      <c r="H13" s="255">
        <f>LOOKUP(G13,82:82,83:83)-LOOKUP(C13,82:82,83:83)+100</f>
        <v>103</v>
      </c>
      <c r="I13" s="533">
        <v>4.5</v>
      </c>
      <c r="J13" s="255">
        <f>LOOKUP(I13,82:82,83:83)-LOOKUP(C13,82:82,83:83)+100</f>
        <v>103</v>
      </c>
      <c r="K13" s="535">
        <v>3</v>
      </c>
      <c r="L13" s="2139"/>
      <c r="M13" s="2131"/>
      <c r="N13" s="2131"/>
      <c r="O13" s="2140"/>
      <c r="P13" s="3409"/>
      <c r="Q13" s="1150" t="str">
        <f t="shared" si="6"/>
        <v>容积率</v>
      </c>
      <c r="R13" s="1567" t="s">
        <v>8</v>
      </c>
      <c r="S13" s="1568">
        <f t="shared" si="0"/>
        <v>106</v>
      </c>
      <c r="T13" s="1567" t="s">
        <v>8</v>
      </c>
      <c r="U13" s="1568">
        <f t="shared" si="1"/>
        <v>103</v>
      </c>
      <c r="V13" s="1567" t="s">
        <v>8</v>
      </c>
      <c r="W13" s="1568">
        <f t="shared" si="2"/>
        <v>103</v>
      </c>
      <c r="X13" s="1569"/>
      <c r="Y13" s="3349"/>
      <c r="Z13" s="1149" t="str">
        <f t="shared" si="7"/>
        <v>容积率</v>
      </c>
      <c r="AA13" s="1570">
        <f t="shared" si="3"/>
        <v>0.94339622641509435</v>
      </c>
      <c r="AB13" s="1570">
        <f t="shared" si="4"/>
        <v>0.970873786407767</v>
      </c>
      <c r="AC13" s="1570">
        <f t="shared" si="5"/>
        <v>0.970873786407767</v>
      </c>
    </row>
    <row r="14" spans="1:30" s="1219" customFormat="1" ht="27">
      <c r="A14" s="2891"/>
      <c r="B14" s="2900" t="s">
        <v>2760</v>
      </c>
      <c r="C14" s="2887" t="s">
        <v>3114</v>
      </c>
      <c r="D14" s="538">
        <v>100</v>
      </c>
      <c r="E14" s="1374" t="s">
        <v>3116</v>
      </c>
      <c r="F14" s="255">
        <f>SUMIF(84:84,E14,85:85)-SUMIF(84:84,C14,85:85)+100</f>
        <v>120</v>
      </c>
      <c r="G14" s="3182" t="s">
        <v>3113</v>
      </c>
      <c r="H14" s="3227">
        <f>SUMIF(84:84,G14,85:85)-SUMIF(84:84,C14,85:85)+100</f>
        <v>60</v>
      </c>
      <c r="I14" s="3183" t="s">
        <v>3113</v>
      </c>
      <c r="J14" s="3227">
        <f>SUMIF(84:84,I14,85:85)-SUMIF(84:84,C14,85:85)+100</f>
        <v>60</v>
      </c>
      <c r="K14" s="531"/>
      <c r="L14" s="2134"/>
      <c r="M14" s="2131"/>
      <c r="N14" s="2131"/>
      <c r="O14" s="2136"/>
      <c r="P14" s="3409"/>
      <c r="Q14" s="1150" t="str">
        <f t="shared" si="6"/>
        <v>配建</v>
      </c>
      <c r="R14" s="1567" t="s">
        <v>8</v>
      </c>
      <c r="S14" s="1568">
        <f t="shared" si="0"/>
        <v>120</v>
      </c>
      <c r="T14" s="1567" t="s">
        <v>8</v>
      </c>
      <c r="U14" s="1568">
        <f t="shared" si="1"/>
        <v>60</v>
      </c>
      <c r="V14" s="1567" t="s">
        <v>8</v>
      </c>
      <c r="W14" s="1568">
        <f t="shared" si="2"/>
        <v>60</v>
      </c>
      <c r="X14" s="1569"/>
      <c r="Y14" s="3349"/>
      <c r="Z14" s="1149" t="str">
        <f t="shared" si="7"/>
        <v>配建</v>
      </c>
      <c r="AA14" s="1570">
        <f>D14/F14</f>
        <v>0.83333333333333337</v>
      </c>
      <c r="AB14" s="1570">
        <f>D14/H14</f>
        <v>1.6666666666666667</v>
      </c>
      <c r="AC14" s="1570">
        <f>D14/J14</f>
        <v>1.6666666666666667</v>
      </c>
    </row>
    <row r="15" spans="1:30" ht="42" thickBot="1">
      <c r="A15" s="2895"/>
      <c r="B15" s="2901">
        <v>111</v>
      </c>
      <c r="C15" s="911" t="s">
        <v>3111</v>
      </c>
      <c r="D15" s="540">
        <v>100</v>
      </c>
      <c r="E15" s="3181" t="s">
        <v>3117</v>
      </c>
      <c r="F15" s="255">
        <f>SUMIF(86:86,E15,87:87)-SUMIF(86:86,C15,87:87)+100</f>
        <v>100</v>
      </c>
      <c r="G15" s="3179" t="s">
        <v>3112</v>
      </c>
      <c r="H15" s="540">
        <f>SUMIF(86:86,G15,87:87)-SUMIF(86:86,C15,87:87)+100</f>
        <v>100</v>
      </c>
      <c r="I15" s="3179" t="s">
        <v>3113</v>
      </c>
      <c r="J15" s="540">
        <f>SUMIF(86:86,I15,87:87)-SUMIF(86:86,C15,87:87)+100</f>
        <v>100</v>
      </c>
      <c r="K15" s="531"/>
      <c r="L15" s="2141"/>
      <c r="M15" s="2131"/>
      <c r="N15" s="2131"/>
      <c r="O15" s="2140"/>
      <c r="P15" s="3409"/>
      <c r="Q15" s="1150">
        <f t="shared" si="6"/>
        <v>111</v>
      </c>
      <c r="R15" s="1567" t="s">
        <v>8</v>
      </c>
      <c r="S15" s="1568">
        <f t="shared" si="0"/>
        <v>100</v>
      </c>
      <c r="T15" s="1567" t="s">
        <v>8</v>
      </c>
      <c r="U15" s="1568">
        <f t="shared" si="1"/>
        <v>100</v>
      </c>
      <c r="V15" s="1567" t="s">
        <v>8</v>
      </c>
      <c r="W15" s="1568">
        <f t="shared" si="2"/>
        <v>100</v>
      </c>
      <c r="X15" s="1569"/>
      <c r="Y15" s="3349"/>
      <c r="Z15" s="1149">
        <f t="shared" si="7"/>
        <v>111</v>
      </c>
      <c r="AA15" s="1570">
        <f>D15/F15</f>
        <v>1</v>
      </c>
      <c r="AB15" s="1570">
        <f>D15/H15</f>
        <v>1</v>
      </c>
      <c r="AC15" s="1570">
        <f>D15/J15</f>
        <v>1</v>
      </c>
    </row>
    <row r="16" spans="1:30" ht="21" hidden="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09"/>
      <c r="Q16" s="1150">
        <f t="shared" si="6"/>
        <v>111</v>
      </c>
      <c r="R16" s="1567" t="s">
        <v>8</v>
      </c>
      <c r="S16" s="1568">
        <f t="shared" si="0"/>
        <v>100</v>
      </c>
      <c r="T16" s="1567" t="s">
        <v>8</v>
      </c>
      <c r="U16" s="1568">
        <f t="shared" si="1"/>
        <v>100</v>
      </c>
      <c r="V16" s="1567" t="s">
        <v>8</v>
      </c>
      <c r="W16" s="1568">
        <f t="shared" si="2"/>
        <v>100</v>
      </c>
      <c r="X16" s="1569"/>
      <c r="Y16" s="3349"/>
      <c r="Z16" s="1149">
        <f t="shared" si="7"/>
        <v>111</v>
      </c>
      <c r="AA16" s="1570">
        <f>D16/F16</f>
        <v>1</v>
      </c>
      <c r="AB16" s="1570">
        <f>D16/H16</f>
        <v>1</v>
      </c>
      <c r="AC16" s="1570">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1"/>
      <c r="M17" s="2131"/>
      <c r="N17" s="2131"/>
      <c r="O17" s="2140"/>
      <c r="P17" s="3443" t="s">
        <v>540</v>
      </c>
      <c r="Q17" s="1571" t="str">
        <f t="shared" si="6"/>
        <v>居住社区成熟度</v>
      </c>
      <c r="R17" s="1572" t="s">
        <v>8</v>
      </c>
      <c r="S17" s="1573">
        <f t="shared" si="0"/>
        <v>100</v>
      </c>
      <c r="T17" s="1572" t="s">
        <v>8</v>
      </c>
      <c r="U17" s="1573">
        <f t="shared" si="1"/>
        <v>100</v>
      </c>
      <c r="V17" s="1572" t="s">
        <v>8</v>
      </c>
      <c r="W17" s="1573">
        <f t="shared" si="2"/>
        <v>100</v>
      </c>
      <c r="X17" s="1566"/>
      <c r="Y17" s="3443" t="s">
        <v>540</v>
      </c>
      <c r="Z17" s="1574" t="str">
        <f t="shared" si="7"/>
        <v>居住社区成熟度</v>
      </c>
      <c r="AA17" s="1575">
        <f t="shared" si="3"/>
        <v>1</v>
      </c>
      <c r="AB17" s="1575">
        <f t="shared" si="4"/>
        <v>1</v>
      </c>
      <c r="AC17" s="1575">
        <f t="shared" si="5"/>
        <v>1</v>
      </c>
    </row>
    <row r="18" spans="1:29" ht="20.25">
      <c r="A18" s="532"/>
      <c r="B18" s="553"/>
      <c r="C18" s="554" t="s">
        <v>3108</v>
      </c>
      <c r="D18" s="557"/>
      <c r="E18" s="558" t="s">
        <v>3108</v>
      </c>
      <c r="F18" s="555"/>
      <c r="G18" s="558" t="s">
        <v>3108</v>
      </c>
      <c r="H18" s="559"/>
      <c r="I18" s="556" t="s">
        <v>3108</v>
      </c>
      <c r="J18" s="555"/>
      <c r="K18" s="531"/>
      <c r="L18" s="2141"/>
      <c r="M18" s="2131"/>
      <c r="N18" s="2131"/>
      <c r="O18" s="2140"/>
      <c r="P18" s="3444"/>
      <c r="Q18" s="1571"/>
      <c r="R18" s="1572"/>
      <c r="S18" s="1573"/>
      <c r="T18" s="1572"/>
      <c r="U18" s="1573"/>
      <c r="V18" s="1572"/>
      <c r="W18" s="1573"/>
      <c r="X18" s="1566"/>
      <c r="Y18" s="3444"/>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103</v>
      </c>
      <c r="K19" s="535">
        <v>3</v>
      </c>
      <c r="L19" s="2141"/>
      <c r="M19" s="2131"/>
      <c r="N19" s="2131"/>
      <c r="O19" s="2140"/>
      <c r="P19" s="3444"/>
      <c r="Q19" s="1571" t="str">
        <f>B19</f>
        <v>商业繁华度</v>
      </c>
      <c r="R19" s="1572" t="s">
        <v>8</v>
      </c>
      <c r="S19" s="1573">
        <f>F19</f>
        <v>100</v>
      </c>
      <c r="T19" s="1572" t="s">
        <v>8</v>
      </c>
      <c r="U19" s="1573">
        <f>H19</f>
        <v>100</v>
      </c>
      <c r="V19" s="1572" t="s">
        <v>8</v>
      </c>
      <c r="W19" s="1573">
        <f>J19</f>
        <v>103</v>
      </c>
      <c r="X19" s="1566"/>
      <c r="Y19" s="3444"/>
      <c r="Z19" s="1574" t="str">
        <f>Q19</f>
        <v>商业繁华度</v>
      </c>
      <c r="AA19" s="1575">
        <f t="shared" si="3"/>
        <v>1</v>
      </c>
      <c r="AB19" s="1575">
        <f t="shared" si="4"/>
        <v>1</v>
      </c>
      <c r="AC19" s="1575">
        <f t="shared" si="5"/>
        <v>0.970873786407767</v>
      </c>
    </row>
    <row r="20" spans="1:29" ht="20.25">
      <c r="A20" s="532"/>
      <c r="B20" s="566"/>
      <c r="C20" s="567" t="s">
        <v>3108</v>
      </c>
      <c r="D20" s="563"/>
      <c r="E20" s="569" t="s">
        <v>3108</v>
      </c>
      <c r="F20" s="559"/>
      <c r="G20" s="569" t="s">
        <v>3108</v>
      </c>
      <c r="H20" s="555"/>
      <c r="I20" s="569" t="s">
        <v>3125</v>
      </c>
      <c r="J20" s="555"/>
      <c r="K20" s="531"/>
      <c r="L20" s="2141"/>
      <c r="M20" s="2131"/>
      <c r="N20" s="2131"/>
      <c r="O20" s="2140"/>
      <c r="P20" s="3444"/>
      <c r="Q20" s="1571"/>
      <c r="R20" s="1572"/>
      <c r="S20" s="1573"/>
      <c r="T20" s="1572"/>
      <c r="U20" s="1573"/>
      <c r="V20" s="1572"/>
      <c r="W20" s="1573"/>
      <c r="X20" s="1566"/>
      <c r="Y20" s="3444"/>
      <c r="Z20" s="1574"/>
      <c r="AA20" s="1575">
        <v>1</v>
      </c>
      <c r="AB20" s="1575">
        <v>1</v>
      </c>
      <c r="AC20" s="1575">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0"/>
      <c r="H21" s="559">
        <f>SUMIF(94:94,G22,95:95)-SUMIF(94:94,C22,95:95)+100</f>
        <v>100</v>
      </c>
      <c r="I21" s="572"/>
      <c r="J21" s="559">
        <f>SUMIF(94:94,I22,95:95)-SUMIF(94:94,C22,95:95)+100</f>
        <v>103</v>
      </c>
      <c r="K21" s="535">
        <v>3</v>
      </c>
      <c r="L21" s="2141"/>
      <c r="M21" s="2131"/>
      <c r="N21" s="2131"/>
      <c r="O21" s="2140"/>
      <c r="P21" s="3444"/>
      <c r="Q21" s="1571" t="str">
        <f>B21</f>
        <v>办公集聚程度</v>
      </c>
      <c r="R21" s="1572" t="s">
        <v>8</v>
      </c>
      <c r="S21" s="1573">
        <f>F21</f>
        <v>103</v>
      </c>
      <c r="T21" s="1572" t="s">
        <v>8</v>
      </c>
      <c r="U21" s="1573">
        <f>H21</f>
        <v>100</v>
      </c>
      <c r="V21" s="1572" t="s">
        <v>8</v>
      </c>
      <c r="W21" s="1573">
        <f>J21</f>
        <v>103</v>
      </c>
      <c r="X21" s="1566"/>
      <c r="Y21" s="3444"/>
      <c r="Z21" s="1574" t="str">
        <f>Q21</f>
        <v>办公集聚程度</v>
      </c>
      <c r="AA21" s="1575">
        <f t="shared" si="3"/>
        <v>0.970873786407767</v>
      </c>
      <c r="AB21" s="1575">
        <f t="shared" si="4"/>
        <v>1</v>
      </c>
      <c r="AC21" s="1575">
        <f t="shared" si="5"/>
        <v>0.970873786407767</v>
      </c>
    </row>
    <row r="22" spans="1:29" ht="20.25">
      <c r="A22" s="532"/>
      <c r="B22" s="566"/>
      <c r="C22" s="554" t="s">
        <v>3109</v>
      </c>
      <c r="D22" s="557"/>
      <c r="E22" s="558" t="s">
        <v>3108</v>
      </c>
      <c r="F22" s="555"/>
      <c r="G22" s="569" t="s">
        <v>3109</v>
      </c>
      <c r="H22" s="555"/>
      <c r="I22" s="558" t="s">
        <v>3108</v>
      </c>
      <c r="J22" s="555"/>
      <c r="K22" s="531"/>
      <c r="L22" s="2141"/>
      <c r="M22" s="2131"/>
      <c r="N22" s="2131"/>
      <c r="O22" s="2140"/>
      <c r="P22" s="3444"/>
      <c r="Q22" s="1571"/>
      <c r="R22" s="1572"/>
      <c r="S22" s="1573"/>
      <c r="T22" s="1572"/>
      <c r="U22" s="1573"/>
      <c r="V22" s="1572"/>
      <c r="W22" s="1573"/>
      <c r="X22" s="1566"/>
      <c r="Y22" s="3444"/>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98</v>
      </c>
      <c r="G23" s="562"/>
      <c r="H23" s="559">
        <f>SUMIF(96:96,G24,97:97)-SUMIF(96:96,C24,97:97)+100</f>
        <v>98</v>
      </c>
      <c r="I23" s="564"/>
      <c r="J23" s="559">
        <f>SUMIF(96:96,I24,97:97)-SUMIF(96:96,C24,97:97)+100</f>
        <v>102</v>
      </c>
      <c r="K23" s="535">
        <v>2</v>
      </c>
      <c r="L23" s="2141"/>
      <c r="M23" s="2131"/>
      <c r="N23" s="2131"/>
      <c r="O23" s="2140"/>
      <c r="P23" s="3444"/>
      <c r="Q23" s="1571" t="str">
        <f>B23</f>
        <v>交通便捷度</v>
      </c>
      <c r="R23" s="1572" t="s">
        <v>8</v>
      </c>
      <c r="S23" s="1573">
        <f>F23</f>
        <v>98</v>
      </c>
      <c r="T23" s="1572" t="s">
        <v>8</v>
      </c>
      <c r="U23" s="1573">
        <f>H23</f>
        <v>98</v>
      </c>
      <c r="V23" s="1572" t="s">
        <v>8</v>
      </c>
      <c r="W23" s="1573">
        <f>J23</f>
        <v>102</v>
      </c>
      <c r="X23" s="1566"/>
      <c r="Y23" s="3444"/>
      <c r="Z23" s="1574" t="str">
        <f>Q23</f>
        <v>交通便捷度</v>
      </c>
      <c r="AA23" s="1575">
        <f t="shared" si="3"/>
        <v>1.0204081632653061</v>
      </c>
      <c r="AB23" s="1575">
        <f t="shared" si="4"/>
        <v>1.0204081632653061</v>
      </c>
      <c r="AC23" s="1575">
        <f t="shared" si="5"/>
        <v>0.98039215686274506</v>
      </c>
    </row>
    <row r="24" spans="1:29" ht="20.25">
      <c r="A24" s="532"/>
      <c r="B24" s="578"/>
      <c r="C24" s="554" t="s">
        <v>3108</v>
      </c>
      <c r="D24" s="557"/>
      <c r="E24" s="569" t="s">
        <v>3109</v>
      </c>
      <c r="F24" s="555"/>
      <c r="G24" s="569" t="s">
        <v>3109</v>
      </c>
      <c r="H24" s="555"/>
      <c r="I24" s="558" t="s">
        <v>3125</v>
      </c>
      <c r="J24" s="555"/>
      <c r="K24" s="531"/>
      <c r="L24" s="2141"/>
      <c r="M24" s="2131"/>
      <c r="N24" s="2131"/>
      <c r="O24" s="2140"/>
      <c r="P24" s="3444"/>
      <c r="Q24" s="1571"/>
      <c r="R24" s="1572"/>
      <c r="S24" s="1573"/>
      <c r="T24" s="1572"/>
      <c r="U24" s="1573"/>
      <c r="V24" s="1572"/>
      <c r="W24" s="1573"/>
      <c r="X24" s="1566"/>
      <c r="Y24" s="3444"/>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3226">
        <v>5</v>
      </c>
      <c r="L25" s="2141"/>
      <c r="M25" s="2131"/>
      <c r="N25" s="2131"/>
      <c r="O25" s="2140"/>
      <c r="P25" s="3444"/>
      <c r="Q25" s="1571" t="str">
        <f t="shared" ref="Q25:Q39" si="8">B25</f>
        <v>区域土地利用方向</v>
      </c>
      <c r="R25" s="1572" t="s">
        <v>8</v>
      </c>
      <c r="S25" s="1573">
        <f>F25</f>
        <v>100</v>
      </c>
      <c r="T25" s="1572" t="s">
        <v>8</v>
      </c>
      <c r="U25" s="1573">
        <f>H25</f>
        <v>100</v>
      </c>
      <c r="V25" s="1572" t="s">
        <v>8</v>
      </c>
      <c r="W25" s="1573">
        <f>J25</f>
        <v>100</v>
      </c>
      <c r="X25" s="1566"/>
      <c r="Y25" s="3444"/>
      <c r="Z25" s="1574" t="str">
        <f>Q25</f>
        <v>区域土地利用方向</v>
      </c>
      <c r="AA25" s="1575">
        <f t="shared" si="3"/>
        <v>1</v>
      </c>
      <c r="AB25" s="1575">
        <f t="shared" si="4"/>
        <v>1</v>
      </c>
      <c r="AC25" s="1575">
        <f t="shared" si="5"/>
        <v>1</v>
      </c>
    </row>
    <row r="26" spans="1:29" ht="20.25">
      <c r="A26" s="515"/>
      <c r="B26" s="1006"/>
      <c r="C26" s="554" t="s">
        <v>3108</v>
      </c>
      <c r="D26" s="557"/>
      <c r="E26" s="554" t="s">
        <v>3108</v>
      </c>
      <c r="F26" s="555"/>
      <c r="G26" s="554" t="s">
        <v>3108</v>
      </c>
      <c r="H26" s="555"/>
      <c r="I26" s="554" t="s">
        <v>3108</v>
      </c>
      <c r="J26" s="555"/>
      <c r="K26" s="531"/>
      <c r="L26" s="2141"/>
      <c r="M26" s="2131"/>
      <c r="N26" s="2131"/>
      <c r="O26" s="2140"/>
      <c r="P26" s="3444"/>
      <c r="Q26" s="1571"/>
      <c r="R26" s="1572"/>
      <c r="S26" s="1573"/>
      <c r="T26" s="1572"/>
      <c r="U26" s="1573"/>
      <c r="V26" s="1572"/>
      <c r="W26" s="1573"/>
      <c r="X26" s="1566"/>
      <c r="Y26" s="3444"/>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1"/>
      <c r="M27" s="2131"/>
      <c r="N27" s="2131"/>
      <c r="O27" s="2140"/>
      <c r="P27" s="3444"/>
      <c r="Q27" s="1571" t="str">
        <f t="shared" si="8"/>
        <v>自然及人文环境状况</v>
      </c>
      <c r="R27" s="1572" t="s">
        <v>8</v>
      </c>
      <c r="S27" s="1573">
        <f>F27</f>
        <v>100</v>
      </c>
      <c r="T27" s="1572" t="s">
        <v>8</v>
      </c>
      <c r="U27" s="1573">
        <f>H27</f>
        <v>100</v>
      </c>
      <c r="V27" s="1572" t="s">
        <v>8</v>
      </c>
      <c r="W27" s="1573">
        <f>J27</f>
        <v>100</v>
      </c>
      <c r="X27" s="1566"/>
      <c r="Y27" s="3444"/>
      <c r="Z27" s="1574" t="str">
        <f>Q27</f>
        <v>自然及人文环境状况</v>
      </c>
      <c r="AA27" s="1575">
        <f t="shared" si="3"/>
        <v>1</v>
      </c>
      <c r="AB27" s="1575">
        <f t="shared" si="4"/>
        <v>1</v>
      </c>
      <c r="AC27" s="1575">
        <f t="shared" si="5"/>
        <v>1</v>
      </c>
    </row>
    <row r="28" spans="1:29" ht="20.25">
      <c r="A28" s="515"/>
      <c r="B28" s="566"/>
      <c r="C28" s="576" t="s">
        <v>3108</v>
      </c>
      <c r="D28" s="557"/>
      <c r="E28" s="576" t="s">
        <v>3108</v>
      </c>
      <c r="F28" s="555"/>
      <c r="G28" s="576" t="s">
        <v>3108</v>
      </c>
      <c r="H28" s="555"/>
      <c r="I28" s="576" t="s">
        <v>3108</v>
      </c>
      <c r="J28" s="555"/>
      <c r="K28" s="531"/>
      <c r="L28" s="2141"/>
      <c r="M28" s="2131"/>
      <c r="N28" s="2131"/>
      <c r="O28" s="2140"/>
      <c r="P28" s="3444"/>
      <c r="Q28" s="1571"/>
      <c r="R28" s="1572"/>
      <c r="S28" s="1573"/>
      <c r="T28" s="1572"/>
      <c r="U28" s="1573"/>
      <c r="V28" s="1572"/>
      <c r="W28" s="1573"/>
      <c r="X28" s="1566"/>
      <c r="Y28" s="3444"/>
      <c r="Z28" s="1574"/>
      <c r="AA28" s="1575">
        <v>1</v>
      </c>
      <c r="AB28" s="1575">
        <v>1</v>
      </c>
      <c r="AC28" s="1575">
        <v>1</v>
      </c>
    </row>
    <row r="29" spans="1:29" s="1219" customFormat="1" ht="42.75">
      <c r="A29" s="577"/>
      <c r="B29" s="2569" t="s">
        <v>2549</v>
      </c>
      <c r="C29" s="573" t="str">
        <f>估价对象房地状况!C21</f>
        <v>估价对象所在区域公共配套设施齐备情况</v>
      </c>
      <c r="D29" s="563">
        <v>100</v>
      </c>
      <c r="E29" s="564"/>
      <c r="F29" s="559">
        <f>SUMIF(102:102,E30,103:103)-SUMIF(102:102,C30,103:103)+100</f>
        <v>95</v>
      </c>
      <c r="G29" s="562"/>
      <c r="H29" s="559">
        <f>SUMIF(102:102,G30,103:103)-SUMIF(102:102,C30,103:103)+100</f>
        <v>100</v>
      </c>
      <c r="I29" s="564"/>
      <c r="J29" s="559">
        <f>SUMIF(102:102,I30,103:103)-SUMIF(102:102,C30,103:103)+100</f>
        <v>100</v>
      </c>
      <c r="K29" s="535">
        <v>5</v>
      </c>
      <c r="L29" s="2134"/>
      <c r="M29" s="2131"/>
      <c r="N29" s="2131"/>
      <c r="O29" s="2136"/>
      <c r="P29" s="3444"/>
      <c r="Q29" s="1150" t="str">
        <f t="shared" si="8"/>
        <v>公共配套设施</v>
      </c>
      <c r="R29" s="1567" t="s">
        <v>8</v>
      </c>
      <c r="S29" s="1568">
        <f>F29</f>
        <v>95</v>
      </c>
      <c r="T29" s="1567" t="s">
        <v>8</v>
      </c>
      <c r="U29" s="1568">
        <f>H29</f>
        <v>100</v>
      </c>
      <c r="V29" s="1567" t="s">
        <v>8</v>
      </c>
      <c r="W29" s="1568">
        <f>J29</f>
        <v>100</v>
      </c>
      <c r="X29" s="1569"/>
      <c r="Y29" s="3444"/>
      <c r="Z29" s="1149" t="str">
        <f>Q29</f>
        <v>公共配套设施</v>
      </c>
      <c r="AA29" s="1575">
        <f>D29/F29</f>
        <v>1.0526315789473684</v>
      </c>
      <c r="AB29" s="1575">
        <f>D29/H29</f>
        <v>1</v>
      </c>
      <c r="AC29" s="1575">
        <f>D29/J29</f>
        <v>1</v>
      </c>
    </row>
    <row r="30" spans="1:29" s="1219" customFormat="1" ht="20.25">
      <c r="A30" s="577"/>
      <c r="B30" s="566"/>
      <c r="C30" s="576" t="s">
        <v>3108</v>
      </c>
      <c r="D30" s="557"/>
      <c r="E30" s="576" t="s">
        <v>3109</v>
      </c>
      <c r="F30" s="555"/>
      <c r="G30" s="576" t="s">
        <v>3108</v>
      </c>
      <c r="H30" s="555"/>
      <c r="I30" s="576" t="s">
        <v>3108</v>
      </c>
      <c r="J30" s="555"/>
      <c r="K30" s="531"/>
      <c r="L30" s="2134"/>
      <c r="M30" s="2131"/>
      <c r="N30" s="2131"/>
      <c r="O30" s="2136"/>
      <c r="P30" s="3444"/>
      <c r="Q30" s="1150"/>
      <c r="R30" s="1567"/>
      <c r="S30" s="1568"/>
      <c r="T30" s="1567"/>
      <c r="U30" s="1568"/>
      <c r="V30" s="1567"/>
      <c r="W30" s="1568"/>
      <c r="X30" s="1569"/>
      <c r="Y30" s="3444"/>
      <c r="Z30" s="1149"/>
      <c r="AA30" s="1575">
        <v>1</v>
      </c>
      <c r="AB30" s="1575">
        <v>1</v>
      </c>
      <c r="AC30" s="1575">
        <v>1</v>
      </c>
    </row>
    <row r="31" spans="1:29" s="1219" customFormat="1" ht="28.5">
      <c r="A31" s="577"/>
      <c r="B31" s="2569"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4"/>
      <c r="M31" s="2131"/>
      <c r="N31" s="2131"/>
      <c r="O31" s="2136"/>
      <c r="P31" s="3444"/>
      <c r="Q31" s="2556" t="str">
        <f t="shared" ref="Q31" si="9">B31</f>
        <v>基础设施水平</v>
      </c>
      <c r="R31" s="1567" t="s">
        <v>8</v>
      </c>
      <c r="S31" s="1568">
        <f>F31</f>
        <v>100</v>
      </c>
      <c r="T31" s="1567" t="s">
        <v>8</v>
      </c>
      <c r="U31" s="1568">
        <f>H31</f>
        <v>100</v>
      </c>
      <c r="V31" s="1567" t="s">
        <v>8</v>
      </c>
      <c r="W31" s="1568">
        <f>J31</f>
        <v>100</v>
      </c>
      <c r="X31" s="1569"/>
      <c r="Y31" s="3444"/>
      <c r="Z31" s="2553" t="str">
        <f>Q31</f>
        <v>基础设施水平</v>
      </c>
      <c r="AA31" s="1575">
        <f>D31/F31</f>
        <v>1</v>
      </c>
      <c r="AB31" s="1575">
        <f>D31/H31</f>
        <v>1</v>
      </c>
      <c r="AC31" s="1575">
        <f>D31/J31</f>
        <v>1</v>
      </c>
    </row>
    <row r="32" spans="1:29" s="1219" customFormat="1" ht="20.25">
      <c r="A32" s="577"/>
      <c r="B32" s="566"/>
      <c r="C32" s="579" t="s">
        <v>3130</v>
      </c>
      <c r="D32" s="557"/>
      <c r="E32" s="579" t="s">
        <v>3130</v>
      </c>
      <c r="F32" s="555"/>
      <c r="G32" s="579" t="s">
        <v>3130</v>
      </c>
      <c r="H32" s="555"/>
      <c r="I32" s="579" t="s">
        <v>3130</v>
      </c>
      <c r="J32" s="555"/>
      <c r="K32" s="531"/>
      <c r="L32" s="2134"/>
      <c r="M32" s="2131"/>
      <c r="N32" s="2131"/>
      <c r="O32" s="2136"/>
      <c r="P32" s="3444"/>
      <c r="Q32" s="2556"/>
      <c r="R32" s="1567"/>
      <c r="S32" s="1568"/>
      <c r="T32" s="1567"/>
      <c r="U32" s="1568"/>
      <c r="V32" s="1567"/>
      <c r="W32" s="1568"/>
      <c r="X32" s="1569"/>
      <c r="Y32" s="3444"/>
      <c r="Z32" s="2553"/>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4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4"/>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1"/>
      <c r="M34" s="2131"/>
      <c r="N34" s="2131"/>
      <c r="O34" s="2140"/>
      <c r="P34" s="3444"/>
      <c r="Q34" s="1571" t="str">
        <f t="shared" si="8"/>
        <v>毗邻道路的类型与等级</v>
      </c>
      <c r="R34" s="1572" t="s">
        <v>8</v>
      </c>
      <c r="S34" s="1573">
        <f t="shared" si="10"/>
        <v>100</v>
      </c>
      <c r="T34" s="1572" t="s">
        <v>8</v>
      </c>
      <c r="U34" s="1573">
        <f t="shared" si="11"/>
        <v>100</v>
      </c>
      <c r="V34" s="1572" t="s">
        <v>8</v>
      </c>
      <c r="W34" s="1573">
        <f t="shared" si="12"/>
        <v>100</v>
      </c>
      <c r="X34" s="1566"/>
      <c r="Y34" s="3444"/>
      <c r="Z34" s="1574" t="str">
        <f t="shared" si="13"/>
        <v>毗邻道路的类型与等级</v>
      </c>
      <c r="AA34" s="1575">
        <f t="shared" si="3"/>
        <v>1</v>
      </c>
      <c r="AB34" s="1575">
        <f t="shared" si="4"/>
        <v>1</v>
      </c>
      <c r="AC34" s="1575">
        <f t="shared" si="5"/>
        <v>1</v>
      </c>
    </row>
    <row r="35" spans="1:29" ht="21" thickBot="1">
      <c r="A35" s="532"/>
      <c r="B35" s="566"/>
      <c r="C35" s="554" t="s">
        <v>3135</v>
      </c>
      <c r="D35" s="557"/>
      <c r="E35" s="554" t="s">
        <v>3135</v>
      </c>
      <c r="F35" s="555"/>
      <c r="G35" s="554" t="s">
        <v>3135</v>
      </c>
      <c r="H35" s="555"/>
      <c r="I35" s="554" t="s">
        <v>3135</v>
      </c>
      <c r="J35" s="555"/>
      <c r="K35" s="581"/>
      <c r="L35" s="2141"/>
      <c r="M35" s="2131"/>
      <c r="N35" s="2131"/>
      <c r="O35" s="2140"/>
      <c r="P35" s="3444"/>
      <c r="Q35" s="1571"/>
      <c r="R35" s="1572"/>
      <c r="S35" s="1573"/>
      <c r="T35" s="1572"/>
      <c r="U35" s="1573"/>
      <c r="V35" s="1572"/>
      <c r="W35" s="1573"/>
      <c r="X35" s="1566"/>
      <c r="Y35" s="3444"/>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44"/>
      <c r="Q36" s="1571" t="str">
        <f t="shared" si="8"/>
        <v>土地级别</v>
      </c>
      <c r="R36" s="1572" t="s">
        <v>8</v>
      </c>
      <c r="S36" s="1573">
        <f t="shared" si="10"/>
        <v>100</v>
      </c>
      <c r="T36" s="1572" t="s">
        <v>8</v>
      </c>
      <c r="U36" s="1573">
        <f t="shared" si="11"/>
        <v>100</v>
      </c>
      <c r="V36" s="1572" t="s">
        <v>8</v>
      </c>
      <c r="W36" s="1573">
        <f t="shared" si="12"/>
        <v>100</v>
      </c>
      <c r="X36" s="1566"/>
      <c r="Y36" s="3444"/>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44"/>
      <c r="Q37" s="1571">
        <f t="shared" si="8"/>
        <v>111</v>
      </c>
      <c r="R37" s="1572" t="s">
        <v>8</v>
      </c>
      <c r="S37" s="1573">
        <f t="shared" si="10"/>
        <v>100</v>
      </c>
      <c r="T37" s="1572" t="s">
        <v>8</v>
      </c>
      <c r="U37" s="1573">
        <f t="shared" si="11"/>
        <v>100</v>
      </c>
      <c r="V37" s="1572" t="s">
        <v>8</v>
      </c>
      <c r="W37" s="1573">
        <f t="shared" si="12"/>
        <v>100</v>
      </c>
      <c r="X37" s="1566"/>
      <c r="Y37" s="3444"/>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45" t="s">
        <v>550</v>
      </c>
      <c r="Q38" s="1571">
        <f t="shared" si="8"/>
        <v>111</v>
      </c>
      <c r="R38" s="1572" t="s">
        <v>8</v>
      </c>
      <c r="S38" s="1573">
        <f t="shared" si="10"/>
        <v>100</v>
      </c>
      <c r="T38" s="1572" t="s">
        <v>8</v>
      </c>
      <c r="U38" s="1573">
        <f t="shared" si="11"/>
        <v>100</v>
      </c>
      <c r="V38" s="1572" t="s">
        <v>8</v>
      </c>
      <c r="W38" s="1573">
        <f t="shared" si="12"/>
        <v>100</v>
      </c>
      <c r="X38" s="1566"/>
      <c r="Y38" s="3446"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46"/>
      <c r="Q39" s="1571">
        <f t="shared" si="8"/>
        <v>111</v>
      </c>
      <c r="R39" s="1576" t="s">
        <v>8</v>
      </c>
      <c r="S39" s="1577">
        <f t="shared" si="10"/>
        <v>100</v>
      </c>
      <c r="T39" s="1576" t="s">
        <v>8</v>
      </c>
      <c r="U39" s="1577">
        <f t="shared" si="11"/>
        <v>100</v>
      </c>
      <c r="V39" s="1576" t="s">
        <v>8</v>
      </c>
      <c r="W39" s="1577">
        <f t="shared" si="12"/>
        <v>100</v>
      </c>
      <c r="X39" s="1578"/>
      <c r="Y39" s="3446"/>
      <c r="Z39" s="1579">
        <f t="shared" si="13"/>
        <v>111</v>
      </c>
      <c r="AA39" s="1575">
        <f t="shared" si="3"/>
        <v>1</v>
      </c>
      <c r="AB39" s="1575">
        <f t="shared" si="4"/>
        <v>1</v>
      </c>
      <c r="AC39" s="1575">
        <f t="shared" si="5"/>
        <v>1</v>
      </c>
    </row>
    <row r="40" spans="1:29" ht="20.25">
      <c r="A40" s="2885" t="s">
        <v>2756</v>
      </c>
      <c r="B40" s="595" t="s">
        <v>552</v>
      </c>
      <c r="C40" s="596">
        <f>'数据-基础表'!A3</f>
        <v>27818.76</v>
      </c>
      <c r="D40" s="597">
        <v>100</v>
      </c>
      <c r="E40" s="596">
        <f>土地案例!J2</f>
        <v>15324.39</v>
      </c>
      <c r="F40" s="597">
        <f>LOOKUP(E40,119:119,120:120)-LOOKUP(C40,119:119,120:120)+100</f>
        <v>99</v>
      </c>
      <c r="G40" s="596">
        <f>土地案例!J4</f>
        <v>6895.47</v>
      </c>
      <c r="H40" s="597">
        <f>LOOKUP(G40,119:119,120:120)-LOOKUP(C40,119:119,120:120)+100</f>
        <v>99</v>
      </c>
      <c r="I40" s="598">
        <f>土地案例!J5</f>
        <v>20041.919999999998</v>
      </c>
      <c r="J40" s="597">
        <f>LOOKUP(I40,119:119,120:120)-LOOKUP(C40,119:119,120:120)+100</f>
        <v>100</v>
      </c>
      <c r="K40" s="581"/>
      <c r="L40" s="2141"/>
      <c r="M40" s="2131"/>
      <c r="N40" s="2131"/>
      <c r="O40" s="2140"/>
      <c r="P40" s="3446"/>
      <c r="Q40" s="1571" t="str">
        <f>B40</f>
        <v>宗地面积</v>
      </c>
      <c r="R40" s="1572" t="s">
        <v>8</v>
      </c>
      <c r="S40" s="1573">
        <f t="shared" si="10"/>
        <v>99</v>
      </c>
      <c r="T40" s="1572" t="s">
        <v>8</v>
      </c>
      <c r="U40" s="1573">
        <f t="shared" si="11"/>
        <v>99</v>
      </c>
      <c r="V40" s="1572" t="s">
        <v>8</v>
      </c>
      <c r="W40" s="1573">
        <f t="shared" si="12"/>
        <v>100</v>
      </c>
      <c r="X40" s="1566"/>
      <c r="Y40" s="3446"/>
      <c r="Z40" s="1574" t="str">
        <f t="shared" si="13"/>
        <v>宗地面积</v>
      </c>
      <c r="AA40" s="1575">
        <f t="shared" si="3"/>
        <v>1.0101010101010102</v>
      </c>
      <c r="AB40" s="1575">
        <f t="shared" si="4"/>
        <v>1.0101010101010102</v>
      </c>
      <c r="AC40" s="1575">
        <f t="shared" si="5"/>
        <v>1</v>
      </c>
    </row>
    <row r="41" spans="1:29" ht="20.25">
      <c r="A41" s="594"/>
      <c r="B41" s="527" t="s">
        <v>553</v>
      </c>
      <c r="C41" s="599" t="s">
        <v>3131</v>
      </c>
      <c r="D41" s="540">
        <v>100</v>
      </c>
      <c r="E41" s="599" t="s">
        <v>3131</v>
      </c>
      <c r="F41" s="540">
        <f>SUMIF(121:121,E41,122:122)-SUMIF(121:121,C41,122:122)+100</f>
        <v>100</v>
      </c>
      <c r="G41" s="599" t="s">
        <v>3131</v>
      </c>
      <c r="H41" s="540">
        <f>SUMIF(121:121,G41,122:122)-SUMIF(121:121,C41,122:122)+100</f>
        <v>100</v>
      </c>
      <c r="I41" s="599" t="s">
        <v>3131</v>
      </c>
      <c r="J41" s="540">
        <f>SUMIF(121:121,I41,122:122)-SUMIF(121:121,C41,122:122)+100</f>
        <v>100</v>
      </c>
      <c r="K41" s="584">
        <v>2</v>
      </c>
      <c r="L41" s="2141"/>
      <c r="M41" s="2131"/>
      <c r="N41" s="2131"/>
      <c r="O41" s="2140"/>
      <c r="P41" s="3446"/>
      <c r="Q41" s="1571" t="str">
        <f t="shared" ref="Q41:Q47" si="14">B41</f>
        <v>宗地形状</v>
      </c>
      <c r="R41" s="1572" t="s">
        <v>8</v>
      </c>
      <c r="S41" s="1573">
        <f t="shared" si="10"/>
        <v>100</v>
      </c>
      <c r="T41" s="1572" t="s">
        <v>8</v>
      </c>
      <c r="U41" s="1573">
        <f t="shared" si="11"/>
        <v>100</v>
      </c>
      <c r="V41" s="1572" t="s">
        <v>8</v>
      </c>
      <c r="W41" s="1573">
        <f t="shared" si="12"/>
        <v>100</v>
      </c>
      <c r="X41" s="1566"/>
      <c r="Y41" s="3446"/>
      <c r="Z41" s="1574" t="str">
        <f t="shared" si="13"/>
        <v>宗地形状</v>
      </c>
      <c r="AA41" s="1575">
        <f t="shared" si="3"/>
        <v>1</v>
      </c>
      <c r="AB41" s="1575">
        <f t="shared" si="4"/>
        <v>1</v>
      </c>
      <c r="AC41" s="1575">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46"/>
      <c r="Q42" s="1571" t="str">
        <f t="shared" si="14"/>
        <v>临街宽度及深度</v>
      </c>
      <c r="R42" s="1572" t="s">
        <v>8</v>
      </c>
      <c r="S42" s="1573">
        <f t="shared" si="10"/>
        <v>100</v>
      </c>
      <c r="T42" s="1572" t="s">
        <v>8</v>
      </c>
      <c r="U42" s="1573">
        <f t="shared" si="11"/>
        <v>100</v>
      </c>
      <c r="V42" s="1572" t="s">
        <v>8</v>
      </c>
      <c r="W42" s="1573">
        <f t="shared" si="12"/>
        <v>100</v>
      </c>
      <c r="X42" s="1566"/>
      <c r="Y42" s="3446"/>
      <c r="Z42" s="1574" t="str">
        <f t="shared" si="13"/>
        <v>临街宽度及深度</v>
      </c>
      <c r="AA42" s="1575">
        <f t="shared" si="3"/>
        <v>1</v>
      </c>
      <c r="AB42" s="1575">
        <f t="shared" si="4"/>
        <v>1</v>
      </c>
      <c r="AC42" s="1575">
        <f t="shared" si="5"/>
        <v>1</v>
      </c>
    </row>
    <row r="43" spans="1:29" s="1219" customFormat="1" ht="20.25">
      <c r="A43" s="600"/>
      <c r="B43" s="1894" t="s">
        <v>2425</v>
      </c>
      <c r="C43" s="601" t="s">
        <v>3130</v>
      </c>
      <c r="D43" s="255">
        <v>100</v>
      </c>
      <c r="E43" s="601" t="s">
        <v>3130</v>
      </c>
      <c r="F43" s="540">
        <f>SUMIF(125:125,E43,126:126)-SUMIF(125:125,C43,126:126)+100</f>
        <v>100</v>
      </c>
      <c r="G43" s="601" t="s">
        <v>3130</v>
      </c>
      <c r="H43" s="540">
        <f>SUMIF(125:125,G43,126:126)-SUMIF(125:125,C43,126:126)+100</f>
        <v>100</v>
      </c>
      <c r="I43" s="601" t="s">
        <v>3130</v>
      </c>
      <c r="J43" s="540">
        <f>SUMIF(125:125,I43,126:126)-SUMIF(125:125,C43,126:126)+100</f>
        <v>100</v>
      </c>
      <c r="K43" s="584">
        <v>2</v>
      </c>
      <c r="L43" s="2134"/>
      <c r="M43" s="2131"/>
      <c r="N43" s="2131"/>
      <c r="O43" s="2136"/>
      <c r="P43" s="3446"/>
      <c r="Q43" s="1571" t="str">
        <f t="shared" si="14"/>
        <v>宗地开发程度</v>
      </c>
      <c r="R43" s="1567" t="s">
        <v>8</v>
      </c>
      <c r="S43" s="1568">
        <f t="shared" si="10"/>
        <v>100</v>
      </c>
      <c r="T43" s="1567" t="s">
        <v>8</v>
      </c>
      <c r="U43" s="1568">
        <f t="shared" si="11"/>
        <v>100</v>
      </c>
      <c r="V43" s="1567" t="s">
        <v>8</v>
      </c>
      <c r="W43" s="1568">
        <f t="shared" si="12"/>
        <v>100</v>
      </c>
      <c r="X43" s="1569"/>
      <c r="Y43" s="3446"/>
      <c r="Z43" s="1149" t="str">
        <f t="shared" si="13"/>
        <v>宗地开发程度</v>
      </c>
      <c r="AA43" s="1570">
        <f t="shared" si="3"/>
        <v>1</v>
      </c>
      <c r="AB43" s="1570">
        <f t="shared" si="4"/>
        <v>1</v>
      </c>
      <c r="AC43" s="1570">
        <f t="shared" si="5"/>
        <v>1</v>
      </c>
    </row>
    <row r="44" spans="1:29" ht="21" thickBot="1">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41"/>
      <c r="M44" s="2131"/>
      <c r="N44" s="2131"/>
      <c r="O44" s="2140"/>
      <c r="P44" s="3446" t="s">
        <v>550</v>
      </c>
      <c r="Q44" s="1571" t="str">
        <f t="shared" si="14"/>
        <v>工程地质条件</v>
      </c>
      <c r="R44" s="1572" t="s">
        <v>8</v>
      </c>
      <c r="S44" s="1573">
        <f t="shared" si="10"/>
        <v>100</v>
      </c>
      <c r="T44" s="1572" t="s">
        <v>8</v>
      </c>
      <c r="U44" s="1573">
        <f t="shared" si="11"/>
        <v>100</v>
      </c>
      <c r="V44" s="1572" t="s">
        <v>8</v>
      </c>
      <c r="W44" s="1573">
        <f t="shared" si="12"/>
        <v>100</v>
      </c>
      <c r="X44" s="1566"/>
      <c r="Y44" s="3446"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46"/>
      <c r="Q45" s="1571">
        <f t="shared" si="14"/>
        <v>111</v>
      </c>
      <c r="R45" s="1572" t="s">
        <v>8</v>
      </c>
      <c r="S45" s="1573">
        <f t="shared" si="10"/>
        <v>100</v>
      </c>
      <c r="T45" s="1572" t="s">
        <v>8</v>
      </c>
      <c r="U45" s="1573">
        <f t="shared" si="11"/>
        <v>100</v>
      </c>
      <c r="V45" s="1572" t="s">
        <v>8</v>
      </c>
      <c r="W45" s="1573">
        <f t="shared" si="12"/>
        <v>100</v>
      </c>
      <c r="X45" s="1566"/>
      <c r="Y45" s="3446"/>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46"/>
      <c r="Q46" s="1571">
        <f t="shared" si="14"/>
        <v>111</v>
      </c>
      <c r="R46" s="1572" t="s">
        <v>8</v>
      </c>
      <c r="S46" s="1573">
        <f t="shared" si="10"/>
        <v>100</v>
      </c>
      <c r="T46" s="1572" t="s">
        <v>8</v>
      </c>
      <c r="U46" s="1573">
        <f t="shared" si="11"/>
        <v>100</v>
      </c>
      <c r="V46" s="1572" t="s">
        <v>8</v>
      </c>
      <c r="W46" s="1573">
        <f t="shared" si="12"/>
        <v>100</v>
      </c>
      <c r="X46" s="1566"/>
      <c r="Y46" s="3446"/>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46"/>
      <c r="Q47" s="1571">
        <f t="shared" si="14"/>
        <v>111</v>
      </c>
      <c r="R47" s="1576" t="s">
        <v>8</v>
      </c>
      <c r="S47" s="1577">
        <f t="shared" si="10"/>
        <v>100</v>
      </c>
      <c r="T47" s="1576" t="s">
        <v>8</v>
      </c>
      <c r="U47" s="1577">
        <f t="shared" si="11"/>
        <v>100</v>
      </c>
      <c r="V47" s="1576" t="s">
        <v>8</v>
      </c>
      <c r="W47" s="1577">
        <f t="shared" si="12"/>
        <v>100</v>
      </c>
      <c r="X47" s="1578"/>
      <c r="Y47" s="3446"/>
      <c r="Z47" s="1579">
        <f t="shared" si="13"/>
        <v>111</v>
      </c>
      <c r="AA47" s="1575">
        <f t="shared" si="3"/>
        <v>1</v>
      </c>
      <c r="AB47" s="1575">
        <f t="shared" si="4"/>
        <v>1</v>
      </c>
      <c r="AC47" s="1575">
        <f t="shared" si="5"/>
        <v>1</v>
      </c>
    </row>
    <row r="48" spans="1:29" ht="20.25">
      <c r="A48" s="607" t="s">
        <v>556</v>
      </c>
      <c r="B48" s="608" t="s">
        <v>3107</v>
      </c>
      <c r="C48" s="609" t="s">
        <v>1</v>
      </c>
      <c r="D48" s="610"/>
      <c r="E48" s="3230">
        <f>土地案例!T2</f>
        <v>19177.18</v>
      </c>
      <c r="F48" s="612"/>
      <c r="G48" s="3231">
        <f>土地案例!T4</f>
        <v>10477.11</v>
      </c>
      <c r="H48" s="614"/>
      <c r="I48" s="3230">
        <f>土地案例!T5</f>
        <v>11199.81</v>
      </c>
      <c r="J48" s="614"/>
      <c r="K48" s="1339"/>
      <c r="L48" s="2143"/>
      <c r="M48" s="2131"/>
      <c r="N48" s="2131"/>
      <c r="O48" s="2144"/>
      <c r="P48" s="3409" t="str">
        <f>A48</f>
        <v>成交单价</v>
      </c>
      <c r="Q48" s="3409"/>
      <c r="R48" s="3410">
        <f>E48</f>
        <v>19177.18</v>
      </c>
      <c r="S48" s="3410"/>
      <c r="T48" s="3410">
        <f>G48</f>
        <v>10477.11</v>
      </c>
      <c r="U48" s="3410"/>
      <c r="V48" s="3410">
        <f>I48</f>
        <v>11199.81</v>
      </c>
      <c r="W48" s="3410"/>
      <c r="X48" s="1558"/>
      <c r="Y48" s="1580"/>
      <c r="Z48" s="1558"/>
      <c r="AA48" s="1558"/>
      <c r="AB48" s="1558"/>
      <c r="AC48" s="1558"/>
    </row>
    <row r="49" spans="1:29" ht="21" thickBot="1">
      <c r="A49" s="615" t="s">
        <v>2694</v>
      </c>
      <c r="B49" s="616"/>
      <c r="C49" s="617">
        <f>R50</f>
        <v>17345</v>
      </c>
      <c r="D49" s="618"/>
      <c r="E49" s="617">
        <f>R49</f>
        <v>16205</v>
      </c>
      <c r="F49" s="619"/>
      <c r="G49" s="620">
        <f>T49</f>
        <v>18202</v>
      </c>
      <c r="H49" s="618"/>
      <c r="I49" s="617">
        <f>V49</f>
        <v>17629</v>
      </c>
      <c r="J49" s="618"/>
      <c r="K49" s="1340"/>
      <c r="L49" s="2143"/>
      <c r="M49" s="2131"/>
      <c r="N49" s="2131"/>
      <c r="O49" s="2144"/>
      <c r="P49" s="3409" t="str">
        <f>A49</f>
        <v>比较价格（元/平方米）</v>
      </c>
      <c r="Q49" s="3409"/>
      <c r="R49" s="3411">
        <f>ROUND(PRODUCT(R48,AA9:AA47),0)</f>
        <v>16205</v>
      </c>
      <c r="S49" s="3411"/>
      <c r="T49" s="3411">
        <f>ROUND(PRODUCT(T48,AB9:AB47),0)</f>
        <v>18202</v>
      </c>
      <c r="U49" s="3411"/>
      <c r="V49" s="3411">
        <f>ROUND(PRODUCT(V48,AC9:AC47),0)</f>
        <v>17629</v>
      </c>
      <c r="W49" s="3411"/>
      <c r="X49" s="1558"/>
      <c r="Y49" s="1558"/>
      <c r="Z49" s="1558"/>
      <c r="AA49" s="1558"/>
      <c r="AB49" s="1558"/>
      <c r="AC49" s="1558"/>
    </row>
    <row r="50" spans="1:29" ht="21" thickBot="1">
      <c r="A50" s="621" t="s">
        <v>2938</v>
      </c>
      <c r="B50" s="622"/>
      <c r="C50" s="623">
        <f>R50</f>
        <v>17345</v>
      </c>
      <c r="D50" s="623"/>
      <c r="E50" s="623"/>
      <c r="F50" s="623"/>
      <c r="G50" s="623"/>
      <c r="H50" s="623"/>
      <c r="I50" s="623"/>
      <c r="J50" s="623"/>
      <c r="K50" s="1341"/>
      <c r="L50" s="2143"/>
      <c r="M50" s="2131"/>
      <c r="N50" s="2131"/>
      <c r="O50" s="2144"/>
      <c r="P50" s="3406" t="str">
        <f>A50</f>
        <v>估价对象XX用房的比较价格（楼面单价，元/平方米）</v>
      </c>
      <c r="Q50" s="3407"/>
      <c r="R50" s="3408">
        <f>ROUND(AVERAGE(R49:V49),0)</f>
        <v>17345</v>
      </c>
      <c r="S50" s="3408"/>
      <c r="T50" s="3408"/>
      <c r="U50" s="3408"/>
      <c r="V50" s="3408"/>
      <c r="W50" s="340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0.18341129281086088</v>
      </c>
      <c r="F53" s="627" t="str">
        <f>IF(OR(E53&gt;=0.3,E53&lt;=-0.3),"超过30%","")</f>
        <v/>
      </c>
      <c r="G53" s="626">
        <f>IF(G48&lt;G49,G49/G48-1,G48/G49-1)</f>
        <v>0.73731114782607032</v>
      </c>
      <c r="H53" s="627" t="str">
        <f>IF(OR(G53&gt;=0.3,G53&lt;=-0.3),"超过30%","")</f>
        <v>超过30%</v>
      </c>
      <c r="I53" s="626">
        <f>IF(I48&lt;I49,I49/I48-1,I48/I49-1)</f>
        <v>0.57404455968449475</v>
      </c>
      <c r="J53" s="627" t="str">
        <f>IF(OR(I53&gt;=0.3,I53&lt;=-0.3),"超过30%","")</f>
        <v>超过30%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0.12323356988583778</v>
      </c>
      <c r="F54" s="627" t="str">
        <f>IF(OR(E54&gt;=0.2,E54&lt;=-0.2),"超过20%","")</f>
        <v/>
      </c>
      <c r="G54" s="626">
        <f>IF(G49&lt;I49,I49/G49-1,G49/I49-1)</f>
        <v>3.2503261671110062E-2</v>
      </c>
      <c r="H54" s="627" t="str">
        <f>IF(OR(G54&gt;=0.2,G54&lt;=-0.2),"超过20%","")</f>
        <v/>
      </c>
      <c r="I54" s="626">
        <f>IF(I49&lt;E49,E49/I49-1,I49/E49-1)</f>
        <v>8.787411292810865E-2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0.83038834182326982</v>
      </c>
      <c r="F55" s="627" t="str">
        <f>IF(OR(E55&gt;=0.3,E55&lt;=-0.3),"超过30%","")</f>
        <v>超过30%</v>
      </c>
      <c r="G55" s="626">
        <f>IF(G48&lt;I48,I48/G48-1,G48/I48-1)</f>
        <v>6.8978945529826419E-2</v>
      </c>
      <c r="H55" s="627" t="str">
        <f>IF(OR(G55&gt;=0.3,G55&lt;=-0.3),"超过30%","")</f>
        <v/>
      </c>
      <c r="I55" s="626">
        <f>IF(I48&lt;E48,E48/I48-1,I48/E48-1)</f>
        <v>0.71227726184640638</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2294</v>
      </c>
      <c r="E57" s="631" t="s">
        <v>562</v>
      </c>
      <c r="F57" s="632" t="s">
        <v>563</v>
      </c>
      <c r="G57" s="3435" t="s">
        <v>2282</v>
      </c>
      <c r="H57" s="3436"/>
      <c r="I57" s="1554" t="s">
        <v>1723</v>
      </c>
      <c r="J57" s="1554">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17345</v>
      </c>
      <c r="C58" s="635">
        <v>1</v>
      </c>
      <c r="D58" s="2227">
        <v>1</v>
      </c>
      <c r="E58" s="635">
        <f>'数据-汇总表'!E8+'数据-汇总表'!E9</f>
        <v>175537</v>
      </c>
      <c r="F58" s="636">
        <f t="shared" ref="F58:F67" si="15">ROUND(B58*E58/10000,0)</f>
        <v>304469</v>
      </c>
      <c r="G58" s="3437"/>
      <c r="H58" s="3438"/>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39" t="s">
        <v>2283</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39"/>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39"/>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39"/>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2329</v>
      </c>
      <c r="B63" s="638">
        <f t="shared" si="17"/>
        <v>0</v>
      </c>
      <c r="C63" s="378">
        <f t="shared" si="16"/>
        <v>0</v>
      </c>
      <c r="D63" s="2228">
        <v>0.25</v>
      </c>
      <c r="E63" s="641">
        <f>'数据-汇总表'!E11</f>
        <v>0</v>
      </c>
      <c r="F63" s="636">
        <f t="shared" si="15"/>
        <v>0</v>
      </c>
      <c r="G63" s="1944" t="s">
        <v>2284</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2283</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2284</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2295</v>
      </c>
      <c r="E68" s="643">
        <f>IF(B48="楼面地价",SUM(E58:E67),'数据-汇总表'!D3)</f>
        <v>175537</v>
      </c>
      <c r="F68" s="644">
        <f>IF(B48="楼面地价",SUM(F58:F67),ROUND(C50*E68/10000,0))</f>
        <v>304469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2533</v>
      </c>
      <c r="B72" s="2547"/>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4" t="s">
        <v>2648</v>
      </c>
      <c r="B73" s="479" t="str">
        <f>"北京市平均增长率"&amp;TEXT(SUMIF(基准地价!N21:N25,A73,基准地价!P21:P25),"0.00%")</f>
        <v>北京市平均增长率0.00%</v>
      </c>
      <c r="C73" s="893">
        <v>100</v>
      </c>
      <c r="D73" s="3221">
        <f>C73-$C$74</f>
        <v>99</v>
      </c>
      <c r="E73" s="3221">
        <f t="shared" ref="E73:N73" si="20">D73-$C$74</f>
        <v>98</v>
      </c>
      <c r="F73" s="3221">
        <f t="shared" si="20"/>
        <v>97</v>
      </c>
      <c r="G73" s="3221">
        <f t="shared" si="20"/>
        <v>96</v>
      </c>
      <c r="H73" s="3221">
        <f t="shared" si="20"/>
        <v>95</v>
      </c>
      <c r="I73" s="3221">
        <f t="shared" si="20"/>
        <v>94</v>
      </c>
      <c r="J73" s="3221">
        <f t="shared" si="20"/>
        <v>93</v>
      </c>
      <c r="K73" s="3221">
        <f t="shared" si="20"/>
        <v>92</v>
      </c>
      <c r="L73" s="3221">
        <f t="shared" si="20"/>
        <v>91</v>
      </c>
      <c r="M73" s="3221">
        <f t="shared" si="20"/>
        <v>90</v>
      </c>
      <c r="N73" s="3221">
        <f t="shared" si="20"/>
        <v>89</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4" t="s">
        <v>2647</v>
      </c>
      <c r="B74" s="2783"/>
      <c r="C74" s="3220">
        <v>1</v>
      </c>
      <c r="D74" s="2769"/>
      <c r="E74" s="2769"/>
      <c r="F74" s="2769"/>
      <c r="G74" s="2769"/>
      <c r="H74" s="2769"/>
      <c r="I74" s="2769"/>
      <c r="J74" s="2769"/>
      <c r="K74" s="2769"/>
      <c r="L74" s="2769"/>
      <c r="M74" s="2769"/>
      <c r="N74" s="2769"/>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7" t="s">
        <v>3104</v>
      </c>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0（含）-2</v>
      </c>
      <c r="D81" s="682" t="str">
        <f t="shared" ref="D81:L81" si="21">D82&amp;"（含）"&amp;"-"&amp;E82</f>
        <v>2（含）-4</v>
      </c>
      <c r="E81" s="682" t="str">
        <f t="shared" si="21"/>
        <v>4（含）-6</v>
      </c>
      <c r="F81" s="682" t="str">
        <f t="shared" si="21"/>
        <v>6（含）-8</v>
      </c>
      <c r="G81" s="682" t="str">
        <f t="shared" si="21"/>
        <v>8（含）-10</v>
      </c>
      <c r="H81" s="682" t="str">
        <f t="shared" si="21"/>
        <v>10（含）-12</v>
      </c>
      <c r="I81" s="682" t="str">
        <f t="shared" si="21"/>
        <v>12（含）-14</v>
      </c>
      <c r="J81" s="682" t="str">
        <f t="shared" si="21"/>
        <v>14（含）-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f>C82+2</f>
        <v>2</v>
      </c>
      <c r="E82" s="541">
        <f t="shared" ref="E82:J82" si="22">D82+2</f>
        <v>4</v>
      </c>
      <c r="F82" s="541">
        <f t="shared" si="22"/>
        <v>6</v>
      </c>
      <c r="G82" s="541">
        <f t="shared" si="22"/>
        <v>8</v>
      </c>
      <c r="H82" s="541">
        <f t="shared" si="22"/>
        <v>10</v>
      </c>
      <c r="I82" s="541">
        <f t="shared" si="22"/>
        <v>12</v>
      </c>
      <c r="J82" s="541">
        <f t="shared" si="22"/>
        <v>14</v>
      </c>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5"/>
      <c r="O83" s="2165"/>
      <c r="P83" s="2164"/>
      <c r="Q83" s="2157"/>
      <c r="R83" s="2144"/>
      <c r="S83" s="2144"/>
      <c r="T83" s="2144"/>
      <c r="U83" s="2144"/>
      <c r="V83" s="2144"/>
      <c r="W83" s="2144"/>
      <c r="X83" s="2144"/>
      <c r="Y83" s="2144"/>
      <c r="Z83" s="2144"/>
      <c r="AA83" s="2144"/>
      <c r="AB83" s="2144"/>
      <c r="AC83" s="2144"/>
    </row>
    <row r="84" spans="1:29" s="1338" customFormat="1" ht="27.75" thickTop="1">
      <c r="A84" s="687"/>
      <c r="B84" s="673" t="str">
        <f>B14</f>
        <v>配建</v>
      </c>
      <c r="C84" s="688" t="s">
        <v>3115</v>
      </c>
      <c r="D84" s="1375" t="s">
        <v>3114</v>
      </c>
      <c r="E84" s="3180" t="s">
        <v>3118</v>
      </c>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v>100</v>
      </c>
      <c r="D85" s="671">
        <v>80</v>
      </c>
      <c r="E85" s="3225">
        <v>40</v>
      </c>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2549</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2551</v>
      </c>
      <c r="C104" s="2576" t="s">
        <v>2552</v>
      </c>
      <c r="D104" s="2576" t="s">
        <v>2553</v>
      </c>
      <c r="E104" s="2576" t="s">
        <v>2554</v>
      </c>
      <c r="F104" s="2576" t="s">
        <v>2555</v>
      </c>
      <c r="G104" s="2576" t="s">
        <v>2556</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0" t="s">
        <v>3136</v>
      </c>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7">C119&amp;"(含)"&amp;"-"&amp;D119</f>
        <v>0(含)-20000</v>
      </c>
      <c r="D118" s="704" t="str">
        <f t="shared" si="27"/>
        <v>20000(含)-40000</v>
      </c>
      <c r="E118" s="704" t="str">
        <f t="shared" si="27"/>
        <v>40000(含)-60000</v>
      </c>
      <c r="F118" s="704" t="str">
        <f t="shared" si="27"/>
        <v>60000(含)-80000</v>
      </c>
      <c r="G118" s="704" t="str">
        <f t="shared" si="27"/>
        <v>80000(含)-100000</v>
      </c>
      <c r="H118" s="704" t="str">
        <f t="shared" si="27"/>
        <v>100000(含)-120000</v>
      </c>
      <c r="I118" s="704" t="str">
        <f t="shared" si="27"/>
        <v>120000(含)-140000</v>
      </c>
      <c r="J118" s="3068" t="str">
        <f t="shared" si="27"/>
        <v>140000(含)-</v>
      </c>
      <c r="K118" s="3068" t="str">
        <f t="shared" si="27"/>
        <v>(含)-</v>
      </c>
      <c r="L118" s="3069" t="str">
        <f t="shared" si="27"/>
        <v>(含)-</v>
      </c>
      <c r="M118" s="3070"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f>C119+20000</f>
        <v>20000</v>
      </c>
      <c r="E119" s="730">
        <f t="shared" ref="E119:J119" si="28">D119+20000</f>
        <v>40000</v>
      </c>
      <c r="F119" s="730">
        <f t="shared" si="28"/>
        <v>60000</v>
      </c>
      <c r="G119" s="730">
        <f t="shared" si="28"/>
        <v>80000</v>
      </c>
      <c r="H119" s="730">
        <f t="shared" si="28"/>
        <v>100000</v>
      </c>
      <c r="I119" s="730">
        <f t="shared" si="28"/>
        <v>120000</v>
      </c>
      <c r="J119" s="730">
        <f t="shared" si="28"/>
        <v>140000</v>
      </c>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f>C120+1</f>
        <v>101</v>
      </c>
      <c r="E120" s="726">
        <f t="shared" ref="E120:I120" si="29">D120+1</f>
        <v>102</v>
      </c>
      <c r="F120" s="726">
        <f t="shared" si="29"/>
        <v>103</v>
      </c>
      <c r="G120" s="726">
        <f t="shared" si="29"/>
        <v>104</v>
      </c>
      <c r="H120" s="726">
        <f t="shared" si="29"/>
        <v>105</v>
      </c>
      <c r="I120" s="726">
        <f t="shared" si="29"/>
        <v>106</v>
      </c>
      <c r="J120" s="726">
        <f>I120+1</f>
        <v>107</v>
      </c>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219" t="s">
        <v>3132</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2426</v>
      </c>
      <c r="C125" s="1375" t="s">
        <v>3134</v>
      </c>
      <c r="D125" s="1375"/>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0" t="s">
        <v>3133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35" t="str">
        <f>项目基本情况!B1</f>
        <v>出让国有建设用地使用权预评估</v>
      </c>
      <c r="C37" s="3235"/>
      <c r="D37" s="3235"/>
      <c r="E37" s="3235"/>
      <c r="F37" s="3235"/>
      <c r="G37" s="3235"/>
      <c r="H37" s="3235"/>
      <c r="I37" s="3235"/>
    </row>
    <row r="38" spans="1:9">
      <c r="A38" s="1655"/>
      <c r="B38" s="1655"/>
    </row>
    <row r="39" spans="1:9">
      <c r="A39" s="1653" t="s">
        <v>1902</v>
      </c>
      <c r="B39" s="1653" t="s">
        <v>2047</v>
      </c>
    </row>
    <row r="40" spans="1:9">
      <c r="A40" s="1653"/>
      <c r="B40" s="1653">
        <f>项目基本情况!B5</f>
        <v>0</v>
      </c>
    </row>
    <row r="41" spans="1:9">
      <c r="A41" s="1653"/>
      <c r="B41" s="1653"/>
    </row>
    <row r="42" spans="1:9">
      <c r="A42" s="1653" t="s">
        <v>1902</v>
      </c>
      <c r="B42" s="1653" t="s">
        <v>2048</v>
      </c>
    </row>
    <row r="43" spans="1:9">
      <c r="A43" s="1653"/>
      <c r="B43" s="1653" t="s">
        <v>1904</v>
      </c>
    </row>
    <row r="44" spans="1:9">
      <c r="A44" s="1653"/>
      <c r="B44" s="1653"/>
    </row>
    <row r="45" spans="1:9">
      <c r="A45" s="1653" t="s">
        <v>1902</v>
      </c>
      <c r="B45" s="1653" t="s">
        <v>2046</v>
      </c>
    </row>
    <row r="46" spans="1:9" s="1653" customFormat="1" ht="12.75">
      <c r="B46" s="1653" t="str">
        <f>项目基本情况!K4</f>
        <v>土地估价师、土地估价师</v>
      </c>
    </row>
    <row r="47" spans="1:9">
      <c r="A47" s="1653"/>
      <c r="B47" s="1653"/>
    </row>
    <row r="48" spans="1:9">
      <c r="A48" s="1653" t="s">
        <v>1902</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8" sqref="E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7"/>
      <c r="C1" s="2103"/>
      <c r="D1" s="2103"/>
      <c r="E1" s="2103"/>
      <c r="F1" s="2103"/>
      <c r="G1" s="2103"/>
      <c r="H1" s="2103"/>
      <c r="I1" s="2103"/>
      <c r="J1" s="2103"/>
      <c r="K1" s="422">
        <f>MATCH(B1,'数据-取费表'!A6:A16,0)+5</f>
        <v>9</v>
      </c>
    </row>
    <row r="2" spans="1:31" s="2040" customFormat="1" ht="18" customHeight="1">
      <c r="A2" s="2100" t="s">
        <v>467</v>
      </c>
      <c r="B2" s="2104">
        <f ca="1">C36</f>
        <v>442740</v>
      </c>
      <c r="C2" s="2103"/>
      <c r="D2" s="2103"/>
      <c r="E2" s="2103"/>
      <c r="F2" s="2103"/>
      <c r="G2" s="2103"/>
      <c r="H2" s="2103"/>
      <c r="I2" s="2103"/>
      <c r="J2" s="2103"/>
      <c r="K2" s="2103"/>
    </row>
    <row r="3" spans="1:31" s="2040" customFormat="1" ht="18" customHeight="1">
      <c r="A3" s="2105" t="s">
        <v>1685</v>
      </c>
      <c r="B3" s="2106">
        <f ca="1">ROUND(B2*10000/IF(B1="",'数据-汇总表'!E3,INDIRECT("'数据-取费表'!K"&amp;$K$1)),0)</f>
        <v>24486</v>
      </c>
      <c r="C3" s="2103"/>
      <c r="D3" s="2103"/>
      <c r="E3" s="2103"/>
      <c r="F3" s="2103"/>
      <c r="G3" s="2103"/>
      <c r="H3" s="2103"/>
      <c r="I3" s="2103"/>
      <c r="J3" s="2103"/>
      <c r="K3" s="2103"/>
    </row>
    <row r="4" spans="1:31" s="2040" customFormat="1" ht="18" customHeight="1">
      <c r="A4" s="426" t="s">
        <v>468</v>
      </c>
      <c r="B4" s="427">
        <f ca="1">ROUND(B2*10000/IF(B1="",'数据-汇总表'!D3,INDIRECT("'数据-取费表'!R"&amp;$K$1)),0)</f>
        <v>159152</v>
      </c>
      <c r="C4" s="428"/>
      <c r="D4" s="422"/>
      <c r="E4" s="422"/>
      <c r="F4" s="422"/>
      <c r="G4" s="422"/>
      <c r="H4" s="422"/>
      <c r="I4" s="422"/>
      <c r="J4" s="422"/>
      <c r="K4" s="422"/>
    </row>
    <row r="5" spans="1:31" s="2040" customFormat="1" ht="18" customHeight="1" thickBot="1">
      <c r="A5" s="429"/>
      <c r="B5" s="430">
        <f ca="1">ROUND(B2/(IF(B1="",'数据-汇总表'!D3,INDIRECT("'数据-取费表'!R"&amp;$K$1))/666.67),0)</f>
        <v>10610</v>
      </c>
      <c r="C5" s="431" t="s">
        <v>469</v>
      </c>
      <c r="D5" s="422"/>
      <c r="E5" s="422"/>
      <c r="F5" s="422"/>
      <c r="G5" s="422"/>
      <c r="H5" s="422"/>
      <c r="I5" s="422"/>
      <c r="J5" s="422"/>
      <c r="K5" s="422"/>
    </row>
    <row r="6" spans="1:31" s="2110" customFormat="1" ht="16.5" customHeight="1">
      <c r="A6" s="2806" t="s">
        <v>1843</v>
      </c>
      <c r="B6" s="2807"/>
      <c r="C6" s="2808">
        <f ca="1">SUM(C10:K10)</f>
        <v>682332</v>
      </c>
      <c r="D6" s="2807"/>
      <c r="E6" s="2807"/>
      <c r="F6" s="2807"/>
      <c r="G6" s="2807"/>
      <c r="H6" s="2807"/>
      <c r="I6" s="2807"/>
      <c r="J6" s="2807"/>
      <c r="K6" s="2809"/>
    </row>
    <row r="7" spans="1:31" s="2112" customFormat="1" ht="15">
      <c r="A7" s="2810" t="s">
        <v>470</v>
      </c>
      <c r="B7" s="2811" t="s">
        <v>471</v>
      </c>
      <c r="C7" s="436" t="s">
        <v>923</v>
      </c>
      <c r="D7" s="436" t="s">
        <v>2992</v>
      </c>
      <c r="E7" s="436" t="s">
        <v>1678</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2">
        <f>ROUND('不动产比较法-住宅'!C49*0.7,0)</f>
        <v>32499</v>
      </c>
      <c r="D8" s="2812">
        <f ca="1">'不动产收益法（商业）'!B3</f>
        <v>86169</v>
      </c>
      <c r="E8" s="2812">
        <f>'不动产比较法-办公'!C50</f>
        <v>51333</v>
      </c>
      <c r="F8" s="2812"/>
      <c r="G8" s="2812"/>
      <c r="H8" s="2812"/>
      <c r="I8" s="2812"/>
      <c r="J8" s="2812"/>
      <c r="K8" s="2813"/>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126572</v>
      </c>
      <c r="D9" s="441">
        <f>SUMIF('数据-汇总表'!$C19:$C33,'剩余法-待开发'!D7,'数据-汇总表'!$E19:$E33)</f>
        <v>5636</v>
      </c>
      <c r="E9" s="441">
        <f>SUMIF('数据-汇总表'!$C19:$C33,'剩余法-待开发'!E7,'数据-汇总表'!$E19:$E33)</f>
        <v>43329</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4" t="s">
        <v>1848</v>
      </c>
      <c r="B10" s="2800" t="s">
        <v>474</v>
      </c>
      <c r="C10" s="3004">
        <f>ROUND(C8*C9/10000,0)</f>
        <v>411346</v>
      </c>
      <c r="D10" s="3004">
        <f ca="1">ROUND(D8*D9/10000,0)</f>
        <v>48565</v>
      </c>
      <c r="E10" s="3004">
        <f>'不动产比较法-办公'!B2</f>
        <v>222421</v>
      </c>
      <c r="F10" s="2815"/>
      <c r="G10" s="2815"/>
      <c r="H10" s="2815"/>
      <c r="I10" s="2815"/>
      <c r="J10" s="2815"/>
      <c r="K10" s="2816"/>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7" t="s">
        <v>1844</v>
      </c>
      <c r="B11" s="2807"/>
      <c r="C11" s="2807"/>
      <c r="D11" s="2807"/>
      <c r="E11" s="2807"/>
      <c r="F11" s="2807"/>
      <c r="G11" s="2807"/>
      <c r="H11" s="2807"/>
      <c r="I11" s="2807"/>
      <c r="J11" s="2807"/>
      <c r="K11" s="2809"/>
    </row>
    <row r="12" spans="1:31" s="2084" customFormat="1" ht="13.5" customHeight="1">
      <c r="A12" s="2818" t="s">
        <v>470</v>
      </c>
      <c r="B12" s="2790" t="s">
        <v>471</v>
      </c>
      <c r="C12" s="2819" t="s">
        <v>475</v>
      </c>
      <c r="D12" s="2786" t="s">
        <v>476</v>
      </c>
      <c r="E12" s="2786" t="s">
        <v>477</v>
      </c>
      <c r="F12" s="2786" t="s">
        <v>478</v>
      </c>
      <c r="G12" s="2790"/>
      <c r="H12" s="2791"/>
      <c r="I12" s="2791"/>
      <c r="J12" s="2791"/>
      <c r="K12" s="2792"/>
    </row>
    <row r="13" spans="1:31" s="2115" customFormat="1" ht="13.5" customHeight="1">
      <c r="A13" s="2820" t="s">
        <v>1849</v>
      </c>
      <c r="B13" s="2821" t="s">
        <v>479</v>
      </c>
      <c r="C13" s="450">
        <f ca="1">IF(B1="",'数据-取费表'!P16,INDIRECT("'数据-取费表'!p"&amp;$K$1)+INDIRECT("'数据-取费表'!t"&amp;$K$1))</f>
        <v>65470</v>
      </c>
      <c r="D13" s="2822"/>
      <c r="E13" s="2823"/>
      <c r="F13" s="2824"/>
      <c r="G13" s="2790"/>
      <c r="H13" s="2791"/>
      <c r="I13" s="2791"/>
      <c r="J13" s="2791"/>
      <c r="K13" s="2792"/>
    </row>
    <row r="14" spans="1:31" s="2115" customFormat="1" ht="13.5" customHeight="1">
      <c r="A14" s="2820" t="s">
        <v>1850</v>
      </c>
      <c r="B14" s="2821" t="s">
        <v>480</v>
      </c>
      <c r="C14" s="53">
        <f ca="1">ROUND(C13*F14,0)</f>
        <v>1964</v>
      </c>
      <c r="D14" s="2822"/>
      <c r="E14" s="2823"/>
      <c r="F14" s="2825">
        <f>'数据-取费表'!B33</f>
        <v>0.03</v>
      </c>
      <c r="G14" s="2790" t="s">
        <v>481</v>
      </c>
      <c r="H14" s="2791"/>
      <c r="I14" s="2791"/>
      <c r="J14" s="2791"/>
      <c r="K14" s="2792"/>
    </row>
    <row r="15" spans="1:31" s="2115" customFormat="1" ht="13.5" customHeight="1">
      <c r="A15" s="2820" t="s">
        <v>1851</v>
      </c>
      <c r="B15" s="2821" t="s">
        <v>482</v>
      </c>
      <c r="C15" s="53">
        <f ca="1">ROUND(IF(B1="",SUMIF('数据-取费表'!C:C,"住宅",'数据-取费表'!P:P)*F15,IF(INDIRECT("'数据-取费表'!c"&amp;$K$1)="住宅",INDIRECT("'数据-取费表'!P"&amp;$K$1)*F15,0)),0)</f>
        <v>2215</v>
      </c>
      <c r="D15" s="2822"/>
      <c r="E15" s="2823"/>
      <c r="F15" s="2825">
        <f>'数据-取费表'!B34</f>
        <v>0.05</v>
      </c>
      <c r="G15" s="2790" t="s">
        <v>483</v>
      </c>
      <c r="H15" s="2791"/>
      <c r="I15" s="2791"/>
      <c r="J15" s="2791"/>
      <c r="K15" s="2792"/>
    </row>
    <row r="16" spans="1:31" s="2116" customFormat="1" ht="13.5" customHeight="1">
      <c r="A16" s="2820" t="s">
        <v>1852</v>
      </c>
      <c r="B16" s="2821" t="s">
        <v>484</v>
      </c>
      <c r="C16" s="53">
        <f ca="1">ROUND(D16*E16/10000,0)</f>
        <v>3616</v>
      </c>
      <c r="D16" s="2822">
        <f ca="1">IF(B1="",'数据-汇总表'!E3,INDIRECT("'数据-取费表'!K"&amp;$K$1)+INDIRECT("'数据-取费表'!S"&amp;$K$1))</f>
        <v>180817</v>
      </c>
      <c r="E16" s="53">
        <f>'数据-取费表'!B35</f>
        <v>200</v>
      </c>
      <c r="F16" s="2825"/>
      <c r="G16" s="2790"/>
      <c r="H16" s="2791"/>
      <c r="I16" s="2791"/>
      <c r="J16" s="2791"/>
      <c r="K16" s="2792"/>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20" t="s">
        <v>1853</v>
      </c>
      <c r="B17" s="2821" t="s">
        <v>485</v>
      </c>
      <c r="C17" s="2826">
        <f ca="1">ROUND(C13*F17,0)</f>
        <v>982</v>
      </c>
      <c r="D17" s="475"/>
      <c r="E17" s="2826"/>
      <c r="F17" s="2827">
        <f>'数据-取费表'!B36</f>
        <v>1.4999999999999999E-2</v>
      </c>
      <c r="G17" s="261" t="s">
        <v>486</v>
      </c>
      <c r="H17" s="2793"/>
      <c r="I17" s="2793"/>
      <c r="J17" s="2793"/>
      <c r="K17" s="279"/>
    </row>
    <row r="18" spans="1:14" s="2115" customFormat="1" ht="13.5" customHeight="1">
      <c r="A18" s="2828" t="s">
        <v>1854</v>
      </c>
      <c r="B18" s="2829" t="s">
        <v>487</v>
      </c>
      <c r="C18" s="2830">
        <f ca="1">SUM(C13:C17)</f>
        <v>74247</v>
      </c>
      <c r="D18" s="2831"/>
      <c r="E18" s="468"/>
      <c r="F18" s="468"/>
      <c r="G18" s="2794" t="s">
        <v>2431</v>
      </c>
      <c r="H18" s="2795"/>
      <c r="I18" s="2795"/>
      <c r="J18" s="2795"/>
      <c r="K18" s="2796"/>
    </row>
    <row r="19" spans="1:14" s="2115" customFormat="1" ht="13.5" customHeight="1">
      <c r="A19" s="2828" t="s">
        <v>1855</v>
      </c>
      <c r="B19" s="2829" t="s">
        <v>488</v>
      </c>
      <c r="C19" s="2786">
        <f ca="1">ROUND(D19*E19/10000,0)</f>
        <v>0</v>
      </c>
      <c r="D19" s="2832">
        <f ca="1">D16</f>
        <v>180817</v>
      </c>
      <c r="E19" s="2786">
        <f>'数据-取费表'!B32</f>
        <v>0</v>
      </c>
      <c r="F19" s="468"/>
      <c r="G19" s="2790" t="s">
        <v>489</v>
      </c>
      <c r="H19" s="2791"/>
      <c r="I19" s="2795"/>
      <c r="J19" s="2795"/>
      <c r="K19" s="2796"/>
    </row>
    <row r="20" spans="1:14" s="2115" customFormat="1" ht="13.5" customHeight="1">
      <c r="A20" s="2828" t="s">
        <v>1856</v>
      </c>
      <c r="B20" s="2829" t="s">
        <v>490</v>
      </c>
      <c r="C20" s="2786">
        <f ca="1">C21+C22-IF(B1="",'数据-取费表'!B29,IF(G20="已全部缴纳",C21+C22,H20))</f>
        <v>3254</v>
      </c>
      <c r="D20" s="2832"/>
      <c r="E20" s="2786"/>
      <c r="F20" s="2833"/>
      <c r="G20" s="3064"/>
      <c r="H20" s="2788"/>
      <c r="I20" s="2789" t="s">
        <v>2652</v>
      </c>
      <c r="J20" s="2795"/>
      <c r="K20" s="2796"/>
    </row>
    <row r="21" spans="1:14" s="2115" customFormat="1" ht="13.5" customHeight="1">
      <c r="A21" s="2820" t="s">
        <v>1857</v>
      </c>
      <c r="B21" s="2821" t="s">
        <v>491</v>
      </c>
      <c r="C21" s="53">
        <f ca="1">ROUND(D21*E21/10000,0)</f>
        <v>2088</v>
      </c>
      <c r="D21" s="2822">
        <f ca="1">IF(B1="",'数据-汇总表'!E5,IF(INDIRECT("'数据-取费表'!c"&amp;$K$1)="住宅",INDIRECT("'数据-取费表'!k"&amp;$K$1),0))</f>
        <v>126572</v>
      </c>
      <c r="E21" s="53">
        <f>'数据-取费表'!B27</f>
        <v>165</v>
      </c>
      <c r="F21" s="2825"/>
      <c r="G21" s="26"/>
      <c r="H21" s="51"/>
      <c r="I21" s="51"/>
      <c r="J21" s="51"/>
      <c r="K21" s="2797"/>
    </row>
    <row r="22" spans="1:14" s="2115" customFormat="1" ht="13.5" customHeight="1">
      <c r="A22" s="2820" t="s">
        <v>1858</v>
      </c>
      <c r="B22" s="2821" t="s">
        <v>492</v>
      </c>
      <c r="C22" s="53">
        <f ca="1">ROUND(D22*E22/10000,0)</f>
        <v>1166</v>
      </c>
      <c r="D22" s="2822">
        <f ca="1">IF(B1="",'数据-汇总表'!E6,IF(INDIRECT("'数据-取费表'!c"&amp;$K$1)="住宅",INDIRECT("'数据-取费表'!s"&amp;$K$1),INDIRECT("'数据-取费表'!k"&amp;$K$1)+INDIRECT("'数据-取费表'!s"&amp;$K$1)))</f>
        <v>54245</v>
      </c>
      <c r="E22" s="53">
        <f>'数据-取费表'!B28</f>
        <v>215</v>
      </c>
      <c r="F22" s="2825"/>
      <c r="G22" s="26"/>
      <c r="H22" s="51"/>
      <c r="I22" s="51"/>
      <c r="J22" s="51"/>
      <c r="K22" s="2797"/>
    </row>
    <row r="23" spans="1:14" s="2115" customFormat="1" ht="13.5" customHeight="1">
      <c r="A23" s="2828" t="s">
        <v>1859</v>
      </c>
      <c r="B23" s="3010" t="s">
        <v>2835</v>
      </c>
      <c r="C23" s="2830">
        <f ca="1">ROUND((C18+C19+C20)*F23,0)</f>
        <v>1550</v>
      </c>
      <c r="D23" s="468"/>
      <c r="E23" s="468"/>
      <c r="F23" s="2834">
        <f>'数据-取费表'!B37</f>
        <v>0.02</v>
      </c>
      <c r="G23" s="2790" t="s">
        <v>2432</v>
      </c>
      <c r="H23" s="2791"/>
      <c r="I23" s="2791"/>
      <c r="J23" s="2791"/>
      <c r="K23" s="2792"/>
      <c r="L23" s="2117"/>
      <c r="M23" s="2117"/>
      <c r="N23" s="2117"/>
    </row>
    <row r="24" spans="1:14" s="2115" customFormat="1" ht="13.5" customHeight="1">
      <c r="A24" s="2828" t="s">
        <v>1860</v>
      </c>
      <c r="B24" s="3010" t="s">
        <v>2838</v>
      </c>
      <c r="C24" s="2830">
        <f ca="1">ROUND(C6*F24,0)</f>
        <v>6823</v>
      </c>
      <c r="D24" s="475"/>
      <c r="E24" s="473"/>
      <c r="F24" s="2834">
        <f>'数据-取费表'!B38</f>
        <v>0.01</v>
      </c>
      <c r="G24" s="2799" t="s">
        <v>499</v>
      </c>
      <c r="H24" s="2793"/>
      <c r="I24" s="2793"/>
      <c r="J24" s="2793"/>
      <c r="K24" s="279"/>
      <c r="L24" s="2117"/>
      <c r="M24" s="2117"/>
      <c r="N24" s="2117"/>
    </row>
    <row r="25" spans="1:14" s="2118"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7" customFormat="1" ht="13.5" customHeight="1">
      <c r="A26" s="2828" t="s">
        <v>1862</v>
      </c>
      <c r="B26" s="3011" t="s">
        <v>2837</v>
      </c>
      <c r="C26" s="2835">
        <f ca="1">C28</f>
        <v>5129</v>
      </c>
      <c r="D26" s="467">
        <f ca="1">C27</f>
        <v>0.12659999999999999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5"/>
      <c r="I26" s="2795"/>
      <c r="J26" s="2795"/>
      <c r="K26" s="2796"/>
    </row>
    <row r="27" spans="1:14" s="2119" customFormat="1" ht="13.5" customHeight="1">
      <c r="A27" s="803" t="s">
        <v>1857</v>
      </c>
      <c r="B27" s="2836" t="s">
        <v>496</v>
      </c>
      <c r="C27" s="2837">
        <f ca="1">ROUND(IF('数据-取费表'!B22&lt;=1,(1+C25)*F26*'数据-取费表'!B24,(1+C25)*(POWER((1+F26),'数据-取费表'!B24)-1)),4)</f>
        <v>0.12659999999999999</v>
      </c>
      <c r="D27" s="472"/>
      <c r="E27" s="473"/>
      <c r="F27" s="474"/>
      <c r="G27" s="2550" t="str">
        <f>IF('数据-取费表'!B22&lt;=1,"（1+取得税费率/(1+5%)）×年利率×建设期","（1+取得税费率）/(1+5%)×((1+年利率)^建设期-1)")</f>
        <v>（1+取得税费率）/(1+5%)×((1+年利率)^建设期-1)</v>
      </c>
      <c r="H27" s="2793"/>
      <c r="I27" s="2793"/>
      <c r="J27" s="2793"/>
      <c r="K27" s="279"/>
    </row>
    <row r="28" spans="1:14" s="2119" customFormat="1" ht="13.5" customHeight="1">
      <c r="A28" s="803" t="s">
        <v>1858</v>
      </c>
      <c r="B28" s="2836" t="s">
        <v>2839</v>
      </c>
      <c r="C28" s="2838">
        <f ca="1">ROUND(IF('数据-取费表'!B22&lt;=1,(C18+C19+C20+C23+C24)*F26*'数据-取费表'!B24/2,(C18+C19+C20+C23+C24)*(POWER((1+F26),'数据-取费表'!B24/2)-1)),0)</f>
        <v>5129</v>
      </c>
      <c r="D28" s="472"/>
      <c r="E28" s="473"/>
      <c r="F28" s="474"/>
      <c r="G28" s="2550" t="str">
        <f>IF('数据-取费表'!B22&lt;=1,"（1）-（4）项×年利率×建设期÷2","（1）-（4）项×((1+年利率)^(建设期÷2)-1)")</f>
        <v>（1）-（4）项×((1+年利率)^(建设期÷2)-1)</v>
      </c>
      <c r="H28" s="2793"/>
      <c r="I28" s="2793"/>
      <c r="J28" s="2793"/>
      <c r="K28" s="279"/>
    </row>
    <row r="29" spans="1:14" s="2119" customFormat="1" ht="13.5" customHeight="1">
      <c r="A29" s="2839" t="s">
        <v>1863</v>
      </c>
      <c r="B29" s="2829" t="s">
        <v>497</v>
      </c>
      <c r="C29" s="2830">
        <f ca="1">ROUND(C6*F29/(1+'数据-取费表'!C42),0)</f>
        <v>36391</v>
      </c>
      <c r="D29" s="468"/>
      <c r="E29" s="468"/>
      <c r="F29" s="3012">
        <f>'数据-取费表'!B41</f>
        <v>5.6000000000000001E-2</v>
      </c>
      <c r="G29" s="2799" t="s">
        <v>498</v>
      </c>
      <c r="H29" s="2791"/>
      <c r="I29" s="2791"/>
      <c r="J29" s="2791"/>
      <c r="K29" s="2792"/>
    </row>
    <row r="30" spans="1:14" s="2120" customFormat="1" ht="13.5" customHeight="1">
      <c r="A30" s="1634" t="s">
        <v>1864</v>
      </c>
      <c r="B30" s="2840" t="s">
        <v>500</v>
      </c>
      <c r="C30" s="2835">
        <f ca="1">C31</f>
        <v>127394</v>
      </c>
      <c r="D30" s="477">
        <f ca="1">C32</f>
        <v>0.15559999999999999</v>
      </c>
      <c r="E30" s="469" t="s">
        <v>495</v>
      </c>
      <c r="F30" s="471"/>
      <c r="G30" s="2798" t="s">
        <v>2977</v>
      </c>
      <c r="H30" s="2791"/>
      <c r="I30" s="2791"/>
      <c r="J30" s="2791"/>
      <c r="K30" s="2792"/>
    </row>
    <row r="31" spans="1:14" s="2119" customFormat="1" ht="13.5" customHeight="1">
      <c r="A31" s="803" t="s">
        <v>1857</v>
      </c>
      <c r="B31" s="2836"/>
      <c r="C31" s="450">
        <f ca="1">C18+C19+C20+C23+C24+C26+C29</f>
        <v>127394</v>
      </c>
      <c r="D31" s="472"/>
      <c r="E31" s="473"/>
      <c r="F31" s="474"/>
      <c r="G31" s="261"/>
      <c r="H31" s="2793"/>
      <c r="I31" s="2793"/>
      <c r="J31" s="2793"/>
      <c r="K31" s="279"/>
    </row>
    <row r="32" spans="1:14" s="2119" customFormat="1" ht="13.5" customHeight="1">
      <c r="A32" s="803" t="s">
        <v>1858</v>
      </c>
      <c r="B32" s="2836"/>
      <c r="C32" s="53">
        <f ca="1">ROUND(C25+D26,4)</f>
        <v>0.15559999999999999</v>
      </c>
      <c r="D32" s="472"/>
      <c r="E32" s="473"/>
      <c r="F32" s="474"/>
      <c r="G32" s="261"/>
      <c r="H32" s="2793"/>
      <c r="I32" s="2793"/>
      <c r="J32" s="2793"/>
      <c r="K32" s="279"/>
    </row>
    <row r="33" spans="1:11" s="2121" customFormat="1" ht="13.5" customHeight="1">
      <c r="A33" s="3009" t="s">
        <v>2834</v>
      </c>
      <c r="B33" s="3007" t="s">
        <v>2832</v>
      </c>
      <c r="C33" s="478">
        <f ca="1">C35</f>
        <v>6870</v>
      </c>
      <c r="D33" s="467">
        <f ca="1">C34</f>
        <v>8.2299999999999998E-2</v>
      </c>
      <c r="E33" s="469" t="s">
        <v>495</v>
      </c>
      <c r="F33" s="479">
        <f ca="1">IF(B1="",'数据-取费表'!Q16,INDIRECT("'数据-取费表'!q"&amp;$K$1))</f>
        <v>0.08</v>
      </c>
      <c r="G33" s="2794"/>
      <c r="H33" s="2795"/>
      <c r="I33" s="2795"/>
      <c r="J33" s="2795"/>
      <c r="K33" s="2796"/>
    </row>
    <row r="34" spans="1:11" s="2122" customFormat="1" ht="13.5" customHeight="1">
      <c r="A34" s="375" t="s">
        <v>1857</v>
      </c>
      <c r="B34" s="2841" t="s">
        <v>501</v>
      </c>
      <c r="C34" s="472">
        <f ca="1">ROUND((1+C25)*F33,4)</f>
        <v>8.2299999999999998E-2</v>
      </c>
      <c r="D34" s="472"/>
      <c r="E34" s="473"/>
      <c r="F34" s="480"/>
      <c r="G34" s="261" t="s">
        <v>2291</v>
      </c>
      <c r="H34" s="2793"/>
      <c r="I34" s="2793"/>
      <c r="J34" s="2793"/>
      <c r="K34" s="279"/>
    </row>
    <row r="35" spans="1:11" s="2122" customFormat="1" ht="13.5" customHeight="1" thickBot="1">
      <c r="A35" s="1635" t="s">
        <v>1858</v>
      </c>
      <c r="B35" s="3008" t="s">
        <v>2840</v>
      </c>
      <c r="C35" s="1627">
        <f ca="1">ROUND((C18+C19+C20+C23+C24)*F33,0)</f>
        <v>6870</v>
      </c>
      <c r="D35" s="1628"/>
      <c r="E35" s="2842"/>
      <c r="F35" s="1629"/>
      <c r="G35" s="2800"/>
      <c r="H35" s="2801"/>
      <c r="I35" s="2801"/>
      <c r="J35" s="2801"/>
      <c r="K35" s="2802"/>
    </row>
    <row r="36" spans="1:11" s="2084" customFormat="1" ht="13.5" customHeight="1" thickBot="1">
      <c r="A36" s="284" t="s">
        <v>1845</v>
      </c>
      <c r="B36" s="2804"/>
      <c r="C36" s="2843">
        <f ca="1">ROUND((C6-C30-C33)/(1+D30+D33),0)</f>
        <v>442740</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7"/>
      <c r="C1" s="2103"/>
      <c r="D1" s="2103"/>
      <c r="E1" s="2103"/>
      <c r="F1" s="2103"/>
      <c r="G1" s="2103"/>
      <c r="H1" s="2103"/>
      <c r="I1" s="2103"/>
      <c r="J1" s="2103"/>
      <c r="K1" s="422">
        <f>MATCH(B1,'数据-取费表'!A6:A16,0)+5</f>
        <v>9</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65470</v>
      </c>
      <c r="D13" s="451"/>
      <c r="E13" s="365"/>
      <c r="F13" s="452"/>
      <c r="G13" s="444"/>
      <c r="H13" s="447"/>
      <c r="I13" s="447"/>
      <c r="J13" s="447"/>
      <c r="K13" s="448"/>
    </row>
    <row r="14" spans="1:41" s="2115" customFormat="1" ht="13.5" customHeight="1">
      <c r="A14" s="1632" t="s">
        <v>1850</v>
      </c>
      <c r="B14" s="449" t="s">
        <v>480</v>
      </c>
      <c r="C14" s="53">
        <f ca="1">ROUND(C13*F14,0)</f>
        <v>1964</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2215</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3616</v>
      </c>
      <c r="D16" s="451">
        <f ca="1">IF(B1="",'数据-汇总表'!E3,INDIRECT("'数据-取费表'!K"&amp;$K$1)+INDIRECT("'数据-取费表'!S"&amp;$K$1))</f>
        <v>180817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982</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74247</v>
      </c>
      <c r="D18" s="461"/>
      <c r="E18" s="462"/>
      <c r="F18" s="462"/>
      <c r="G18" s="1326" t="s">
        <v>2433</v>
      </c>
      <c r="H18" s="447"/>
      <c r="I18" s="447"/>
      <c r="J18" s="447"/>
      <c r="K18" s="448"/>
    </row>
    <row r="19" spans="1:14" s="2118" customFormat="1" ht="13.5" customHeight="1">
      <c r="A19" s="1633" t="s">
        <v>1855</v>
      </c>
      <c r="B19" s="459" t="s">
        <v>493</v>
      </c>
      <c r="C19" s="460">
        <f ca="1">ROUND(C18*F19,0)</f>
        <v>1485</v>
      </c>
      <c r="D19" s="462"/>
      <c r="E19" s="462"/>
      <c r="F19" s="466">
        <f>'数据-取费表'!B37</f>
        <v>0.02</v>
      </c>
      <c r="G19" s="444" t="s">
        <v>503</v>
      </c>
      <c r="H19" s="447"/>
      <c r="I19" s="447"/>
      <c r="J19" s="447"/>
      <c r="K19" s="448"/>
      <c r="L19" s="2120"/>
      <c r="M19" s="2120"/>
      <c r="N19" s="2120"/>
    </row>
    <row r="20" spans="1:14" s="2118" customFormat="1" ht="13.5" customHeight="1">
      <c r="A20" s="1633" t="s">
        <v>1856</v>
      </c>
      <c r="B20" s="459" t="s">
        <v>504</v>
      </c>
      <c r="C20" s="3005">
        <f>F20</f>
        <v>0.01</v>
      </c>
      <c r="D20" s="469" t="s">
        <v>505</v>
      </c>
      <c r="E20" s="469"/>
      <c r="F20" s="486">
        <f>'数据-取费表'!B38</f>
        <v>0.01</v>
      </c>
      <c r="G20" s="1326" t="s">
        <v>506</v>
      </c>
      <c r="H20" s="447"/>
      <c r="I20" s="447"/>
      <c r="J20" s="447"/>
      <c r="K20" s="448"/>
      <c r="L20" s="2120"/>
      <c r="M20" s="2120"/>
      <c r="N20" s="2120"/>
    </row>
    <row r="21" spans="1:14" s="2120" customFormat="1" ht="13.5" customHeight="1">
      <c r="A21" s="1633" t="s">
        <v>1859</v>
      </c>
      <c r="B21" s="461" t="s">
        <v>494</v>
      </c>
      <c r="C21" s="470">
        <f ca="1">C22</f>
        <v>4523</v>
      </c>
      <c r="D21" s="467">
        <f ca="1">C23</f>
        <v>5.9999999999999995E-4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2455</v>
      </c>
    </row>
    <row r="22" spans="1:14" s="2119" customFormat="1" ht="13.5" customHeight="1">
      <c r="A22" s="1632" t="s">
        <v>1849</v>
      </c>
      <c r="B22" s="1327" t="s">
        <v>2436</v>
      </c>
      <c r="C22" s="487">
        <f ca="1">ROUND(IF('数据-取费表'!B22&lt;=1,(C18+C19)*F21*'数据-取费表'!B20/2,(C18+C19)*(POWER((1+F21),'数据-取费表'!B20/2)-1)),0)</f>
        <v>4523</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5.9999999999999995E-4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07" t="s">
        <v>2833</v>
      </c>
      <c r="C24" s="478">
        <f ca="1">C25</f>
        <v>6059</v>
      </c>
      <c r="D24" s="489">
        <f ca="1">C26</f>
        <v>8.0000000000000004E-4</v>
      </c>
      <c r="E24" s="469" t="s">
        <v>507</v>
      </c>
      <c r="F24" s="479">
        <f ca="1">IF(B1="",'数据-取费表'!Q16,INDIRECT("'数据-取费表'!q"&amp;$K$1))</f>
        <v>0.08</v>
      </c>
      <c r="G24" s="444"/>
      <c r="H24" s="447"/>
      <c r="I24" s="447"/>
      <c r="J24" s="447"/>
      <c r="K24" s="448"/>
    </row>
    <row r="25" spans="1:14" s="2119" customFormat="1" ht="13.5" customHeight="1">
      <c r="A25" s="1632" t="s">
        <v>1849</v>
      </c>
      <c r="B25" s="1327" t="s">
        <v>2437</v>
      </c>
      <c r="C25" s="490">
        <f ca="1">ROUND((C18+C19)*F24,0)</f>
        <v>6059</v>
      </c>
      <c r="D25" s="472"/>
      <c r="E25" s="473"/>
      <c r="F25" s="480"/>
      <c r="G25" s="1325" t="s">
        <v>2434</v>
      </c>
      <c r="H25" s="457"/>
      <c r="I25" s="457"/>
      <c r="J25" s="457"/>
      <c r="K25" s="458"/>
    </row>
    <row r="26" spans="1:14" s="2119" customFormat="1" ht="13.5" customHeight="1">
      <c r="A26" s="1632" t="s">
        <v>1850</v>
      </c>
      <c r="B26" s="1327" t="s">
        <v>509</v>
      </c>
      <c r="C26" s="491">
        <f ca="1">ROUND(F20*F24,4)</f>
        <v>8.0000000000000004E-4</v>
      </c>
      <c r="D26" s="472"/>
      <c r="E26" s="481"/>
      <c r="F26" s="480"/>
      <c r="G26" s="1325" t="s">
        <v>510</v>
      </c>
      <c r="H26" s="457"/>
      <c r="I26" s="457"/>
      <c r="J26" s="457"/>
      <c r="K26" s="458"/>
    </row>
    <row r="27" spans="1:14" s="2119" customFormat="1" ht="13.5" customHeight="1">
      <c r="A27" s="1636" t="s">
        <v>1868</v>
      </c>
      <c r="B27" s="459" t="s">
        <v>511</v>
      </c>
      <c r="C27" s="3006">
        <f>ROUND(F27/(1+'数据-取费表'!C42),4)</f>
        <v>5.33E-2</v>
      </c>
      <c r="D27" s="462" t="s">
        <v>2831</v>
      </c>
      <c r="E27" s="462"/>
      <c r="F27" s="466">
        <f>'数据-取费表'!B41</f>
        <v>5.6000000000000001E-2</v>
      </c>
      <c r="G27" s="1959" t="s">
        <v>2292</v>
      </c>
      <c r="H27" s="447"/>
      <c r="I27" s="447"/>
      <c r="J27" s="447"/>
      <c r="K27" s="448"/>
    </row>
    <row r="28" spans="1:14" s="2120" customFormat="1" ht="13.5" customHeight="1">
      <c r="A28" s="1636" t="s">
        <v>1869</v>
      </c>
      <c r="B28" s="476" t="s">
        <v>512</v>
      </c>
      <c r="C28" s="470">
        <f ca="1">ROUND((C18+C19+C21+C24)/(1-C20-D21-D24-C27),0)</f>
        <v>92285</v>
      </c>
      <c r="D28" s="477"/>
      <c r="E28" s="469"/>
      <c r="F28" s="471"/>
      <c r="G28" s="1326" t="s">
        <v>2435</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415" t="s">
        <v>522</v>
      </c>
      <c r="D6" s="3416"/>
      <c r="E6" s="3449" t="s">
        <v>523</v>
      </c>
      <c r="F6" s="3450"/>
      <c r="G6" s="3415" t="s">
        <v>524</v>
      </c>
      <c r="H6" s="3416"/>
      <c r="I6" s="3415" t="s">
        <v>525</v>
      </c>
      <c r="J6" s="3416"/>
      <c r="K6" s="514" t="s">
        <v>526</v>
      </c>
      <c r="L6" s="2132"/>
      <c r="M6" s="2133"/>
      <c r="N6" s="2133"/>
      <c r="O6" s="2133"/>
      <c r="P6" s="3417" t="s">
        <v>527</v>
      </c>
      <c r="Q6" s="3418"/>
      <c r="R6" s="3423" t="s">
        <v>523</v>
      </c>
      <c r="S6" s="3424"/>
      <c r="T6" s="3423" t="s">
        <v>524</v>
      </c>
      <c r="U6" s="3424"/>
      <c r="V6" s="3410" t="s">
        <v>525</v>
      </c>
      <c r="W6" s="3410"/>
      <c r="X6" s="1566"/>
      <c r="Y6" s="3423" t="s">
        <v>527</v>
      </c>
      <c r="Z6" s="3424"/>
      <c r="AA6" s="3412" t="s">
        <v>523</v>
      </c>
      <c r="AB6" s="3413" t="s">
        <v>524</v>
      </c>
      <c r="AC6" s="3412" t="s">
        <v>525</v>
      </c>
    </row>
    <row r="7" spans="1:29" ht="15">
      <c r="A7" s="515"/>
      <c r="B7" s="516"/>
      <c r="C7" s="3431" t="s">
        <v>2932</v>
      </c>
      <c r="D7" s="3432"/>
      <c r="E7" s="3451" t="s">
        <v>2933</v>
      </c>
      <c r="F7" s="3452"/>
      <c r="G7" s="3431" t="s">
        <v>2934</v>
      </c>
      <c r="H7" s="3432"/>
      <c r="I7" s="3431" t="s">
        <v>2935</v>
      </c>
      <c r="J7" s="3432"/>
      <c r="K7" s="514"/>
      <c r="L7" s="2132"/>
      <c r="M7" s="2133"/>
      <c r="N7" s="2133"/>
      <c r="O7" s="2133"/>
      <c r="P7" s="3419"/>
      <c r="Q7" s="3420"/>
      <c r="R7" s="3425"/>
      <c r="S7" s="3426"/>
      <c r="T7" s="3425"/>
      <c r="U7" s="3426"/>
      <c r="V7" s="3410"/>
      <c r="W7" s="3410"/>
      <c r="X7" s="1566"/>
      <c r="Y7" s="3425"/>
      <c r="Z7" s="3426"/>
      <c r="AA7" s="3413"/>
      <c r="AB7" s="3413"/>
      <c r="AC7" s="3413"/>
    </row>
    <row r="8" spans="1:29" ht="15.75" thickBot="1">
      <c r="A8" s="517"/>
      <c r="B8" s="518"/>
      <c r="C8" s="3429" t="s">
        <v>2936</v>
      </c>
      <c r="D8" s="3430"/>
      <c r="E8" s="3447" t="s">
        <v>2936</v>
      </c>
      <c r="F8" s="3448"/>
      <c r="G8" s="3429" t="s">
        <v>2936</v>
      </c>
      <c r="H8" s="3430"/>
      <c r="I8" s="3429" t="s">
        <v>2936</v>
      </c>
      <c r="J8" s="3430"/>
      <c r="K8" s="514" t="s">
        <v>528</v>
      </c>
      <c r="L8" s="2132"/>
      <c r="M8" s="2133"/>
      <c r="N8" s="2133"/>
      <c r="O8" s="2133"/>
      <c r="P8" s="3421"/>
      <c r="Q8" s="3422"/>
      <c r="R8" s="3425"/>
      <c r="S8" s="3426"/>
      <c r="T8" s="3427"/>
      <c r="U8" s="3428"/>
      <c r="V8" s="3410"/>
      <c r="W8" s="3410"/>
      <c r="X8" s="1566"/>
      <c r="Y8" s="3427"/>
      <c r="Z8" s="3428"/>
      <c r="AA8" s="3414"/>
      <c r="AB8" s="3414"/>
      <c r="AC8" s="3414"/>
    </row>
    <row r="9" spans="1:29" s="1219" customFormat="1" ht="15.75" thickBot="1">
      <c r="A9" s="2890"/>
      <c r="B9" s="2897" t="s">
        <v>529</v>
      </c>
      <c r="C9" s="519">
        <f>'数据-取费表'!B2</f>
        <v>43489</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40" t="s">
        <v>530</v>
      </c>
      <c r="Q9" s="3442"/>
      <c r="R9" s="1567" t="s">
        <v>8</v>
      </c>
      <c r="S9" s="1568">
        <f t="shared" ref="S9:S17" si="0">F9</f>
        <v>0</v>
      </c>
      <c r="T9" s="1567" t="s">
        <v>8</v>
      </c>
      <c r="U9" s="1568">
        <f t="shared" ref="U9:U17" si="1">H9</f>
        <v>0</v>
      </c>
      <c r="V9" s="1567" t="s">
        <v>8</v>
      </c>
      <c r="W9" s="1568">
        <f t="shared" ref="W9:W17" si="2">J9</f>
        <v>0</v>
      </c>
      <c r="X9" s="1569"/>
      <c r="Y9" s="3440" t="s">
        <v>530</v>
      </c>
      <c r="Z9" s="3441"/>
      <c r="AA9" s="1570" t="e">
        <f>D9/F9</f>
        <v>#DIV/0!</v>
      </c>
      <c r="AB9" s="1570" t="e">
        <f>D9/H9</f>
        <v>#DIV/0!</v>
      </c>
      <c r="AC9" s="1570"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40" t="s">
        <v>533</v>
      </c>
      <c r="Q10" s="3441"/>
      <c r="R10" s="1567" t="s">
        <v>8</v>
      </c>
      <c r="S10" s="1568">
        <f t="shared" si="0"/>
        <v>0</v>
      </c>
      <c r="T10" s="1567" t="s">
        <v>8</v>
      </c>
      <c r="U10" s="1568">
        <f t="shared" si="1"/>
        <v>0</v>
      </c>
      <c r="V10" s="1567" t="s">
        <v>8</v>
      </c>
      <c r="W10" s="1568">
        <f t="shared" si="2"/>
        <v>0</v>
      </c>
      <c r="X10" s="1569"/>
      <c r="Y10" s="3440" t="s">
        <v>533</v>
      </c>
      <c r="Z10" s="3441"/>
      <c r="AA10" s="1570" t="e">
        <f t="shared" ref="AA10:AA42" si="3">D10/F10</f>
        <v>#DIV/0!</v>
      </c>
      <c r="AB10" s="1570" t="e">
        <f t="shared" ref="AB10:AB42" si="4">D10/H10</f>
        <v>#DIV/0!</v>
      </c>
      <c r="AC10" s="1570" t="e">
        <f t="shared" ref="AC10:AC42" si="5">D10/J10</f>
        <v>#DIV/0!</v>
      </c>
    </row>
    <row r="11" spans="1:29" s="1219"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09" t="s">
        <v>535</v>
      </c>
      <c r="Q11" s="1150" t="str">
        <f t="shared" ref="Q11:Q17" si="6">B11</f>
        <v>用途</v>
      </c>
      <c r="R11" s="1567" t="s">
        <v>8</v>
      </c>
      <c r="S11" s="1568">
        <f t="shared" si="0"/>
        <v>100</v>
      </c>
      <c r="T11" s="1567" t="s">
        <v>8</v>
      </c>
      <c r="U11" s="1568">
        <f t="shared" si="1"/>
        <v>100</v>
      </c>
      <c r="V11" s="1567" t="s">
        <v>8</v>
      </c>
      <c r="W11" s="1568">
        <f t="shared" si="2"/>
        <v>100</v>
      </c>
      <c r="X11" s="1569"/>
      <c r="Y11" s="3349" t="s">
        <v>536</v>
      </c>
      <c r="Z11" s="1149" t="str">
        <f t="shared" ref="Z11:Z17" si="7">Q11</f>
        <v>用途</v>
      </c>
      <c r="AA11" s="1570">
        <f t="shared" si="3"/>
        <v>1</v>
      </c>
      <c r="AB11" s="1570">
        <f t="shared" si="4"/>
        <v>1</v>
      </c>
      <c r="AC11" s="1570">
        <f t="shared" si="5"/>
        <v>1</v>
      </c>
    </row>
    <row r="12" spans="1:29" s="1337"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7"/>
      <c r="M12" s="2177"/>
      <c r="N12" s="2177"/>
      <c r="O12" s="2138"/>
      <c r="P12" s="3409"/>
      <c r="Q12" s="1150" t="str">
        <f t="shared" si="6"/>
        <v>土地使用年限（年）</v>
      </c>
      <c r="R12" s="1567" t="s">
        <v>8</v>
      </c>
      <c r="S12" s="1568">
        <f t="shared" si="0"/>
        <v>100</v>
      </c>
      <c r="T12" s="1567" t="s">
        <v>8</v>
      </c>
      <c r="U12" s="1568">
        <f t="shared" si="1"/>
        <v>100</v>
      </c>
      <c r="V12" s="1567" t="s">
        <v>8</v>
      </c>
      <c r="W12" s="1568">
        <f t="shared" si="2"/>
        <v>100</v>
      </c>
      <c r="X12" s="1569"/>
      <c r="Y12" s="3349"/>
      <c r="Z12" s="1149" t="str">
        <f t="shared" si="7"/>
        <v>土地使用年限（年）</v>
      </c>
      <c r="AA12" s="1570">
        <f t="shared" si="3"/>
        <v>1</v>
      </c>
      <c r="AB12" s="1570">
        <f t="shared" si="4"/>
        <v>1</v>
      </c>
      <c r="AC12" s="1570">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09"/>
      <c r="Q13" s="1150" t="str">
        <f t="shared" si="6"/>
        <v>容积率</v>
      </c>
      <c r="R13" s="1567" t="s">
        <v>8</v>
      </c>
      <c r="S13" s="1568" t="e">
        <f t="shared" si="0"/>
        <v>#N/A</v>
      </c>
      <c r="T13" s="1567" t="s">
        <v>8</v>
      </c>
      <c r="U13" s="1568" t="e">
        <f t="shared" si="1"/>
        <v>#N/A</v>
      </c>
      <c r="V13" s="1567" t="s">
        <v>8</v>
      </c>
      <c r="W13" s="1568" t="e">
        <f t="shared" si="2"/>
        <v>#N/A</v>
      </c>
      <c r="X13" s="1569"/>
      <c r="Y13" s="3349"/>
      <c r="Z13" s="1149" t="str">
        <f t="shared" si="7"/>
        <v>容积率</v>
      </c>
      <c r="AA13" s="1570" t="e">
        <f t="shared" si="3"/>
        <v>#N/A</v>
      </c>
      <c r="AB13" s="1570" t="e">
        <f t="shared" si="4"/>
        <v>#N/A</v>
      </c>
      <c r="AC13" s="1570"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09"/>
      <c r="Q14" s="1150">
        <f t="shared" si="6"/>
        <v>111</v>
      </c>
      <c r="R14" s="1567" t="s">
        <v>8</v>
      </c>
      <c r="S14" s="1568">
        <f t="shared" si="0"/>
        <v>100</v>
      </c>
      <c r="T14" s="1567" t="s">
        <v>8</v>
      </c>
      <c r="U14" s="1568">
        <f t="shared" si="1"/>
        <v>100</v>
      </c>
      <c r="V14" s="1567" t="s">
        <v>8</v>
      </c>
      <c r="W14" s="1568">
        <f t="shared" si="2"/>
        <v>100</v>
      </c>
      <c r="X14" s="1569"/>
      <c r="Y14" s="3349"/>
      <c r="Z14" s="1149">
        <f t="shared" si="7"/>
        <v>111</v>
      </c>
      <c r="AA14" s="1570">
        <f>D14/F14</f>
        <v>1</v>
      </c>
      <c r="AB14" s="1570">
        <f>D14/H14</f>
        <v>1</v>
      </c>
      <c r="AC14" s="1570">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09"/>
      <c r="Q15" s="1150">
        <f t="shared" si="6"/>
        <v>111</v>
      </c>
      <c r="R15" s="1567" t="s">
        <v>8</v>
      </c>
      <c r="S15" s="1568">
        <f t="shared" si="0"/>
        <v>100</v>
      </c>
      <c r="T15" s="1567" t="s">
        <v>8</v>
      </c>
      <c r="U15" s="1568">
        <f t="shared" si="1"/>
        <v>100</v>
      </c>
      <c r="V15" s="1567" t="s">
        <v>8</v>
      </c>
      <c r="W15" s="1568">
        <f t="shared" si="2"/>
        <v>100</v>
      </c>
      <c r="X15" s="1569"/>
      <c r="Y15" s="3349"/>
      <c r="Z15" s="1149">
        <f t="shared" si="7"/>
        <v>111</v>
      </c>
      <c r="AA15" s="1570">
        <f t="shared" si="3"/>
        <v>1</v>
      </c>
      <c r="AB15" s="1570">
        <f t="shared" si="4"/>
        <v>1</v>
      </c>
      <c r="AC15" s="1570">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09"/>
      <c r="Q16" s="1150">
        <f t="shared" si="6"/>
        <v>111</v>
      </c>
      <c r="R16" s="1567" t="s">
        <v>8</v>
      </c>
      <c r="S16" s="1568">
        <f t="shared" si="0"/>
        <v>100</v>
      </c>
      <c r="T16" s="1567" t="s">
        <v>8</v>
      </c>
      <c r="U16" s="1568">
        <f t="shared" si="1"/>
        <v>100</v>
      </c>
      <c r="V16" s="1567" t="s">
        <v>8</v>
      </c>
      <c r="W16" s="1568">
        <f t="shared" si="2"/>
        <v>100</v>
      </c>
      <c r="X16" s="1569"/>
      <c r="Y16" s="3349"/>
      <c r="Z16" s="1149">
        <f t="shared" si="7"/>
        <v>111</v>
      </c>
      <c r="AA16" s="1570">
        <f t="shared" si="3"/>
        <v>1</v>
      </c>
      <c r="AB16" s="1570">
        <f t="shared" si="4"/>
        <v>1</v>
      </c>
      <c r="AC16" s="1570">
        <f t="shared" si="5"/>
        <v>1</v>
      </c>
    </row>
    <row r="17" spans="1:29" ht="57">
      <c r="A17" s="2888"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43" t="s">
        <v>540</v>
      </c>
      <c r="Q17" s="1571" t="str">
        <f t="shared" si="6"/>
        <v>产业集聚程度</v>
      </c>
      <c r="R17" s="1572" t="s">
        <v>8</v>
      </c>
      <c r="S17" s="1573">
        <f t="shared" si="0"/>
        <v>100</v>
      </c>
      <c r="T17" s="1572" t="s">
        <v>8</v>
      </c>
      <c r="U17" s="1573">
        <f t="shared" si="1"/>
        <v>100</v>
      </c>
      <c r="V17" s="1572" t="s">
        <v>8</v>
      </c>
      <c r="W17" s="1573">
        <f t="shared" si="2"/>
        <v>100</v>
      </c>
      <c r="X17" s="1566"/>
      <c r="Y17" s="3443"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44"/>
      <c r="Q18" s="1571"/>
      <c r="R18" s="1572"/>
      <c r="S18" s="1573"/>
      <c r="T18" s="1572"/>
      <c r="U18" s="1573"/>
      <c r="V18" s="1572"/>
      <c r="W18" s="1573"/>
      <c r="X18" s="1566"/>
      <c r="Y18" s="3444"/>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44"/>
      <c r="Q19" s="1571" t="str">
        <f>B19</f>
        <v>交通便捷度</v>
      </c>
      <c r="R19" s="1572" t="s">
        <v>8</v>
      </c>
      <c r="S19" s="1573">
        <f>F19</f>
        <v>100</v>
      </c>
      <c r="T19" s="1572" t="s">
        <v>8</v>
      </c>
      <c r="U19" s="1573">
        <f>H19</f>
        <v>100</v>
      </c>
      <c r="V19" s="1572" t="s">
        <v>8</v>
      </c>
      <c r="W19" s="1573">
        <f>J19</f>
        <v>100</v>
      </c>
      <c r="X19" s="1566"/>
      <c r="Y19" s="3444"/>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44"/>
      <c r="Q20" s="1571"/>
      <c r="R20" s="1572"/>
      <c r="S20" s="1573"/>
      <c r="T20" s="1572"/>
      <c r="U20" s="1573"/>
      <c r="V20" s="1572"/>
      <c r="W20" s="1573"/>
      <c r="X20" s="1566"/>
      <c r="Y20" s="3444"/>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44"/>
      <c r="Q21" s="1571" t="str">
        <f t="shared" ref="Q21:Q35" si="8">B21</f>
        <v>区域土地利用方向</v>
      </c>
      <c r="R21" s="1572" t="s">
        <v>8</v>
      </c>
      <c r="S21" s="1573">
        <f>F21</f>
        <v>100</v>
      </c>
      <c r="T21" s="1572" t="s">
        <v>8</v>
      </c>
      <c r="U21" s="1573">
        <f>H21</f>
        <v>100</v>
      </c>
      <c r="V21" s="1572" t="s">
        <v>8</v>
      </c>
      <c r="W21" s="1573">
        <f>J21</f>
        <v>100</v>
      </c>
      <c r="X21" s="1566"/>
      <c r="Y21" s="3444"/>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44"/>
      <c r="Q22" s="1571"/>
      <c r="R22" s="1572"/>
      <c r="S22" s="1573"/>
      <c r="T22" s="1572"/>
      <c r="U22" s="1573"/>
      <c r="V22" s="1572"/>
      <c r="W22" s="1573"/>
      <c r="X22" s="1566"/>
      <c r="Y22" s="3444"/>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44"/>
      <c r="Q23" s="1571" t="str">
        <f t="shared" si="8"/>
        <v>环境状况</v>
      </c>
      <c r="R23" s="1572" t="s">
        <v>8</v>
      </c>
      <c r="S23" s="1573">
        <f>F23</f>
        <v>100</v>
      </c>
      <c r="T23" s="1572" t="s">
        <v>8</v>
      </c>
      <c r="U23" s="1573">
        <f>H23</f>
        <v>100</v>
      </c>
      <c r="V23" s="1572" t="s">
        <v>8</v>
      </c>
      <c r="W23" s="1573">
        <f>J23</f>
        <v>100</v>
      </c>
      <c r="X23" s="1566"/>
      <c r="Y23" s="3444"/>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44"/>
      <c r="Q24" s="1571"/>
      <c r="R24" s="1572"/>
      <c r="S24" s="1573"/>
      <c r="T24" s="1572"/>
      <c r="U24" s="1573"/>
      <c r="V24" s="1572"/>
      <c r="W24" s="1573"/>
      <c r="X24" s="1566"/>
      <c r="Y24" s="3444"/>
      <c r="Z24" s="1574"/>
      <c r="AA24" s="1575">
        <v>1</v>
      </c>
      <c r="AB24" s="1575">
        <v>1</v>
      </c>
      <c r="AC24" s="1575">
        <v>1</v>
      </c>
    </row>
    <row r="25" spans="1:29" s="1219" customFormat="1" ht="42.75">
      <c r="A25" s="577"/>
      <c r="B25" s="2571"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44"/>
      <c r="Q25" s="1150" t="str">
        <f t="shared" si="8"/>
        <v>公共配套设施</v>
      </c>
      <c r="R25" s="1567" t="s">
        <v>8</v>
      </c>
      <c r="S25" s="1568">
        <f>F25</f>
        <v>100</v>
      </c>
      <c r="T25" s="1567" t="s">
        <v>8</v>
      </c>
      <c r="U25" s="1568">
        <f>H25</f>
        <v>100</v>
      </c>
      <c r="V25" s="1567" t="s">
        <v>8</v>
      </c>
      <c r="W25" s="1568">
        <f>J25</f>
        <v>100</v>
      </c>
      <c r="X25" s="1569"/>
      <c r="Y25" s="3444"/>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44"/>
      <c r="Q26" s="1150"/>
      <c r="R26" s="1567"/>
      <c r="S26" s="1568"/>
      <c r="T26" s="1567"/>
      <c r="U26" s="1568"/>
      <c r="V26" s="1567"/>
      <c r="W26" s="1568"/>
      <c r="X26" s="1569"/>
      <c r="Y26" s="3444"/>
      <c r="Z26" s="1149"/>
      <c r="AA26" s="1570">
        <v>1</v>
      </c>
      <c r="AB26" s="1570">
        <v>1</v>
      </c>
      <c r="AC26" s="1570">
        <v>1</v>
      </c>
    </row>
    <row r="27" spans="1:29" s="1219" customFormat="1" ht="28.5">
      <c r="A27" s="577"/>
      <c r="B27" s="2571"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44"/>
      <c r="Q27" s="2556" t="str">
        <f t="shared" ref="Q27" si="9">B27</f>
        <v>基础设施水平</v>
      </c>
      <c r="R27" s="1567" t="s">
        <v>8</v>
      </c>
      <c r="S27" s="1568">
        <f>F27</f>
        <v>100</v>
      </c>
      <c r="T27" s="1567" t="s">
        <v>8</v>
      </c>
      <c r="U27" s="1568">
        <f>H27</f>
        <v>100</v>
      </c>
      <c r="V27" s="1567" t="s">
        <v>8</v>
      </c>
      <c r="W27" s="1568">
        <f>J27</f>
        <v>100</v>
      </c>
      <c r="X27" s="1569"/>
      <c r="Y27" s="3444"/>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44"/>
      <c r="Q28" s="2556"/>
      <c r="R28" s="1567"/>
      <c r="S28" s="1568"/>
      <c r="T28" s="1567"/>
      <c r="U28" s="1568"/>
      <c r="V28" s="1567"/>
      <c r="W28" s="1568"/>
      <c r="X28" s="1569"/>
      <c r="Y28" s="3444"/>
      <c r="Z28" s="2553"/>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4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4"/>
      <c r="Z29" s="1574" t="str">
        <f t="shared" ref="Z29:Z42" si="13">Q29</f>
        <v>临街状况</v>
      </c>
      <c r="AA29" s="1575">
        <f t="shared" si="3"/>
        <v>1</v>
      </c>
      <c r="AB29" s="1575">
        <f t="shared" si="4"/>
        <v>1</v>
      </c>
      <c r="AC29" s="1575">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44"/>
      <c r="Q30" s="1571" t="str">
        <f t="shared" si="8"/>
        <v>毗邻道路的类型与等级</v>
      </c>
      <c r="R30" s="1572" t="s">
        <v>8</v>
      </c>
      <c r="S30" s="1573">
        <f t="shared" si="10"/>
        <v>100</v>
      </c>
      <c r="T30" s="1572" t="s">
        <v>8</v>
      </c>
      <c r="U30" s="1573">
        <f t="shared" si="11"/>
        <v>100</v>
      </c>
      <c r="V30" s="1572" t="s">
        <v>8</v>
      </c>
      <c r="W30" s="1573">
        <f t="shared" si="12"/>
        <v>100</v>
      </c>
      <c r="X30" s="1566"/>
      <c r="Y30" s="3444"/>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44"/>
      <c r="Q31" s="1571"/>
      <c r="R31" s="1572"/>
      <c r="S31" s="1573"/>
      <c r="T31" s="1572"/>
      <c r="U31" s="1573"/>
      <c r="V31" s="1572"/>
      <c r="W31" s="1573"/>
      <c r="X31" s="1566"/>
      <c r="Y31" s="3444"/>
      <c r="Z31" s="1574"/>
      <c r="AA31" s="1575">
        <v>1</v>
      </c>
      <c r="AB31" s="1575">
        <v>1</v>
      </c>
      <c r="AC31" s="1575">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44"/>
      <c r="Q32" s="1571" t="str">
        <f t="shared" si="8"/>
        <v>土地级别</v>
      </c>
      <c r="R32" s="1572" t="s">
        <v>8</v>
      </c>
      <c r="S32" s="1573">
        <f t="shared" si="10"/>
        <v>100</v>
      </c>
      <c r="T32" s="1572" t="s">
        <v>8</v>
      </c>
      <c r="U32" s="1573">
        <f t="shared" si="11"/>
        <v>100</v>
      </c>
      <c r="V32" s="1572" t="s">
        <v>8</v>
      </c>
      <c r="W32" s="1573">
        <f t="shared" si="12"/>
        <v>100</v>
      </c>
      <c r="X32" s="1566"/>
      <c r="Y32" s="3444"/>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44"/>
      <c r="Q33" s="1571">
        <f t="shared" si="8"/>
        <v>111</v>
      </c>
      <c r="R33" s="1572" t="s">
        <v>8</v>
      </c>
      <c r="S33" s="1573">
        <f t="shared" si="10"/>
        <v>100</v>
      </c>
      <c r="T33" s="1572" t="s">
        <v>8</v>
      </c>
      <c r="U33" s="1573">
        <f t="shared" si="11"/>
        <v>100</v>
      </c>
      <c r="V33" s="1572" t="s">
        <v>8</v>
      </c>
      <c r="W33" s="1573">
        <f t="shared" si="12"/>
        <v>100</v>
      </c>
      <c r="X33" s="1566"/>
      <c r="Y33" s="3444"/>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45" t="s">
        <v>550</v>
      </c>
      <c r="Q34" s="1571">
        <f t="shared" si="8"/>
        <v>111</v>
      </c>
      <c r="R34" s="1572" t="s">
        <v>8</v>
      </c>
      <c r="S34" s="1573">
        <f t="shared" si="10"/>
        <v>100</v>
      </c>
      <c r="T34" s="1572" t="s">
        <v>8</v>
      </c>
      <c r="U34" s="1573">
        <f t="shared" si="11"/>
        <v>100</v>
      </c>
      <c r="V34" s="1572" t="s">
        <v>8</v>
      </c>
      <c r="W34" s="1573">
        <f t="shared" si="12"/>
        <v>100</v>
      </c>
      <c r="X34" s="1566"/>
      <c r="Y34" s="3446" t="s">
        <v>550</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46"/>
      <c r="Q35" s="1571">
        <f t="shared" si="8"/>
        <v>111</v>
      </c>
      <c r="R35" s="1576" t="s">
        <v>8</v>
      </c>
      <c r="S35" s="1577">
        <f t="shared" si="10"/>
        <v>100</v>
      </c>
      <c r="T35" s="1576" t="s">
        <v>8</v>
      </c>
      <c r="U35" s="1577">
        <f t="shared" si="11"/>
        <v>100</v>
      </c>
      <c r="V35" s="1576" t="s">
        <v>8</v>
      </c>
      <c r="W35" s="1577">
        <f t="shared" si="12"/>
        <v>100</v>
      </c>
      <c r="X35" s="1578"/>
      <c r="Y35" s="3446"/>
      <c r="Z35" s="1579">
        <f t="shared" si="13"/>
        <v>111</v>
      </c>
      <c r="AA35" s="1575">
        <f t="shared" si="3"/>
        <v>1</v>
      </c>
      <c r="AB35" s="1575">
        <f t="shared" si="4"/>
        <v>1</v>
      </c>
      <c r="AC35" s="1575">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46"/>
      <c r="Q36" s="1571" t="str">
        <f>B36</f>
        <v>宗地面积</v>
      </c>
      <c r="R36" s="1572" t="s">
        <v>8</v>
      </c>
      <c r="S36" s="1573" t="e">
        <f t="shared" si="10"/>
        <v>#N/A</v>
      </c>
      <c r="T36" s="1572" t="s">
        <v>8</v>
      </c>
      <c r="U36" s="1573" t="e">
        <f t="shared" si="11"/>
        <v>#N/A</v>
      </c>
      <c r="V36" s="1572" t="s">
        <v>8</v>
      </c>
      <c r="W36" s="1573" t="e">
        <f t="shared" si="12"/>
        <v>#N/A</v>
      </c>
      <c r="X36" s="1566"/>
      <c r="Y36" s="3446"/>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46"/>
      <c r="Q37" s="1571" t="str">
        <f t="shared" ref="Q37:Q42" si="14">B37</f>
        <v>宗地形状</v>
      </c>
      <c r="R37" s="1572" t="s">
        <v>8</v>
      </c>
      <c r="S37" s="1573">
        <f t="shared" si="10"/>
        <v>100</v>
      </c>
      <c r="T37" s="1572" t="s">
        <v>8</v>
      </c>
      <c r="U37" s="1573">
        <f t="shared" si="11"/>
        <v>100</v>
      </c>
      <c r="V37" s="1572" t="s">
        <v>8</v>
      </c>
      <c r="W37" s="1573">
        <f t="shared" si="12"/>
        <v>100</v>
      </c>
      <c r="X37" s="1566"/>
      <c r="Y37" s="3446"/>
      <c r="Z37" s="1574" t="str">
        <f t="shared" si="13"/>
        <v>宗地形状</v>
      </c>
      <c r="AA37" s="1575">
        <f t="shared" si="3"/>
        <v>1</v>
      </c>
      <c r="AB37" s="1575">
        <f t="shared" si="4"/>
        <v>1</v>
      </c>
      <c r="AC37" s="1575">
        <f t="shared" si="5"/>
        <v>1</v>
      </c>
    </row>
    <row r="38" spans="1:29" s="1219" customFormat="1" ht="15">
      <c r="A38" s="600"/>
      <c r="B38" s="1894"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46"/>
      <c r="Q38" s="1571" t="str">
        <f t="shared" si="14"/>
        <v>宗地开发程度</v>
      </c>
      <c r="R38" s="1567" t="s">
        <v>8</v>
      </c>
      <c r="S38" s="1568">
        <f t="shared" si="10"/>
        <v>100</v>
      </c>
      <c r="T38" s="1567" t="s">
        <v>8</v>
      </c>
      <c r="U38" s="1568">
        <f t="shared" si="11"/>
        <v>100</v>
      </c>
      <c r="V38" s="1567" t="s">
        <v>8</v>
      </c>
      <c r="W38" s="1568">
        <f t="shared" si="12"/>
        <v>100</v>
      </c>
      <c r="X38" s="1569"/>
      <c r="Y38" s="3446"/>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46" t="s">
        <v>601</v>
      </c>
      <c r="Q39" s="1571" t="str">
        <f t="shared" si="14"/>
        <v>工程地质条件</v>
      </c>
      <c r="R39" s="1572" t="s">
        <v>8</v>
      </c>
      <c r="S39" s="1573">
        <f t="shared" si="10"/>
        <v>100</v>
      </c>
      <c r="T39" s="1572" t="s">
        <v>8</v>
      </c>
      <c r="U39" s="1573">
        <f t="shared" si="11"/>
        <v>100</v>
      </c>
      <c r="V39" s="1572" t="s">
        <v>8</v>
      </c>
      <c r="W39" s="1573">
        <f t="shared" si="12"/>
        <v>100</v>
      </c>
      <c r="X39" s="1566"/>
      <c r="Y39" s="3446"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46"/>
      <c r="Q40" s="1571">
        <f t="shared" si="14"/>
        <v>111</v>
      </c>
      <c r="R40" s="1572" t="s">
        <v>8</v>
      </c>
      <c r="S40" s="1573">
        <f t="shared" si="10"/>
        <v>100</v>
      </c>
      <c r="T40" s="1572" t="s">
        <v>8</v>
      </c>
      <c r="U40" s="1573">
        <f t="shared" si="11"/>
        <v>100</v>
      </c>
      <c r="V40" s="1572" t="s">
        <v>8</v>
      </c>
      <c r="W40" s="1573">
        <f t="shared" si="12"/>
        <v>100</v>
      </c>
      <c r="X40" s="1566"/>
      <c r="Y40" s="3446"/>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46"/>
      <c r="Q41" s="1571">
        <f t="shared" si="14"/>
        <v>111</v>
      </c>
      <c r="R41" s="1572" t="s">
        <v>8</v>
      </c>
      <c r="S41" s="1573">
        <f t="shared" si="10"/>
        <v>100</v>
      </c>
      <c r="T41" s="1572" t="s">
        <v>8</v>
      </c>
      <c r="U41" s="1573">
        <f t="shared" si="11"/>
        <v>100</v>
      </c>
      <c r="V41" s="1572" t="s">
        <v>8</v>
      </c>
      <c r="W41" s="1573">
        <f t="shared" si="12"/>
        <v>100</v>
      </c>
      <c r="X41" s="1566"/>
      <c r="Y41" s="3446"/>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46"/>
      <c r="Q42" s="1571">
        <f t="shared" si="14"/>
        <v>111</v>
      </c>
      <c r="R42" s="1576" t="s">
        <v>8</v>
      </c>
      <c r="S42" s="1577">
        <f t="shared" si="10"/>
        <v>100</v>
      </c>
      <c r="T42" s="1576" t="s">
        <v>8</v>
      </c>
      <c r="U42" s="1577">
        <f t="shared" si="11"/>
        <v>100</v>
      </c>
      <c r="V42" s="1576" t="s">
        <v>8</v>
      </c>
      <c r="W42" s="1577">
        <f t="shared" si="12"/>
        <v>100</v>
      </c>
      <c r="X42" s="1578"/>
      <c r="Y42" s="3446"/>
      <c r="Z42" s="1579">
        <f t="shared" si="13"/>
        <v>111</v>
      </c>
      <c r="AA42" s="1575">
        <f t="shared" si="3"/>
        <v>1</v>
      </c>
      <c r="AB42" s="1575">
        <f t="shared" si="4"/>
        <v>1</v>
      </c>
      <c r="AC42" s="1575">
        <f t="shared" si="5"/>
        <v>1</v>
      </c>
    </row>
    <row r="43" spans="1:29" ht="15">
      <c r="A43" s="607" t="s">
        <v>556</v>
      </c>
      <c r="B43" s="608" t="s">
        <v>2937</v>
      </c>
      <c r="C43" s="609" t="s">
        <v>1</v>
      </c>
      <c r="D43" s="610"/>
      <c r="E43" s="611"/>
      <c r="F43" s="612"/>
      <c r="G43" s="613"/>
      <c r="H43" s="614"/>
      <c r="I43" s="611"/>
      <c r="J43" s="614"/>
      <c r="K43" s="1339"/>
      <c r="L43" s="2143"/>
      <c r="M43" s="2133"/>
      <c r="N43" s="2133"/>
      <c r="O43" s="2144"/>
      <c r="P43" s="3409" t="str">
        <f>A43</f>
        <v>成交单价</v>
      </c>
      <c r="Q43" s="3409"/>
      <c r="R43" s="3410">
        <f>E43</f>
        <v>0</v>
      </c>
      <c r="S43" s="3410"/>
      <c r="T43" s="3410">
        <f>G43</f>
        <v>0</v>
      </c>
      <c r="U43" s="3410"/>
      <c r="V43" s="3410">
        <f>I43</f>
        <v>0</v>
      </c>
      <c r="W43" s="3410"/>
      <c r="X43" s="1558"/>
      <c r="Y43" s="1580"/>
      <c r="Z43" s="1558"/>
      <c r="AA43" s="1558"/>
      <c r="AB43" s="1558"/>
      <c r="AC43" s="1558"/>
    </row>
    <row r="44" spans="1:29" ht="15.75" thickBot="1">
      <c r="A44" s="615" t="s">
        <v>2694</v>
      </c>
      <c r="B44" s="616"/>
      <c r="C44" s="617" t="e">
        <f>R45</f>
        <v>#DIV/0!</v>
      </c>
      <c r="D44" s="618"/>
      <c r="E44" s="617" t="e">
        <f>R44</f>
        <v>#DIV/0!</v>
      </c>
      <c r="F44" s="619"/>
      <c r="G44" s="620" t="e">
        <f>T44</f>
        <v>#DIV/0!</v>
      </c>
      <c r="H44" s="618"/>
      <c r="I44" s="617" t="e">
        <f>V44</f>
        <v>#DIV/0!</v>
      </c>
      <c r="J44" s="618"/>
      <c r="K44" s="1340"/>
      <c r="L44" s="2143"/>
      <c r="M44" s="2133"/>
      <c r="N44" s="2133"/>
      <c r="O44" s="2144"/>
      <c r="P44" s="3409" t="str">
        <f>A44</f>
        <v>比较价格（元/平方米）</v>
      </c>
      <c r="Q44" s="3409"/>
      <c r="R44" s="3411" t="e">
        <f>ROUND(PRODUCT(R43,AA9:AA42),0)</f>
        <v>#DIV/0!</v>
      </c>
      <c r="S44" s="3411"/>
      <c r="T44" s="3411" t="e">
        <f>ROUND(PRODUCT(T43,AB9:AB42),0)</f>
        <v>#DIV/0!</v>
      </c>
      <c r="U44" s="3411"/>
      <c r="V44" s="3411" t="e">
        <f>ROUND(PRODUCT(V43,AC9:AC42),0)</f>
        <v>#DIV/0!</v>
      </c>
      <c r="W44" s="3411"/>
      <c r="X44" s="1558"/>
      <c r="Y44" s="1558"/>
      <c r="Z44" s="1558"/>
      <c r="AA44" s="1558"/>
      <c r="AB44" s="1558"/>
      <c r="AC44" s="1558"/>
    </row>
    <row r="45" spans="1:29" ht="15.75" thickBot="1">
      <c r="A45" s="621" t="s">
        <v>2938</v>
      </c>
      <c r="B45" s="622"/>
      <c r="C45" s="623" t="e">
        <f>R45</f>
        <v>#DIV/0!</v>
      </c>
      <c r="D45" s="623"/>
      <c r="E45" s="623"/>
      <c r="F45" s="623"/>
      <c r="G45" s="623"/>
      <c r="H45" s="623"/>
      <c r="I45" s="623"/>
      <c r="J45" s="623"/>
      <c r="K45" s="1341"/>
      <c r="L45" s="2143"/>
      <c r="M45" s="2133"/>
      <c r="N45" s="2133"/>
      <c r="O45" s="2144"/>
      <c r="P45" s="3406" t="str">
        <f>A45</f>
        <v>估价对象XX用房的比较价格（楼面单价，元/平方米）</v>
      </c>
      <c r="Q45" s="3407"/>
      <c r="R45" s="3408" t="e">
        <f>ROUND(AVERAGE(R44:V44),0)</f>
        <v>#DIV/0!</v>
      </c>
      <c r="S45" s="3408"/>
      <c r="T45" s="3408"/>
      <c r="U45" s="3408"/>
      <c r="V45" s="3408"/>
      <c r="W45" s="340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2294</v>
      </c>
      <c r="E52" s="631" t="s">
        <v>562</v>
      </c>
      <c r="F52" s="1950" t="s">
        <v>563</v>
      </c>
      <c r="G52" s="3453" t="s">
        <v>2285</v>
      </c>
      <c r="H52" s="3454"/>
      <c r="I52" s="1951" t="s">
        <v>1946</v>
      </c>
      <c r="J52" s="1554">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175537</v>
      </c>
      <c r="F53" s="1949" t="e">
        <f t="shared" ref="F53:F62" si="15">ROUND(B53*E53/10000,0)</f>
        <v>#DIV/0!</v>
      </c>
      <c r="G53" s="3455"/>
      <c r="H53" s="3456"/>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57" t="s">
        <v>2286</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57"/>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57"/>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57"/>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2329</v>
      </c>
      <c r="B58" s="638" t="e">
        <f t="shared" si="17"/>
        <v>#DIV/0!</v>
      </c>
      <c r="C58" s="378">
        <f t="shared" si="16"/>
        <v>0</v>
      </c>
      <c r="D58" s="2228">
        <v>0.25</v>
      </c>
      <c r="E58" s="641">
        <f>'数据-汇总表'!E11</f>
        <v>0</v>
      </c>
      <c r="F58" s="1949" t="e">
        <f t="shared" si="15"/>
        <v>#DIV/0!</v>
      </c>
      <c r="G58" s="1955" t="s">
        <v>2287</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2286</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2287</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2295</v>
      </c>
      <c r="E63" s="643">
        <f>IF(B43="楼面地价",SUM(E53:E62),'数据-汇总表'!D3)</f>
        <v>27818.76</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2534</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6" t="s">
        <v>2650</v>
      </c>
      <c r="B68" s="479" t="str">
        <f>"北京市平均增长率"&amp;TEXT(基准地价!P24,"0.00%")</f>
        <v>北京市平均增长率0.00%</v>
      </c>
      <c r="C68" s="893">
        <v>100</v>
      </c>
      <c r="D68" s="730"/>
      <c r="E68" s="730"/>
      <c r="F68" s="730"/>
      <c r="G68" s="730"/>
      <c r="H68" s="730"/>
      <c r="I68" s="730"/>
      <c r="J68" s="730"/>
      <c r="K68" s="730"/>
      <c r="L68" s="730"/>
      <c r="M68" s="2770"/>
      <c r="N68" s="2771"/>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8"/>
      <c r="D69" s="2769"/>
      <c r="E69" s="2769"/>
      <c r="F69" s="2769"/>
      <c r="G69" s="2769"/>
      <c r="H69" s="2769"/>
      <c r="I69" s="2769"/>
      <c r="J69" s="2769"/>
      <c r="K69" s="2769"/>
      <c r="L69" s="2769"/>
      <c r="M69" s="2769"/>
      <c r="N69" s="2769"/>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2549</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2551</v>
      </c>
      <c r="C95" s="2576" t="s">
        <v>2552</v>
      </c>
      <c r="D95" s="2576" t="s">
        <v>2553</v>
      </c>
      <c r="E95" s="2576" t="s">
        <v>2554</v>
      </c>
      <c r="F95" s="2576" t="s">
        <v>2555</v>
      </c>
      <c r="G95" s="2576" t="s">
        <v>2556</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2426</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2427</v>
      </c>
      <c r="D1" s="1520">
        <f>SUM(D29:D30,D33:D39)</f>
        <v>0</v>
      </c>
      <c r="E1" s="1405" t="s">
        <v>2428</v>
      </c>
      <c r="F1" s="2430"/>
      <c r="G1" s="1400"/>
      <c r="H1" s="1400"/>
      <c r="I1" s="1400"/>
      <c r="J1" s="1400"/>
      <c r="K1" s="1400"/>
      <c r="L1" s="1881" t="s">
        <v>2239</v>
      </c>
      <c r="M1" s="1882">
        <f>SUMPRODUCT((区片价!B5:B9=I2)*(区片价!C3:F3=E2)*(区片价!C5:F9))</f>
        <v>0</v>
      </c>
      <c r="N1" s="1883">
        <f>SUMPRODUCT((因素修正幅度!B5:B9=I2)*(因素修正幅度!C3:F3=E2)*(因素修正幅度!C5:F9))</f>
        <v>0</v>
      </c>
      <c r="O1" s="2188"/>
      <c r="P1" s="2188"/>
      <c r="Q1" s="2188"/>
      <c r="R1" s="2914" t="s">
        <v>2763</v>
      </c>
      <c r="S1" s="2914" t="s">
        <v>2764</v>
      </c>
      <c r="T1" s="2914" t="s">
        <v>2785</v>
      </c>
      <c r="U1" s="2914" t="s">
        <v>2786</v>
      </c>
      <c r="V1" s="2914" t="s">
        <v>2787</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2240</v>
      </c>
      <c r="M2" s="1885">
        <f>SUMPRODUCT((区片价!B10:B28=I2)*(区片价!C3:F3=E2)*(区片价!C10:F28))</f>
        <v>0</v>
      </c>
      <c r="N2" s="1886">
        <f>SUMPRODUCT((因素修正幅度!B10:B28=I2)*(因素修正幅度!C3:F3=E2)*(因素修正幅度!C10:F28))</f>
        <v>0</v>
      </c>
      <c r="O2" s="2188"/>
      <c r="P2" s="2188"/>
      <c r="Q2" s="2188"/>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2939</v>
      </c>
      <c r="G3" s="1038">
        <f>IF(F3="宗地容积率",'数据-汇总表'!I4,IF(F3="估价对象容积率",'数据-汇总表'!I6,'数据-汇总表'!I7))</f>
        <v>6.5</v>
      </c>
      <c r="H3" s="1413" t="s">
        <v>929</v>
      </c>
      <c r="I3" s="1039">
        <v>8</v>
      </c>
      <c r="J3" s="1409" t="s">
        <v>930</v>
      </c>
      <c r="K3" s="1400"/>
      <c r="L3" s="1884" t="s">
        <v>2241</v>
      </c>
      <c r="M3" s="1885">
        <f>SUMPRODUCT((区片价!B29:B48=I2)*(区片价!C3:F3=E2)*(区片价!C29:F48))</f>
        <v>0</v>
      </c>
      <c r="N3" s="1886">
        <f>SUMPRODUCT((因素修正幅度!B29:B48=I2)*(因素修正幅度!C3:F3=E2)*(因素修正幅度!C29:F48))</f>
        <v>0</v>
      </c>
      <c r="O3" s="2188"/>
      <c r="P3" s="2188"/>
      <c r="Q3" s="2188"/>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8"/>
      <c r="X3" s="2188"/>
      <c r="Y3" s="2188"/>
      <c r="Z3" s="2188"/>
      <c r="AA3" s="2188"/>
      <c r="AB3" s="2188"/>
      <c r="AC3" s="2189"/>
    </row>
    <row r="4" spans="1:39" ht="28.5">
      <c r="A4" s="1890" t="s">
        <v>2281</v>
      </c>
      <c r="B4" s="2431" t="e">
        <f>ROUND(B2*10000/F1,0)</f>
        <v>#DIV/0!</v>
      </c>
      <c r="C4" s="1893" t="s">
        <v>2255</v>
      </c>
      <c r="D4" s="1893" t="e">
        <f>ROUND(B2/(F1/666.67),0)</f>
        <v>#DIV/0!</v>
      </c>
      <c r="E4" s="1893" t="s">
        <v>2256</v>
      </c>
      <c r="F4" s="1891"/>
      <c r="G4" s="1891"/>
      <c r="H4" s="1891"/>
      <c r="I4" s="1891"/>
      <c r="J4" s="1892"/>
      <c r="K4" s="1400"/>
      <c r="L4" s="1884" t="s">
        <v>2242</v>
      </c>
      <c r="M4" s="1885">
        <f>SUMPRODUCT((区片价!B49:B75=I2)*(区片价!C3:F3=E2)*(区片价!C49:F75))</f>
        <v>0</v>
      </c>
      <c r="N4" s="1886">
        <f>SUMPRODUCT((因素修正幅度!B49:B75=I2)*(因素修正幅度!C3:F3=E2)*(因素修正幅度!C49:F75))</f>
        <v>0</v>
      </c>
      <c r="O4" s="2188"/>
      <c r="P4" s="2188"/>
      <c r="Q4" s="2188"/>
      <c r="R4" s="2915">
        <v>3</v>
      </c>
      <c r="S4" s="2915">
        <f>ROUND(IF(G3&gt;1,IF(R4&lt;7,SUMPRODUCT((B93:B98=R4)*(C92:N92=G2)*(C93:N98)),SUMIF(C92:N92,G2,C100:N100)),IF(R4&lt;7,SUMPRODUCT((B102:B107=R4)*(C92:N92=G2)*(C102:N107)),SUMIF(C92:N92,G2,C109:N109))),4)</f>
        <v>0</v>
      </c>
      <c r="T4" s="2915" t="e">
        <f t="shared" si="0"/>
        <v>#DIV/0!</v>
      </c>
      <c r="U4" s="2904"/>
      <c r="V4" s="2915"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096">
        <f>ROUND(IF(E2="商业",IF(F16="增加",C6+C16,C6-C16)),0)</f>
        <v>0</v>
      </c>
      <c r="E5" s="1415"/>
      <c r="F5" s="1415"/>
      <c r="G5" s="1416"/>
      <c r="H5" s="1416"/>
      <c r="I5" s="1416"/>
      <c r="J5" s="1417"/>
      <c r="K5" s="1593"/>
      <c r="L5" s="1884" t="s">
        <v>2243</v>
      </c>
      <c r="M5" s="1885">
        <f>SUMPRODUCT((区片价!B76:B109=I2)*(区片价!C3:F3=E2)*(区片价!C76:F109))</f>
        <v>0</v>
      </c>
      <c r="N5" s="1886">
        <f>SUMPRODUCT((因素修正幅度!B76:B109=I2)*(因素修正幅度!C3:F3=E2)*(因素修正幅度!C76:F109))</f>
        <v>0</v>
      </c>
      <c r="O5" s="2188"/>
      <c r="P5" s="2188"/>
      <c r="Q5" s="2188"/>
      <c r="R5" s="2915">
        <v>4</v>
      </c>
      <c r="S5" s="2915">
        <f>ROUND(IF(G3&gt;1,IF(R5&lt;7,SUMPRODUCT((B93:B98=R5)*(C92:N92=G2)*(C93:N98)),SUMIF(C92:N92,G2,C100:N100)),IF(R5&lt;7,SUMPRODUCT((B102:B107=R5)*(C92:N92=G2)*(C102:N107)),SUMIF(C92:N92,G2,C109:N109))),4)</f>
        <v>0</v>
      </c>
      <c r="T5" s="2915" t="e">
        <f t="shared" si="0"/>
        <v>#DIV/0!</v>
      </c>
      <c r="U5" s="2904"/>
      <c r="V5" s="2915"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2244</v>
      </c>
      <c r="M6" s="1885">
        <f>SUMPRODUCT((区片价!B110:B157=I2)*(区片价!C3:F3=E2)*(区片价!C110:F157))</f>
        <v>0</v>
      </c>
      <c r="N6" s="1886">
        <f>SUMPRODUCT((因素修正幅度!B110:B157=I2)*(因素修正幅度!C3:F3=E2)*(因素修正幅度!C110:F157))</f>
        <v>0</v>
      </c>
      <c r="O6" s="2188"/>
      <c r="P6" s="2188"/>
      <c r="Q6" s="2188"/>
      <c r="R6" s="2915">
        <v>5</v>
      </c>
      <c r="S6" s="2915">
        <f>ROUND(IF(G3&gt;1,IF(R6&lt;7,SUMPRODUCT((B93:B98=R6)*(C92:N92=G2)*(C93:N98)),SUMIF(C92:N92,G2,C100:N100)),IF(R6&lt;7,SUMPRODUCT((B102:B107=R6)*(C92:N92=G2)*(C102:N107)),SUMIF(C92:N92,G2,C109:N109))),4)</f>
        <v>0</v>
      </c>
      <c r="T6" s="2915" t="e">
        <f t="shared" si="0"/>
        <v>#DIV/0!</v>
      </c>
      <c r="U6" s="2904"/>
      <c r="V6" s="2915" t="e">
        <f t="shared" si="1"/>
        <v>#DIV/0!</v>
      </c>
      <c r="W6" s="2188"/>
      <c r="X6" s="2188"/>
      <c r="Y6" s="2188"/>
      <c r="Z6" s="2188"/>
      <c r="AA6" s="2188"/>
      <c r="AB6" s="2188"/>
      <c r="AC6" s="2190"/>
      <c r="AD6" s="1418"/>
      <c r="AE6" s="1418"/>
      <c r="AF6" s="1418"/>
      <c r="AG6" s="1418"/>
      <c r="AH6" s="1418"/>
      <c r="AI6" s="1418"/>
      <c r="AJ6" s="1419"/>
    </row>
    <row r="7" spans="1:39" ht="24">
      <c r="A7" s="3467" t="str">
        <f>IF(E2="商业",IF(C8="不临58条商业街","",2),"")</f>
        <v/>
      </c>
      <c r="B7" s="1426" t="s">
        <v>932</v>
      </c>
      <c r="C7" s="1042" t="e">
        <f>IF(C8="不临58条商业街",1,ROUND(1+(1.6*E8+1.2*E9+0.8*E10+0.4*E11)*C9,4))</f>
        <v>#DIV/0!</v>
      </c>
      <c r="D7" s="1427" t="s">
        <v>933</v>
      </c>
      <c r="E7" s="1043"/>
      <c r="F7" s="1428"/>
      <c r="G7" s="1429"/>
      <c r="H7" s="1429"/>
      <c r="I7" s="1429"/>
      <c r="J7" s="1430"/>
      <c r="K7" s="1594"/>
      <c r="L7" s="1884" t="s">
        <v>2245</v>
      </c>
      <c r="M7" s="1885">
        <f>SUMPRODUCT((区片价!B158:B205=I2)*(区片价!C3:F3=E2)*(区片价!C158:F205))</f>
        <v>0</v>
      </c>
      <c r="N7" s="1886">
        <f>SUMPRODUCT((因素修正幅度!B158:B205=I2)*(因素修正幅度!C3:F3=E2)*(因素修正幅度!C158:F205))</f>
        <v>0</v>
      </c>
      <c r="O7" s="2188"/>
      <c r="P7" s="2188"/>
      <c r="Q7" s="2188"/>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6.5</v>
      </c>
      <c r="AA7" s="2191"/>
      <c r="AB7" s="2191"/>
      <c r="AC7" s="2192"/>
      <c r="AD7" s="2907"/>
      <c r="AE7" s="2907"/>
      <c r="AF7" s="2907"/>
      <c r="AG7" s="2907"/>
      <c r="AH7" s="2907"/>
      <c r="AI7" s="2907"/>
      <c r="AJ7" s="2908"/>
    </row>
    <row r="8" spans="1:39" ht="15">
      <c r="A8" s="3468"/>
      <c r="B8" s="1413" t="s">
        <v>934</v>
      </c>
      <c r="C8" s="1528"/>
      <c r="D8" s="1044" t="s">
        <v>935</v>
      </c>
      <c r="E8" s="1045" t="e">
        <f>ROUND(C11/E7,4)</f>
        <v>#DIV/0!</v>
      </c>
      <c r="F8" s="1431" t="s">
        <v>936</v>
      </c>
      <c r="G8" s="1432"/>
      <c r="H8" s="1432"/>
      <c r="I8" s="1432"/>
      <c r="J8" s="1433"/>
      <c r="K8" s="1400"/>
      <c r="L8" s="1884" t="s">
        <v>2246</v>
      </c>
      <c r="M8" s="1885">
        <f>SUMPRODUCT((区片价!B206:B244=I2)*(区片价!C3:F3=E2)*(区片价!C206:F244))</f>
        <v>0</v>
      </c>
      <c r="N8" s="1886">
        <f>SUMPRODUCT((因素修正幅度!B206:B244=I2)*(因素修正幅度!C3:F3=E2)*(因素修正幅度!C206:F244))</f>
        <v>0</v>
      </c>
      <c r="O8" s="2188"/>
      <c r="P8" s="2188"/>
      <c r="Q8" s="2188"/>
      <c r="R8" s="2915">
        <v>7</v>
      </c>
      <c r="S8" s="2904"/>
      <c r="T8" s="2915" t="e">
        <f t="shared" si="0"/>
        <v>#DIV/0!</v>
      </c>
      <c r="U8" s="2904"/>
      <c r="V8" s="2915" t="e">
        <f t="shared" si="1"/>
        <v>#DIV/0!</v>
      </c>
      <c r="W8" s="3459" t="s">
        <v>2784</v>
      </c>
      <c r="X8" s="3460"/>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68"/>
      <c r="B9" s="1413" t="s">
        <v>937</v>
      </c>
      <c r="C9" s="1046">
        <f>SUMIF(修正!C59:C119,C8,修正!E59:E119)</f>
        <v>0</v>
      </c>
      <c r="D9" s="1047" t="s">
        <v>938</v>
      </c>
      <c r="E9" s="1047" t="e">
        <f>ROUND(C11/E7,4)</f>
        <v>#DIV/0!</v>
      </c>
      <c r="F9" s="1431" t="s">
        <v>939</v>
      </c>
      <c r="G9" s="1432"/>
      <c r="H9" s="1432"/>
      <c r="I9" s="1432"/>
      <c r="J9" s="1433"/>
      <c r="K9" s="1400"/>
      <c r="L9" s="1884" t="s">
        <v>2247</v>
      </c>
      <c r="M9" s="1885">
        <f>SUMPRODUCT((区片价!B245:B289=I2)*(区片价!C3:F3=E2)*(区片价!C245:F289))</f>
        <v>0</v>
      </c>
      <c r="N9" s="1886">
        <f>SUMPRODUCT((因素修正幅度!B245:B289=I2)*(因素修正幅度!C3:F3=E2)*(因素修正幅度!C245:F289))</f>
        <v>0</v>
      </c>
      <c r="O9" s="2188"/>
      <c r="P9" s="2188"/>
      <c r="Q9" s="2188"/>
      <c r="R9" s="2915">
        <v>8</v>
      </c>
      <c r="S9" s="2904"/>
      <c r="T9" s="2915" t="e">
        <f t="shared" si="0"/>
        <v>#DIV/0!</v>
      </c>
      <c r="U9" s="2904"/>
      <c r="V9" s="2915" t="e">
        <f t="shared" si="1"/>
        <v>#DIV/0!</v>
      </c>
      <c r="W9" s="3458"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68"/>
      <c r="B10" s="1413" t="s">
        <v>940</v>
      </c>
      <c r="C10" s="1047">
        <f>SUMIF(修正!C59:C119,C8,修正!F59:F119)</f>
        <v>0</v>
      </c>
      <c r="D10" s="1047" t="s">
        <v>941</v>
      </c>
      <c r="E10" s="1047" t="e">
        <f>ROUND(C11/E7,4)</f>
        <v>#DIV/0!</v>
      </c>
      <c r="F10" s="1431" t="s">
        <v>942</v>
      </c>
      <c r="G10" s="1432"/>
      <c r="H10" s="1432"/>
      <c r="I10" s="1432"/>
      <c r="J10" s="1433"/>
      <c r="K10" s="1400"/>
      <c r="L10" s="1884" t="s">
        <v>2248</v>
      </c>
      <c r="M10" s="1885">
        <f>SUMPRODUCT((区片价!B290:B316=I2)*(区片价!C3:F3=E2)*(区片价!C290:F316))</f>
        <v>0</v>
      </c>
      <c r="N10" s="1886">
        <f>SUMPRODUCT((因素修正幅度!B290:B316=I2)*(因素修正幅度!C3:F3=E2)*(因素修正幅度!C290:F316))</f>
        <v>0</v>
      </c>
      <c r="O10" s="2188"/>
      <c r="P10" s="2188"/>
      <c r="Q10" s="2188"/>
      <c r="R10" s="2915">
        <v>9</v>
      </c>
      <c r="S10" s="2904"/>
      <c r="T10" s="2915" t="e">
        <f t="shared" si="0"/>
        <v>#DIV/0!</v>
      </c>
      <c r="U10" s="2904"/>
      <c r="V10" s="2915" t="e">
        <f t="shared" si="1"/>
        <v>#DIV/0!</v>
      </c>
      <c r="W10" s="3458"/>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68"/>
      <c r="B11" s="1434" t="s">
        <v>943</v>
      </c>
      <c r="C11" s="1048">
        <f>C10/4</f>
        <v>0</v>
      </c>
      <c r="D11" s="1048" t="s">
        <v>944</v>
      </c>
      <c r="E11" s="1048" t="e">
        <f>ROUND(C11/E7,4)</f>
        <v>#DIV/0!</v>
      </c>
      <c r="F11" s="1435" t="s">
        <v>945</v>
      </c>
      <c r="G11" s="1436"/>
      <c r="H11" s="1436"/>
      <c r="I11" s="1436"/>
      <c r="J11" s="1437"/>
      <c r="K11" s="1400"/>
      <c r="L11" s="1884" t="s">
        <v>2249</v>
      </c>
      <c r="M11" s="1885">
        <f>SUMPRODUCT((区片价!B317:B337=I2)*(区片价!C3:F3=E2)*(区片价!C317:F337))</f>
        <v>0</v>
      </c>
      <c r="N11" s="1886">
        <f>SUMPRODUCT((因素修正幅度!B317:B337=I2)*(因素修正幅度!C3:F3=E2)*(因素修正幅度!C317:F337))</f>
        <v>0</v>
      </c>
      <c r="O11" s="2188"/>
      <c r="P11" s="2188"/>
      <c r="Q11" s="2188"/>
      <c r="R11" s="2915">
        <v>10</v>
      </c>
      <c r="S11" s="2904"/>
      <c r="T11" s="2915" t="e">
        <f t="shared" si="0"/>
        <v>#DIV/0!</v>
      </c>
      <c r="U11" s="2904"/>
      <c r="V11" s="2915" t="e">
        <f t="shared" si="1"/>
        <v>#DIV/0!</v>
      </c>
      <c r="W11" s="3458" t="s">
        <v>2782</v>
      </c>
      <c r="X11" s="1047" t="s">
        <v>2767</v>
      </c>
      <c r="Y11" s="1652">
        <f>$G$3</f>
        <v>6.5</v>
      </c>
      <c r="Z11" s="1652">
        <f t="shared" ref="Z11:AJ11" si="3">$G$3</f>
        <v>6.5</v>
      </c>
      <c r="AA11" s="1652">
        <f t="shared" si="3"/>
        <v>6.5</v>
      </c>
      <c r="AB11" s="1652">
        <f t="shared" si="3"/>
        <v>6.5</v>
      </c>
      <c r="AC11" s="1652">
        <f t="shared" si="3"/>
        <v>6.5</v>
      </c>
      <c r="AD11" s="1652">
        <f t="shared" si="3"/>
        <v>6.5</v>
      </c>
      <c r="AE11" s="1652">
        <f t="shared" si="3"/>
        <v>6.5</v>
      </c>
      <c r="AF11" s="1652">
        <f t="shared" si="3"/>
        <v>6.5</v>
      </c>
      <c r="AG11" s="1652">
        <f t="shared" si="3"/>
        <v>6.5</v>
      </c>
      <c r="AH11" s="1652">
        <f t="shared" si="3"/>
        <v>6.5</v>
      </c>
      <c r="AI11" s="1652">
        <f t="shared" si="3"/>
        <v>6.5</v>
      </c>
      <c r="AJ11" s="1652">
        <f t="shared" si="3"/>
        <v>6.5</v>
      </c>
    </row>
    <row r="12" spans="1:39" ht="25.5" thickBot="1">
      <c r="A12" s="3467" t="s">
        <v>1872</v>
      </c>
      <c r="B12" s="1438" t="s">
        <v>946</v>
      </c>
      <c r="C12" s="1042">
        <f>ROUND(C15*D15*E15*F15*G15*H15*I15*J15,4)</f>
        <v>1</v>
      </c>
      <c r="D12" s="1439" t="s">
        <v>947</v>
      </c>
      <c r="E12" s="1440"/>
      <c r="F12" s="1440"/>
      <c r="G12" s="1441"/>
      <c r="H12" s="1441"/>
      <c r="I12" s="1441"/>
      <c r="J12" s="1442"/>
      <c r="K12" s="1400"/>
      <c r="L12" s="1887" t="s">
        <v>2250</v>
      </c>
      <c r="M12" s="1888">
        <f>SUMPRODUCT((区片价!B338:B344=I2)*(区片价!C3:F3=E2)*(区片价!C338:F344))</f>
        <v>0</v>
      </c>
      <c r="N12" s="1889">
        <f>SUMPRODUCT((因素修正幅度!B338:B344=I2)*(因素修正幅度!C3:F3=E2)*(因素修正幅度!C338:F344))</f>
        <v>0</v>
      </c>
      <c r="O12" s="2188"/>
      <c r="P12" s="2188"/>
      <c r="Q12" s="2188"/>
      <c r="R12" s="2915">
        <v>11</v>
      </c>
      <c r="S12" s="2904"/>
      <c r="T12" s="2915" t="e">
        <f t="shared" si="0"/>
        <v>#DIV/0!</v>
      </c>
      <c r="U12" s="2904"/>
      <c r="V12" s="2915" t="e">
        <f t="shared" si="1"/>
        <v>#DIV/0!</v>
      </c>
      <c r="W12" s="3458"/>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69"/>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15">
        <v>12</v>
      </c>
      <c r="S13" s="2904"/>
      <c r="T13" s="2915" t="e">
        <f t="shared" si="0"/>
        <v>#DIV/0!</v>
      </c>
      <c r="U13" s="2904"/>
      <c r="V13" s="2915" t="e">
        <f t="shared" si="1"/>
        <v>#DIV/0!</v>
      </c>
      <c r="W13" s="3458"/>
      <c r="X13" s="2912"/>
      <c r="Y13" s="2911">
        <f>(-0.163*(Y12^2)-0.59*Y12+7617)*(10^(-4))/Y11</f>
        <v>0.11718461538461539</v>
      </c>
      <c r="Z13" s="2911">
        <f t="shared" ref="Z13:AJ13" si="5">(-0.163*(Z12^2)-0.59*Z12+7617)*(10^(-4))/Z11</f>
        <v>0.11718461538461539</v>
      </c>
      <c r="AA13" s="2911">
        <f t="shared" si="5"/>
        <v>0.11718461538461539</v>
      </c>
      <c r="AB13" s="2911">
        <f t="shared" si="5"/>
        <v>0.11718461538461539</v>
      </c>
      <c r="AC13" s="2911">
        <f t="shared" si="5"/>
        <v>0.11718461538461539</v>
      </c>
      <c r="AD13" s="2911">
        <f t="shared" si="5"/>
        <v>0.11718461538461539</v>
      </c>
      <c r="AE13" s="2911">
        <f t="shared" si="5"/>
        <v>0.11718461538461539</v>
      </c>
      <c r="AF13" s="2911">
        <f t="shared" si="5"/>
        <v>0.11718461538461539</v>
      </c>
      <c r="AG13" s="2911">
        <f t="shared" si="5"/>
        <v>0.11718461538461539</v>
      </c>
      <c r="AH13" s="2911">
        <f t="shared" si="5"/>
        <v>0.11718461538461539</v>
      </c>
      <c r="AI13" s="2911">
        <f t="shared" si="5"/>
        <v>0.11718461538461539</v>
      </c>
      <c r="AJ13" s="2911">
        <f t="shared" si="5"/>
        <v>0.11718461538461539</v>
      </c>
    </row>
    <row r="14" spans="1:39" ht="12.75" customHeight="1" thickBot="1">
      <c r="A14" s="3469"/>
      <c r="B14" s="1450"/>
      <c r="C14" s="1451"/>
      <c r="D14" s="1452"/>
      <c r="E14" s="1452"/>
      <c r="F14" s="1453"/>
      <c r="G14" s="1454" t="s">
        <v>949</v>
      </c>
      <c r="H14" s="1455"/>
      <c r="I14" s="1456"/>
      <c r="J14" s="1457"/>
      <c r="K14" s="1400"/>
      <c r="L14" s="2188"/>
      <c r="M14" s="2188"/>
      <c r="N14" s="2188"/>
      <c r="O14" s="2188"/>
      <c r="P14" s="2188"/>
      <c r="Q14" s="2188"/>
      <c r="R14" s="2915">
        <v>13</v>
      </c>
      <c r="S14" s="2904"/>
      <c r="T14" s="2915" t="e">
        <f t="shared" si="0"/>
        <v>#DIV/0!</v>
      </c>
      <c r="U14" s="2904"/>
      <c r="V14" s="2915" t="e">
        <f t="shared" si="1"/>
        <v>#DIV/0!</v>
      </c>
      <c r="W14" s="2188"/>
      <c r="X14" s="2188"/>
      <c r="Y14" s="2188"/>
      <c r="Z14" s="2188"/>
      <c r="AA14" s="2188"/>
      <c r="AB14" s="2188"/>
      <c r="AC14" s="2189"/>
    </row>
    <row r="15" spans="1:39" ht="13.5" customHeight="1" thickBot="1">
      <c r="A15" s="3470"/>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15">
        <v>14</v>
      </c>
      <c r="S15" s="2904"/>
      <c r="T15" s="2915" t="e">
        <f t="shared" si="0"/>
        <v>#DIV/0!</v>
      </c>
      <c r="U15" s="2904"/>
      <c r="V15" s="2915" t="e">
        <f t="shared" si="1"/>
        <v>#DIV/0!</v>
      </c>
      <c r="W15" s="2188"/>
      <c r="X15" s="2188"/>
      <c r="Y15" s="2188"/>
      <c r="Z15" s="2188"/>
      <c r="AA15" s="2188"/>
      <c r="AB15" s="2188"/>
      <c r="AC15" s="2189"/>
    </row>
    <row r="16" spans="1:39" ht="24">
      <c r="A16" s="3467"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15">
        <v>15</v>
      </c>
      <c r="S16" s="2904"/>
      <c r="T16" s="2915" t="e">
        <f t="shared" si="0"/>
        <v>#DIV/0!</v>
      </c>
      <c r="U16" s="2904"/>
      <c r="V16" s="2915" t="e">
        <f t="shared" si="1"/>
        <v>#DIV/0!</v>
      </c>
      <c r="W16" s="2191"/>
      <c r="X16" s="2191"/>
      <c r="Y16" s="2191"/>
      <c r="Z16" s="2191"/>
      <c r="AA16" s="2191"/>
      <c r="AB16" s="2191"/>
      <c r="AC16" s="2192"/>
    </row>
    <row r="17" spans="1:40" ht="13.5" thickBot="1">
      <c r="A17" s="3468"/>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50" t="s">
        <v>956</v>
      </c>
      <c r="C18" s="2751">
        <f>SUMIF(修正!C18:C39,E3,修正!E18:E39)</f>
        <v>0</v>
      </c>
      <c r="D18" s="2752"/>
      <c r="E18" s="2753"/>
      <c r="F18" s="2754"/>
      <c r="G18" s="2748"/>
      <c r="H18" s="2748"/>
      <c r="I18" s="2748"/>
      <c r="J18" s="2755"/>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43489</v>
      </c>
      <c r="H19" s="1474" t="s">
        <v>2940</v>
      </c>
      <c r="I19" s="2762" t="str">
        <f>IF(H19="季度增幅（自定义）",SUMIF(N21:N24,E2,O21:O24),"")</f>
        <v/>
      </c>
      <c r="J19" s="1470"/>
      <c r="K19" s="1480"/>
      <c r="L19" s="3015" t="s">
        <v>2842</v>
      </c>
      <c r="M19" s="3016">
        <f>ROUND(SUMIF(地价!B2:F2,E2,地价!B24:F24),0)</f>
        <v>0</v>
      </c>
      <c r="N19" s="2764" t="s">
        <v>1677</v>
      </c>
      <c r="O19" s="2763">
        <f>ROUNDDOWN(DATEDIF(E19,G19,"M")/3,0)</f>
        <v>20</v>
      </c>
      <c r="P19" s="1595"/>
      <c r="R19" s="2903"/>
      <c r="S19" s="2903"/>
      <c r="T19" s="2903"/>
      <c r="U19" s="2903"/>
      <c r="V19" s="2903"/>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0"/>
      <c r="L20" s="3017" t="s">
        <v>2843</v>
      </c>
      <c r="M20" s="3018">
        <f>ROUND(SUMPRODUCT((地价!A4:A24=YEAR(G19)&amp;"-"&amp;ROUNDUP(MONTH(G19)/3,0))*(地价!B2:F2=E2)*(地价!B4:F24)),0)</f>
        <v>0</v>
      </c>
      <c r="N20" s="2767" t="s">
        <v>2646</v>
      </c>
      <c r="O20" s="2765" t="s">
        <v>2645</v>
      </c>
      <c r="P20" s="2766" t="s">
        <v>2651</v>
      </c>
      <c r="R20" s="2903"/>
      <c r="S20" s="2903"/>
      <c r="T20" s="2903"/>
      <c r="U20" s="2903"/>
      <c r="V20" s="2903"/>
      <c r="W20" s="2194"/>
      <c r="X20" s="2194"/>
      <c r="Y20" s="2194"/>
      <c r="Z20" s="2194"/>
      <c r="AA20" s="2194"/>
      <c r="AB20" s="2194"/>
      <c r="AC20" s="2194"/>
      <c r="AD20" s="1471"/>
      <c r="AE20" s="1471"/>
      <c r="AF20" s="1471"/>
      <c r="AG20" s="1471"/>
      <c r="AH20" s="1471"/>
      <c r="AI20" s="1471"/>
    </row>
    <row r="21" spans="1:40" s="1420" customFormat="1" ht="14.25">
      <c r="A21" s="1641" t="s">
        <v>1838</v>
      </c>
      <c r="B21" s="1479" t="s">
        <v>2762</v>
      </c>
      <c r="C21" s="1157">
        <f>IF(B21="容积率修正",IF(G3&lt;=10,D22,J22),C23)</f>
        <v>0</v>
      </c>
      <c r="D21" s="1480"/>
      <c r="E21" s="1480"/>
      <c r="F21" s="1480"/>
      <c r="G21" s="1480"/>
      <c r="H21" s="1480"/>
      <c r="I21" s="1480"/>
      <c r="J21" s="1481"/>
      <c r="K21" s="1480"/>
      <c r="L21" s="1480"/>
      <c r="M21" s="1480"/>
      <c r="N21" s="1477" t="s">
        <v>976</v>
      </c>
      <c r="O21" s="1541"/>
      <c r="P21" s="2747">
        <f>SUMPRODUCT((地价!A3:A24=YEAR(G19)&amp;"-"&amp;ROUNDUP(MONTH(G19)/3,0))*(地价!AD2:AH2=N21)*(地价!AD3:AH24))</f>
        <v>0</v>
      </c>
      <c r="R21" s="2903"/>
      <c r="S21" s="2903"/>
      <c r="T21" s="2903"/>
      <c r="U21" s="2903"/>
      <c r="V21" s="2903"/>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6.5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6.5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47">
        <f>SUMPRODUCT((地价!A3:A24=YEAR(G19)&amp;"-"&amp;ROUNDUP(MONTH(G19)/3,0))*(地价!AD2:AH2=N22)*(地价!AD3:AH24))</f>
        <v>0</v>
      </c>
      <c r="R22" s="2903"/>
      <c r="S22" s="2903"/>
      <c r="T22" s="2903"/>
      <c r="U22" s="2903"/>
      <c r="V22" s="2903"/>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47">
        <f>SUMPRODUCT((地价!A3:A24=YEAR(G19)&amp;"-"&amp;ROUNDUP(MONTH(G19)/3,0))*(地价!AD2:AH2=N23)*(地价!AD3:AH24))</f>
        <v>0</v>
      </c>
      <c r="R23" s="2903"/>
      <c r="S23" s="2903"/>
      <c r="T23" s="2903"/>
      <c r="U23" s="2903"/>
      <c r="V23" s="2903"/>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0</v>
      </c>
      <c r="R24" s="2903"/>
      <c r="S24" s="2903"/>
      <c r="T24" s="2903"/>
      <c r="U24" s="2903"/>
      <c r="V24" s="2903"/>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75" t="s">
        <v>2649</v>
      </c>
      <c r="O25" s="2194"/>
      <c r="P25" s="1540">
        <f>SUMPRODUCT((地价!A3:A24=YEAR(G19)&amp;"-"&amp;ROUNDUP(MONTH(G19)/3,0))*(地价!AD2:AH2=N25)*(地价!AD3:AH24))</f>
        <v>0</v>
      </c>
      <c r="R25" s="2903"/>
      <c r="S25" s="2903"/>
      <c r="T25" s="2903"/>
      <c r="U25" s="2903"/>
      <c r="V25" s="2903"/>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03"/>
      <c r="S26" s="2903"/>
      <c r="T26" s="2903"/>
      <c r="U26" s="2903"/>
      <c r="V26" s="2903"/>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03"/>
      <c r="S27" s="2903"/>
      <c r="T27" s="2903"/>
      <c r="U27" s="2903"/>
      <c r="V27" s="2903"/>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03"/>
      <c r="S28" s="2903"/>
      <c r="T28" s="2903"/>
      <c r="U28" s="2903"/>
      <c r="V28" s="2903"/>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03"/>
      <c r="S29" s="2903"/>
      <c r="T29" s="2903"/>
      <c r="U29" s="2903"/>
      <c r="V29" s="2903"/>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73" t="s">
        <v>2966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74"/>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74"/>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5"/>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1007</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1008</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386" t="s">
        <v>1010</v>
      </c>
      <c r="C46" s="2408" t="s">
        <v>1011</v>
      </c>
      <c r="D46" s="2409" t="s">
        <v>1012</v>
      </c>
      <c r="E46" s="2410" t="s">
        <v>1014</v>
      </c>
      <c r="F46" s="2411" t="s">
        <v>2251</v>
      </c>
      <c r="G46" s="2409" t="s">
        <v>1015</v>
      </c>
      <c r="H46" s="2392" t="s">
        <v>2419</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1021</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1022</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1023</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73" t="s">
        <v>2942</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72" t="s">
        <v>2941</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1027</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1028</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1029</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2" t="s">
        <v>1030</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386"/>
      <c r="C57" s="2408" t="s">
        <v>1011</v>
      </c>
      <c r="D57" s="2409" t="s">
        <v>1012</v>
      </c>
      <c r="E57" s="2410" t="s">
        <v>1014</v>
      </c>
      <c r="F57" s="2411" t="s">
        <v>2252</v>
      </c>
      <c r="G57" s="2409" t="s">
        <v>1015</v>
      </c>
      <c r="H57" s="2392" t="s">
        <v>2419</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1031</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6" t="s">
        <v>1022</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1023</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73" t="s">
        <v>2943</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72" t="s">
        <v>2941</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1027</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9" t="s">
        <v>1029</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1032</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386"/>
      <c r="C68" s="2408" t="s">
        <v>1011</v>
      </c>
      <c r="D68" s="2409" t="s">
        <v>1012</v>
      </c>
      <c r="E68" s="2410" t="s">
        <v>1014</v>
      </c>
      <c r="F68" s="2411" t="s">
        <v>2253</v>
      </c>
      <c r="G68" s="2409" t="s">
        <v>1015</v>
      </c>
      <c r="H68" s="2392" t="s">
        <v>2419</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1033</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1034</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1023</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1027</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72" t="s">
        <v>2941</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1029</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1036</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4"/>
      <c r="AD77" s="1403"/>
      <c r="AJ77" s="1402"/>
      <c r="AN77" s="1403"/>
    </row>
    <row r="78" spans="1:40" ht="15">
      <c r="A78" s="2402" t="s">
        <v>1037</v>
      </c>
      <c r="B78" s="2403">
        <f>1+E80</f>
        <v>1</v>
      </c>
      <c r="C78" s="2422"/>
      <c r="D78" s="2405"/>
      <c r="E78" s="2406"/>
      <c r="F78" s="2407"/>
      <c r="G78" s="2401"/>
      <c r="H78" s="2401"/>
      <c r="I78" s="2401"/>
      <c r="J78" s="1065"/>
      <c r="K78" s="1065"/>
      <c r="L78" s="1065"/>
      <c r="M78" s="1065"/>
      <c r="N78" s="1065"/>
      <c r="AC78" s="1404"/>
      <c r="AD78" s="1403"/>
      <c r="AJ78" s="1402"/>
      <c r="AN78" s="1403"/>
    </row>
    <row r="79" spans="1:40" ht="24">
      <c r="A79" s="1066" t="s">
        <v>1009</v>
      </c>
      <c r="B79" s="2386"/>
      <c r="C79" s="2408" t="s">
        <v>1011</v>
      </c>
      <c r="D79" s="2409" t="s">
        <v>1012</v>
      </c>
      <c r="E79" s="2410" t="s">
        <v>1014</v>
      </c>
      <c r="F79" s="2411" t="s">
        <v>2254</v>
      </c>
      <c r="G79" s="2409" t="s">
        <v>1015</v>
      </c>
      <c r="H79" s="2392" t="s">
        <v>2419</v>
      </c>
      <c r="I79" s="2409" t="s">
        <v>1013</v>
      </c>
      <c r="J79" s="2412" t="s">
        <v>1016</v>
      </c>
      <c r="K79" s="2412" t="s">
        <v>1017</v>
      </c>
      <c r="L79" s="2412" t="s">
        <v>1018</v>
      </c>
      <c r="M79" s="2412" t="s">
        <v>1019</v>
      </c>
      <c r="N79" s="2412" t="s">
        <v>1020</v>
      </c>
      <c r="AC79" s="1404"/>
      <c r="AD79" s="1403"/>
      <c r="AJ79" s="1402"/>
      <c r="AN79" s="1403"/>
    </row>
    <row r="80" spans="1:40" ht="36">
      <c r="A80" s="1066" t="s">
        <v>1038</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c r="A81" s="1066" t="s">
        <v>1034</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c r="A82" s="1066" t="s">
        <v>1023</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c r="A83" s="1066" t="s">
        <v>1035</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c r="A84" s="1066" t="s">
        <v>1027</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c r="A85" s="1066" t="s">
        <v>1028</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c r="A86" s="1066" t="s">
        <v>1026</v>
      </c>
      <c r="B86" s="3072" t="s">
        <v>2941</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thickBot="1">
      <c r="A87" s="2419" t="s">
        <v>1039</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471" t="s">
        <v>1634</v>
      </c>
      <c r="B90" s="3471"/>
      <c r="C90" s="3471"/>
      <c r="D90" s="3471"/>
      <c r="E90" s="3471"/>
      <c r="F90" s="3471"/>
      <c r="G90" s="3471"/>
      <c r="H90" s="3471"/>
      <c r="I90" s="3471"/>
      <c r="J90" s="3471"/>
      <c r="K90" s="2428"/>
      <c r="L90" s="2428"/>
      <c r="M90" s="2428"/>
      <c r="N90" s="2428"/>
    </row>
    <row r="91" spans="1:40">
      <c r="A91" s="3472" t="s">
        <v>1444</v>
      </c>
      <c r="B91" s="3472" t="s">
        <v>1635</v>
      </c>
      <c r="C91" s="1139" t="s">
        <v>1636</v>
      </c>
      <c r="D91" s="1140"/>
      <c r="E91" s="1140"/>
      <c r="F91" s="1140"/>
      <c r="G91" s="1140"/>
      <c r="H91" s="1140"/>
      <c r="I91" s="1140"/>
      <c r="J91" s="1141"/>
      <c r="K91" s="1133"/>
      <c r="L91" s="1133"/>
      <c r="M91" s="1133"/>
      <c r="N91" s="1133"/>
    </row>
    <row r="92" spans="1:40">
      <c r="A92" s="3472"/>
      <c r="B92" s="3472"/>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61"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2"/>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1" t="s">
        <v>1638</v>
      </c>
      <c r="B101" s="1146" t="s">
        <v>906</v>
      </c>
      <c r="C101" s="1147">
        <f>$G$3</f>
        <v>6.5</v>
      </c>
      <c r="D101" s="1147">
        <f t="shared" ref="D101:N101" si="31">$G$3</f>
        <v>6.5</v>
      </c>
      <c r="E101" s="1147">
        <f t="shared" si="31"/>
        <v>6.5</v>
      </c>
      <c r="F101" s="1147">
        <f t="shared" si="31"/>
        <v>6.5</v>
      </c>
      <c r="G101" s="1147">
        <f t="shared" si="31"/>
        <v>6.5</v>
      </c>
      <c r="H101" s="1147">
        <f t="shared" si="31"/>
        <v>6.5</v>
      </c>
      <c r="I101" s="1147">
        <f t="shared" si="31"/>
        <v>6.5</v>
      </c>
      <c r="J101" s="1147">
        <f t="shared" si="31"/>
        <v>6.5</v>
      </c>
      <c r="K101" s="1147">
        <f t="shared" si="31"/>
        <v>6.5</v>
      </c>
      <c r="L101" s="1147">
        <f t="shared" si="31"/>
        <v>6.5</v>
      </c>
      <c r="M101" s="1147">
        <f t="shared" si="31"/>
        <v>6.5</v>
      </c>
      <c r="N101" s="1147">
        <f t="shared" si="31"/>
        <v>6.5</v>
      </c>
    </row>
    <row r="102" spans="1:14">
      <c r="A102" s="3462"/>
      <c r="B102" s="1142">
        <v>1</v>
      </c>
      <c r="C102" s="1143">
        <f>1.9362/C101</f>
        <v>0.29787692307692304</v>
      </c>
      <c r="D102" s="1143">
        <f>1.9362/D101</f>
        <v>0.29787692307692304</v>
      </c>
      <c r="E102" s="1143">
        <f>1.8629/E101</f>
        <v>0.28660000000000002</v>
      </c>
      <c r="F102" s="1143">
        <f>1.8629/F101</f>
        <v>0.28660000000000002</v>
      </c>
      <c r="G102" s="1143">
        <f>1.8629/G101</f>
        <v>0.28660000000000002</v>
      </c>
      <c r="H102" s="1143">
        <f>1.8629/H101</f>
        <v>0.28660000000000002</v>
      </c>
      <c r="I102" s="1143">
        <f>1.8629/I101</f>
        <v>0.28660000000000002</v>
      </c>
      <c r="J102" s="1143">
        <f>1.942/J101</f>
        <v>0.29876923076923079</v>
      </c>
      <c r="K102" s="1143">
        <f>1.942/K101</f>
        <v>0.29876923076923079</v>
      </c>
      <c r="L102" s="1143">
        <f>1.942/L101</f>
        <v>0.29876923076923079</v>
      </c>
      <c r="M102" s="1143">
        <f>1.942/M101</f>
        <v>0.29876923076923079</v>
      </c>
      <c r="N102" s="1143">
        <f>1.942/N101</f>
        <v>0.29876923076923079</v>
      </c>
    </row>
    <row r="103" spans="1:14">
      <c r="A103" s="3462"/>
      <c r="B103" s="1142">
        <v>2</v>
      </c>
      <c r="C103" s="1143">
        <f>1.4198/C101</f>
        <v>0.21843076923076923</v>
      </c>
      <c r="D103" s="1143">
        <f>1.4198/D101</f>
        <v>0.21843076923076923</v>
      </c>
      <c r="E103" s="1143">
        <f>1.3372/E101</f>
        <v>0.20572307692307693</v>
      </c>
      <c r="F103" s="1143">
        <f>1.3372/F101</f>
        <v>0.20572307692307693</v>
      </c>
      <c r="G103" s="1143">
        <f>1.3372/G101</f>
        <v>0.20572307692307693</v>
      </c>
      <c r="H103" s="1143">
        <f>1.3372/H101</f>
        <v>0.20572307692307693</v>
      </c>
      <c r="I103" s="1143">
        <f>1.3372/I101</f>
        <v>0.20572307692307693</v>
      </c>
      <c r="J103" s="1143">
        <f>1.2799/J101</f>
        <v>0.19690769230769231</v>
      </c>
      <c r="K103" s="1143">
        <f>1.2799/K101</f>
        <v>0.19690769230769231</v>
      </c>
      <c r="L103" s="1143">
        <f>1.2799/L101</f>
        <v>0.19690769230769231</v>
      </c>
      <c r="M103" s="1143">
        <f>1.2799/M101</f>
        <v>0.19690769230769231</v>
      </c>
      <c r="N103" s="1143">
        <f>1.2799/N101</f>
        <v>0.19690769230769231</v>
      </c>
    </row>
    <row r="104" spans="1:14">
      <c r="A104" s="3462"/>
      <c r="B104" s="1142">
        <v>3</v>
      </c>
      <c r="C104" s="1143">
        <f>1.1594/C101</f>
        <v>0.17836923076923078</v>
      </c>
      <c r="D104" s="1143">
        <f>1.1594/D101</f>
        <v>0.17836923076923078</v>
      </c>
      <c r="E104" s="1143">
        <f>1.0788/E101</f>
        <v>0.16596923076923076</v>
      </c>
      <c r="F104" s="1143">
        <f>1.0788/F101</f>
        <v>0.16596923076923076</v>
      </c>
      <c r="G104" s="1143">
        <f>1.0788/G101</f>
        <v>0.16596923076923076</v>
      </c>
      <c r="H104" s="1143">
        <f>1.0788/H101</f>
        <v>0.16596923076923076</v>
      </c>
      <c r="I104" s="1143">
        <f>1.0788/I101</f>
        <v>0.16596923076923076</v>
      </c>
      <c r="J104" s="1143">
        <f>1.0072/J101</f>
        <v>0.15495384615384616</v>
      </c>
      <c r="K104" s="1143">
        <f>1.0072/K101</f>
        <v>0.15495384615384616</v>
      </c>
      <c r="L104" s="1143">
        <f>1.0072/L101</f>
        <v>0.15495384615384616</v>
      </c>
      <c r="M104" s="1143">
        <f>1.0072/M101</f>
        <v>0.15495384615384616</v>
      </c>
      <c r="N104" s="1143">
        <f>1.0072/N101</f>
        <v>0.15495384615384616</v>
      </c>
    </row>
    <row r="105" spans="1:14">
      <c r="A105" s="3462"/>
      <c r="B105" s="1142">
        <v>4</v>
      </c>
      <c r="C105" s="1143">
        <f>0.9622/C101</f>
        <v>0.14803076923076924</v>
      </c>
      <c r="D105" s="1143">
        <f>0.9622/D101</f>
        <v>0.14803076923076924</v>
      </c>
      <c r="E105" s="1143">
        <f>0.8656/E101</f>
        <v>0.13316923076923076</v>
      </c>
      <c r="F105" s="1143">
        <f>0.8656/F101</f>
        <v>0.13316923076923076</v>
      </c>
      <c r="G105" s="1143">
        <f>0.8656/G101</f>
        <v>0.13316923076923076</v>
      </c>
      <c r="H105" s="1143">
        <f>0.8656/H101</f>
        <v>0.13316923076923076</v>
      </c>
      <c r="I105" s="1143">
        <f>0.8656/I101</f>
        <v>0.13316923076923076</v>
      </c>
      <c r="J105" s="1143">
        <f>0.7525/J101</f>
        <v>0.11576923076923076</v>
      </c>
      <c r="K105" s="1143">
        <f>0.7525/K101</f>
        <v>0.11576923076923076</v>
      </c>
      <c r="L105" s="1143">
        <f>0.7525/L101</f>
        <v>0.11576923076923076</v>
      </c>
      <c r="M105" s="1143">
        <f>0.7525/M101</f>
        <v>0.11576923076923076</v>
      </c>
      <c r="N105" s="1143">
        <f>0.7525/N101</f>
        <v>0.11576923076923076</v>
      </c>
    </row>
    <row r="106" spans="1:14">
      <c r="A106" s="3462"/>
      <c r="B106" s="1142">
        <v>5</v>
      </c>
      <c r="C106" s="1143">
        <f>0.8417/C101</f>
        <v>0.12949230769230768</v>
      </c>
      <c r="D106" s="1143">
        <f>0.8417/D101</f>
        <v>0.12949230769230768</v>
      </c>
      <c r="E106" s="1143">
        <f>0.7371/E101</f>
        <v>0.1134</v>
      </c>
      <c r="F106" s="1143">
        <f>0.7371/F101</f>
        <v>0.1134</v>
      </c>
      <c r="G106" s="1143">
        <f>0.7371/G101</f>
        <v>0.1134</v>
      </c>
      <c r="H106" s="1143">
        <f>0.7371/H101</f>
        <v>0.1134</v>
      </c>
      <c r="I106" s="1143">
        <f>0.7371/I101</f>
        <v>0.1134</v>
      </c>
      <c r="J106" s="1143">
        <f>0.5659/J101</f>
        <v>8.7061538461538454E-2</v>
      </c>
      <c r="K106" s="1143">
        <f>0.5659/K101</f>
        <v>8.7061538461538454E-2</v>
      </c>
      <c r="L106" s="1143">
        <f>0.5659/L101</f>
        <v>8.7061538461538454E-2</v>
      </c>
      <c r="M106" s="1143">
        <f>0.5659/M101</f>
        <v>8.7061538461538454E-2</v>
      </c>
      <c r="N106" s="1143">
        <f>0.5659/N101</f>
        <v>8.7061538461538454E-2</v>
      </c>
    </row>
    <row r="107" spans="1:14">
      <c r="A107" s="3462"/>
      <c r="B107" s="1142">
        <v>6</v>
      </c>
      <c r="C107" s="1143">
        <f>0.7608/C101</f>
        <v>0.11704615384615386</v>
      </c>
      <c r="D107" s="1143">
        <f>0.7608/D101</f>
        <v>0.11704615384615386</v>
      </c>
      <c r="E107" s="1143">
        <f>0.6482/E101</f>
        <v>9.9723076923076928E-2</v>
      </c>
      <c r="F107" s="1143">
        <f>0.6482/F101</f>
        <v>9.9723076923076928E-2</v>
      </c>
      <c r="G107" s="1143">
        <f>0.6482/G101</f>
        <v>9.9723076923076928E-2</v>
      </c>
      <c r="H107" s="1143">
        <f>0.6482/H101</f>
        <v>9.9723076923076928E-2</v>
      </c>
      <c r="I107" s="1143">
        <f>0.6482/I101</f>
        <v>9.9723076923076928E-2</v>
      </c>
      <c r="J107" s="1143">
        <f>0.4525/J101</f>
        <v>6.9615384615384621E-2</v>
      </c>
      <c r="K107" s="1143">
        <f>0.4525/K101</f>
        <v>6.9615384615384621E-2</v>
      </c>
      <c r="L107" s="1143">
        <f>0.4525/L101</f>
        <v>6.9615384615384621E-2</v>
      </c>
      <c r="M107" s="1143">
        <f>0.4525/M101</f>
        <v>6.9615384615384621E-2</v>
      </c>
      <c r="N107" s="1143">
        <f>0.4525/N101</f>
        <v>6.9615384615384621E-2</v>
      </c>
    </row>
    <row r="108" spans="1:14">
      <c r="A108" s="3462"/>
      <c r="B108" s="3464"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3"/>
      <c r="B109" s="3465"/>
      <c r="C109" s="1145">
        <f>(-0.163*(C108^2)-0.59*C108+7617)*(10^(-4))/C101</f>
        <v>0.11695150769230769</v>
      </c>
      <c r="D109" s="1145">
        <f>(-0.163*(D108^2)-0.59*D108+7617)*(10^(-4))/D101</f>
        <v>0.11695150769230769</v>
      </c>
      <c r="E109" s="1145">
        <f>(-0.161*(E108^2)-7.509*E108+6533)*(10^(-4))/E101</f>
        <v>9.9424984615384612E-2</v>
      </c>
      <c r="F109" s="1145">
        <f>(-0.161*(F108^2)-7.509*F108+6533)*(10^(-4))/F101</f>
        <v>9.9424984615384612E-2</v>
      </c>
      <c r="G109" s="1145">
        <f>(-0.161*(G108^2)-7.509*G108+6533)*(10^(-4))/G101</f>
        <v>9.9424984615384612E-2</v>
      </c>
      <c r="H109" s="1145">
        <f>(-0.161*(H108^2)-7.509*H108+6533)*(10^(-4))/H101</f>
        <v>9.9424984615384612E-2</v>
      </c>
      <c r="I109" s="1145">
        <f>(-0.161*(I108^2)-7.509*I108+6533)*(10^(-4))/I101</f>
        <v>9.9424984615384612E-2</v>
      </c>
      <c r="J109" s="1145">
        <f>(-0.214*(J108^2)-21.991*J108+4665)*(10^(-4))/J101</f>
        <v>6.8851938461538462E-2</v>
      </c>
      <c r="K109" s="1145">
        <f>(-0.214*(K108^2)-21.991*K108+4665)*(10^(-4))/K101</f>
        <v>6.8851938461538462E-2</v>
      </c>
      <c r="L109" s="1145">
        <f>(-0.214*(L108^2)-21.991*L108+4665)*(10^(-4))/L101</f>
        <v>6.8851938461538462E-2</v>
      </c>
      <c r="M109" s="1145">
        <f>(-0.214*(M108^2)-21.991*M108+4665)*(10^(-4))/M101</f>
        <v>6.8851938461538462E-2</v>
      </c>
      <c r="N109" s="1145">
        <f>(-0.214*(N108^2)-21.991*N108+4665)*(10^(-4))/N101</f>
        <v>6.8851938461538462E-2</v>
      </c>
    </row>
    <row r="110" spans="1:14">
      <c r="A110" s="3466" t="s">
        <v>1640</v>
      </c>
      <c r="B110" s="3466"/>
      <c r="C110" s="3466"/>
      <c r="D110" s="3466"/>
      <c r="E110" s="3466"/>
      <c r="F110" s="3466"/>
      <c r="G110" s="3466"/>
      <c r="H110" s="3466"/>
      <c r="I110" s="3466"/>
      <c r="J110" s="3466"/>
      <c r="K110" s="2426"/>
      <c r="L110" s="2426"/>
      <c r="M110" s="2426"/>
      <c r="N110" s="2426"/>
    </row>
    <row r="112" spans="1:14" ht="12.75" thickBot="1"/>
    <row r="113" spans="1:13" ht="25.5" thickBot="1">
      <c r="A113" s="1015" t="s">
        <v>896</v>
      </c>
      <c r="B113" s="2429">
        <f>G3</f>
        <v>6.5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0.87239999999999995</v>
      </c>
      <c r="C115" s="1029">
        <f>B115</f>
        <v>0.87239999999999995</v>
      </c>
      <c r="D115" s="1029">
        <f>ROUND(0.8331-0.0109*B113,4)</f>
        <v>0.76229999999999998</v>
      </c>
      <c r="E115" s="1029">
        <f>D115</f>
        <v>0.76229999999999998</v>
      </c>
      <c r="F115" s="1029">
        <f>E115</f>
        <v>0.76229999999999998</v>
      </c>
      <c r="G115" s="1029">
        <f>F115</f>
        <v>0.76229999999999998</v>
      </c>
      <c r="H115" s="1029">
        <f>G115</f>
        <v>0.76229999999999998</v>
      </c>
      <c r="I115" s="1029">
        <f>ROUND(0.689-0.0155*B113,4)</f>
        <v>0.58830000000000005</v>
      </c>
      <c r="J115" s="1029">
        <f t="shared" ref="J115:M118" si="33">I115</f>
        <v>0.58830000000000005</v>
      </c>
      <c r="K115" s="1029">
        <f t="shared" si="33"/>
        <v>0.58830000000000005</v>
      </c>
      <c r="L115" s="1029">
        <f t="shared" si="33"/>
        <v>0.58830000000000005</v>
      </c>
      <c r="M115" s="1030">
        <f t="shared" si="33"/>
        <v>0.58830000000000005</v>
      </c>
    </row>
    <row r="116" spans="1:13" ht="12.75">
      <c r="A116" s="1028" t="s">
        <v>901</v>
      </c>
      <c r="B116" s="1029">
        <f>ROUND(0.949-0.012*B113,4)</f>
        <v>0.871</v>
      </c>
      <c r="C116" s="1029">
        <f>B116</f>
        <v>0.871</v>
      </c>
      <c r="D116" s="1029">
        <f>ROUND(0.8567-0.013*B113,4)</f>
        <v>0.7722</v>
      </c>
      <c r="E116" s="1029">
        <f t="shared" ref="E116:H117" si="34">D116</f>
        <v>0.7722</v>
      </c>
      <c r="F116" s="1029">
        <f t="shared" si="34"/>
        <v>0.7722</v>
      </c>
      <c r="G116" s="1029">
        <f t="shared" si="34"/>
        <v>0.7722</v>
      </c>
      <c r="H116" s="1029">
        <f t="shared" si="34"/>
        <v>0.7722</v>
      </c>
      <c r="I116" s="1029">
        <f>ROUND(0.7694-0.014*B113,4)</f>
        <v>0.6784</v>
      </c>
      <c r="J116" s="1029">
        <f t="shared" si="33"/>
        <v>0.6784</v>
      </c>
      <c r="K116" s="1029">
        <f t="shared" si="33"/>
        <v>0.6784</v>
      </c>
      <c r="L116" s="1029">
        <f t="shared" si="33"/>
        <v>0.6784</v>
      </c>
      <c r="M116" s="1030">
        <f t="shared" si="33"/>
        <v>0.6784</v>
      </c>
    </row>
    <row r="117" spans="1:13" ht="12.75">
      <c r="A117" s="1031" t="s">
        <v>902</v>
      </c>
      <c r="B117" s="1029">
        <f>ROUND(0.8808-0.006*B113,4)</f>
        <v>0.84179999999999999</v>
      </c>
      <c r="C117" s="1029">
        <f>B117</f>
        <v>0.84179999999999999</v>
      </c>
      <c r="D117" s="1029">
        <f>ROUND(0.8748-0.008*B113,4)</f>
        <v>0.82279999999999998</v>
      </c>
      <c r="E117" s="1029">
        <f t="shared" si="34"/>
        <v>0.82279999999999998</v>
      </c>
      <c r="F117" s="1029">
        <f t="shared" si="34"/>
        <v>0.82279999999999998</v>
      </c>
      <c r="G117" s="1029">
        <f t="shared" si="34"/>
        <v>0.82279999999999998</v>
      </c>
      <c r="H117" s="1029">
        <f t="shared" si="34"/>
        <v>0.82279999999999998</v>
      </c>
      <c r="I117" s="1029">
        <f>ROUND(0.7412-0.0095*B113,4)</f>
        <v>0.67949999999999999</v>
      </c>
      <c r="J117" s="1029">
        <f t="shared" si="33"/>
        <v>0.67949999999999999</v>
      </c>
      <c r="K117" s="1029">
        <f t="shared" si="33"/>
        <v>0.67949999999999999</v>
      </c>
      <c r="L117" s="1029">
        <f t="shared" si="33"/>
        <v>0.67949999999999999</v>
      </c>
      <c r="M117" s="1030">
        <f t="shared" si="33"/>
        <v>0.67949999999999999</v>
      </c>
    </row>
    <row r="118" spans="1:13" ht="13.5" thickBot="1">
      <c r="A118" s="1032" t="s">
        <v>903</v>
      </c>
      <c r="B118" s="1033">
        <f>ROUND(0.7275-0.01*B113,4)</f>
        <v>0.66249999999999998</v>
      </c>
      <c r="C118" s="1033">
        <f>B118</f>
        <v>0.66249999999999998</v>
      </c>
      <c r="D118" s="1033">
        <f>ROUND(0.7043-0.012*B113,4)</f>
        <v>0.62629999999999997</v>
      </c>
      <c r="E118" s="1033">
        <f>D118</f>
        <v>0.62629999999999997</v>
      </c>
      <c r="F118" s="1033">
        <f>E118</f>
        <v>0.62629999999999997</v>
      </c>
      <c r="G118" s="1033">
        <f>ROUND(0.6299-0.0122*B113,4)</f>
        <v>0.55059999999999998</v>
      </c>
      <c r="H118" s="1033">
        <f>G118</f>
        <v>0.55059999999999998</v>
      </c>
      <c r="I118" s="1033">
        <f>ROUND(0.5667-0.0136*B113,4)</f>
        <v>0.4783</v>
      </c>
      <c r="J118" s="1033">
        <f t="shared" si="33"/>
        <v>0.4783</v>
      </c>
      <c r="K118" s="1033">
        <f t="shared" si="33"/>
        <v>0.4783</v>
      </c>
      <c r="L118" s="1033">
        <f t="shared" si="33"/>
        <v>0.4783</v>
      </c>
      <c r="M118" s="1034">
        <f t="shared" si="33"/>
        <v>0.4783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72" t="s">
        <v>1008</v>
      </c>
      <c r="B18" s="1153" t="s">
        <v>1447</v>
      </c>
      <c r="C18" s="1130" t="s">
        <v>1448</v>
      </c>
      <c r="D18" s="1131"/>
      <c r="E18" s="1153">
        <v>1</v>
      </c>
      <c r="F18" s="1132" t="s">
        <v>1449</v>
      </c>
      <c r="G18" s="1133"/>
      <c r="H18" s="1104"/>
      <c r="I18" s="1104"/>
    </row>
    <row r="19" spans="1:9" s="1598" customFormat="1" ht="19.5" customHeight="1">
      <c r="A19" s="3472"/>
      <c r="B19" s="3472" t="s">
        <v>1450</v>
      </c>
      <c r="C19" s="1130" t="s">
        <v>1451</v>
      </c>
      <c r="D19" s="1131"/>
      <c r="E19" s="1153">
        <v>0.9</v>
      </c>
      <c r="F19" s="1132" t="s">
        <v>1452</v>
      </c>
      <c r="G19" s="1133"/>
      <c r="H19" s="1104"/>
      <c r="I19" s="1104"/>
    </row>
    <row r="20" spans="1:9" s="1598" customFormat="1" ht="19.5" customHeight="1">
      <c r="A20" s="3472"/>
      <c r="B20" s="3472"/>
      <c r="C20" s="1130" t="s">
        <v>1453</v>
      </c>
      <c r="D20" s="1131"/>
      <c r="E20" s="1153">
        <v>1.1000000000000001</v>
      </c>
      <c r="F20" s="1132" t="s">
        <v>1454</v>
      </c>
      <c r="G20" s="1133"/>
      <c r="H20" s="1104"/>
      <c r="I20" s="1104"/>
    </row>
    <row r="21" spans="1:9" s="1598" customFormat="1" ht="19.5" customHeight="1">
      <c r="A21" s="3472"/>
      <c r="B21" s="3472"/>
      <c r="C21" s="1130" t="s">
        <v>1455</v>
      </c>
      <c r="D21" s="1131"/>
      <c r="E21" s="1153">
        <v>0.8</v>
      </c>
      <c r="F21" s="1132" t="s">
        <v>1456</v>
      </c>
      <c r="G21" s="1133"/>
      <c r="H21" s="1104"/>
      <c r="I21" s="1104"/>
    </row>
    <row r="22" spans="1:9" s="1598" customFormat="1" ht="19.5" customHeight="1">
      <c r="A22" s="3472"/>
      <c r="B22" s="3472"/>
      <c r="C22" s="1130" t="s">
        <v>1457</v>
      </c>
      <c r="D22" s="1131"/>
      <c r="E22" s="1153">
        <v>0.5</v>
      </c>
      <c r="F22" s="1132"/>
      <c r="G22" s="1133"/>
      <c r="H22" s="1104"/>
      <c r="I22" s="1104"/>
    </row>
    <row r="23" spans="1:9" s="1598" customFormat="1" ht="19.5" customHeight="1">
      <c r="A23" s="3472" t="s">
        <v>1030</v>
      </c>
      <c r="B23" s="1153" t="s">
        <v>1447</v>
      </c>
      <c r="C23" s="1130" t="s">
        <v>1458</v>
      </c>
      <c r="D23" s="1131"/>
      <c r="E23" s="1153">
        <v>1</v>
      </c>
      <c r="F23" s="1132" t="s">
        <v>1459</v>
      </c>
      <c r="G23" s="1133"/>
      <c r="H23" s="1104"/>
      <c r="I23" s="1104"/>
    </row>
    <row r="24" spans="1:9" s="1598" customFormat="1" ht="19.5" customHeight="1">
      <c r="A24" s="3472"/>
      <c r="B24" s="3472" t="s">
        <v>1450</v>
      </c>
      <c r="C24" s="1130" t="s">
        <v>1460</v>
      </c>
      <c r="D24" s="1131"/>
      <c r="E24" s="1153">
        <v>0.5</v>
      </c>
      <c r="F24" s="1132"/>
      <c r="G24" s="1133"/>
      <c r="H24" s="1104"/>
      <c r="I24" s="1104"/>
    </row>
    <row r="25" spans="1:9" s="1598" customFormat="1" ht="19.5" customHeight="1">
      <c r="A25" s="3472"/>
      <c r="B25" s="3472"/>
      <c r="C25" s="1130" t="s">
        <v>1461</v>
      </c>
      <c r="D25" s="1131"/>
      <c r="E25" s="1153">
        <v>1.1000000000000001</v>
      </c>
      <c r="F25" s="1132"/>
      <c r="G25" s="1133"/>
      <c r="H25" s="1104"/>
      <c r="I25" s="1104"/>
    </row>
    <row r="26" spans="1:9" s="1598" customFormat="1" ht="19.5" customHeight="1">
      <c r="A26" s="3472"/>
      <c r="B26" s="3472"/>
      <c r="C26" s="1130" t="s">
        <v>1462</v>
      </c>
      <c r="D26" s="1131"/>
      <c r="E26" s="1153">
        <v>1.1000000000000001</v>
      </c>
      <c r="F26" s="1132"/>
      <c r="G26" s="1133"/>
      <c r="H26" s="1104"/>
      <c r="I26" s="1104"/>
    </row>
    <row r="27" spans="1:9" s="1598" customFormat="1" ht="19.5" customHeight="1">
      <c r="A27" s="3472"/>
      <c r="B27" s="3472"/>
      <c r="C27" s="1130" t="s">
        <v>1463</v>
      </c>
      <c r="D27" s="1131"/>
      <c r="E27" s="1153">
        <v>0.9</v>
      </c>
      <c r="F27" s="1132" t="s">
        <v>1464</v>
      </c>
      <c r="G27" s="1133"/>
      <c r="H27" s="1104"/>
      <c r="I27" s="1104"/>
    </row>
    <row r="28" spans="1:9" s="1598" customFormat="1" ht="19.5" customHeight="1">
      <c r="A28" s="3472"/>
      <c r="B28" s="3472"/>
      <c r="C28" s="1130" t="s">
        <v>1465</v>
      </c>
      <c r="D28" s="1131"/>
      <c r="E28" s="1153">
        <v>0.9</v>
      </c>
      <c r="F28" s="1132" t="s">
        <v>1466</v>
      </c>
      <c r="G28" s="1133"/>
      <c r="H28" s="1104"/>
      <c r="I28" s="1104"/>
    </row>
    <row r="29" spans="1:9" s="1598" customFormat="1" ht="19.5" customHeight="1">
      <c r="A29" s="3472"/>
      <c r="B29" s="3472"/>
      <c r="C29" s="1130" t="s">
        <v>1467</v>
      </c>
      <c r="D29" s="1131"/>
      <c r="E29" s="1153">
        <v>0.9</v>
      </c>
      <c r="F29" s="1132" t="s">
        <v>1468</v>
      </c>
      <c r="G29" s="1133"/>
      <c r="H29" s="1104"/>
      <c r="I29" s="1104"/>
    </row>
    <row r="30" spans="1:9" s="1598" customFormat="1" ht="19.5" customHeight="1">
      <c r="A30" s="3472"/>
      <c r="B30" s="3472"/>
      <c r="C30" s="1130" t="s">
        <v>1469</v>
      </c>
      <c r="D30" s="1131"/>
      <c r="E30" s="1153">
        <v>0.9</v>
      </c>
      <c r="F30" s="1132" t="s">
        <v>1470</v>
      </c>
      <c r="G30" s="1133"/>
      <c r="H30" s="1104"/>
      <c r="I30" s="1104"/>
    </row>
    <row r="31" spans="1:9" s="1598" customFormat="1" ht="19.5" customHeight="1">
      <c r="A31" s="3472"/>
      <c r="B31" s="3472"/>
      <c r="C31" s="1130" t="s">
        <v>1471</v>
      </c>
      <c r="D31" s="1131"/>
      <c r="E31" s="1153">
        <v>0.8</v>
      </c>
      <c r="F31" s="1132" t="s">
        <v>1472</v>
      </c>
      <c r="G31" s="1133"/>
      <c r="H31" s="1104"/>
      <c r="I31" s="1104"/>
    </row>
    <row r="32" spans="1:9" s="1598" customFormat="1" ht="19.5" customHeight="1">
      <c r="A32" s="3472"/>
      <c r="B32" s="3472"/>
      <c r="C32" s="1130" t="s">
        <v>1473</v>
      </c>
      <c r="D32" s="1131"/>
      <c r="E32" s="1153">
        <v>0.8</v>
      </c>
      <c r="F32" s="1132" t="s">
        <v>1474</v>
      </c>
      <c r="G32" s="1133"/>
      <c r="H32" s="1104"/>
      <c r="I32" s="1104"/>
    </row>
    <row r="33" spans="1:9" s="1598" customFormat="1" ht="19.5" customHeight="1">
      <c r="A33" s="3472" t="s">
        <v>1475</v>
      </c>
      <c r="B33" s="1153" t="s">
        <v>1447</v>
      </c>
      <c r="C33" s="1130" t="s">
        <v>1476</v>
      </c>
      <c r="D33" s="1131"/>
      <c r="E33" s="1153">
        <v>1</v>
      </c>
      <c r="F33" s="1132" t="s">
        <v>1477</v>
      </c>
      <c r="G33" s="1133"/>
      <c r="H33" s="1104"/>
      <c r="I33" s="1104"/>
    </row>
    <row r="34" spans="1:9" s="1598" customFormat="1" ht="19.5" customHeight="1">
      <c r="A34" s="3472"/>
      <c r="B34" s="1153" t="s">
        <v>1450</v>
      </c>
      <c r="C34" s="1130" t="s">
        <v>1478</v>
      </c>
      <c r="D34" s="1131"/>
      <c r="E34" s="1153">
        <v>1.5</v>
      </c>
      <c r="F34" s="1132" t="s">
        <v>1479</v>
      </c>
      <c r="G34" s="1133"/>
      <c r="H34" s="1104"/>
      <c r="I34" s="1104"/>
    </row>
    <row r="35" spans="1:9" s="1598" customFormat="1" ht="19.5" customHeight="1">
      <c r="A35" s="3472" t="s">
        <v>1433</v>
      </c>
      <c r="B35" s="1153" t="s">
        <v>1447</v>
      </c>
      <c r="C35" s="1130" t="s">
        <v>1480</v>
      </c>
      <c r="D35" s="1131"/>
      <c r="E35" s="1153">
        <v>1</v>
      </c>
      <c r="F35" s="1132" t="s">
        <v>1481</v>
      </c>
      <c r="G35" s="1133"/>
      <c r="H35" s="1104"/>
      <c r="I35" s="1104"/>
    </row>
    <row r="36" spans="1:9" s="1598" customFormat="1" ht="19.5" customHeight="1">
      <c r="A36" s="3472"/>
      <c r="B36" s="3472" t="s">
        <v>1450</v>
      </c>
      <c r="C36" s="1130" t="s">
        <v>1482</v>
      </c>
      <c r="D36" s="1131"/>
      <c r="E36" s="1153">
        <v>1</v>
      </c>
      <c r="F36" s="1132" t="s">
        <v>1483</v>
      </c>
      <c r="G36" s="1133"/>
      <c r="H36" s="1104"/>
      <c r="I36" s="1104"/>
    </row>
    <row r="37" spans="1:9" s="1598" customFormat="1" ht="19.5" customHeight="1">
      <c r="A37" s="3472"/>
      <c r="B37" s="3472"/>
      <c r="C37" s="1130" t="s">
        <v>1484</v>
      </c>
      <c r="D37" s="1131"/>
      <c r="E37" s="1153">
        <v>1.5</v>
      </c>
      <c r="F37" s="1132" t="s">
        <v>1485</v>
      </c>
      <c r="G37" s="1133"/>
      <c r="H37" s="1104"/>
      <c r="I37" s="1104"/>
    </row>
    <row r="38" spans="1:9" s="1598" customFormat="1" ht="19.5" customHeight="1">
      <c r="A38" s="3472"/>
      <c r="B38" s="3472"/>
      <c r="C38" s="1130" t="s">
        <v>1486</v>
      </c>
      <c r="D38" s="1131"/>
      <c r="E38" s="1153">
        <v>1</v>
      </c>
      <c r="F38" s="1132" t="s">
        <v>1487</v>
      </c>
      <c r="G38" s="1133"/>
      <c r="H38" s="1104"/>
      <c r="I38" s="1104"/>
    </row>
    <row r="39" spans="1:9" s="1598" customFormat="1" ht="19.5" customHeight="1">
      <c r="A39" s="3472"/>
      <c r="B39" s="3472"/>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72" t="s">
        <v>1502</v>
      </c>
      <c r="C61" s="1067" t="s">
        <v>1503</v>
      </c>
      <c r="D61" s="1067" t="s">
        <v>1504</v>
      </c>
      <c r="E61" s="1138">
        <v>0.5</v>
      </c>
      <c r="F61" s="1153">
        <v>80</v>
      </c>
      <c r="H61" s="1104">
        <f>SUMIF(C59:C119,基准地价!C8,E59:E119)</f>
        <v>0</v>
      </c>
    </row>
    <row r="62" spans="1:8" s="1104" customFormat="1" ht="24">
      <c r="A62" s="1153">
        <v>2</v>
      </c>
      <c r="B62" s="3472"/>
      <c r="C62" s="1067" t="s">
        <v>1505</v>
      </c>
      <c r="D62" s="1067" t="s">
        <v>1506</v>
      </c>
      <c r="E62" s="1138">
        <v>0.5</v>
      </c>
      <c r="F62" s="1153">
        <v>80</v>
      </c>
    </row>
    <row r="63" spans="1:8" s="1104" customFormat="1" ht="36">
      <c r="A63" s="1153">
        <v>3</v>
      </c>
      <c r="B63" s="3472"/>
      <c r="C63" s="1067" t="s">
        <v>1507</v>
      </c>
      <c r="D63" s="1067" t="s">
        <v>1508</v>
      </c>
      <c r="E63" s="1138">
        <v>0.5</v>
      </c>
      <c r="F63" s="1153">
        <v>80</v>
      </c>
    </row>
    <row r="64" spans="1:8" s="1104" customFormat="1" ht="36">
      <c r="A64" s="1153">
        <v>4</v>
      </c>
      <c r="B64" s="3472"/>
      <c r="C64" s="1067" t="s">
        <v>1509</v>
      </c>
      <c r="D64" s="1067" t="s">
        <v>1510</v>
      </c>
      <c r="E64" s="1138">
        <v>0.4</v>
      </c>
      <c r="F64" s="1153">
        <v>60</v>
      </c>
    </row>
    <row r="65" spans="1:6" s="1104" customFormat="1" ht="36">
      <c r="A65" s="1153">
        <v>5</v>
      </c>
      <c r="B65" s="3472"/>
      <c r="C65" s="1067" t="s">
        <v>1511</v>
      </c>
      <c r="D65" s="1067" t="s">
        <v>1512</v>
      </c>
      <c r="E65" s="1138">
        <v>0.2</v>
      </c>
      <c r="F65" s="1153">
        <v>30</v>
      </c>
    </row>
    <row r="66" spans="1:6" s="1104" customFormat="1" ht="36">
      <c r="A66" s="1153">
        <v>6</v>
      </c>
      <c r="B66" s="3472"/>
      <c r="C66" s="1067" t="s">
        <v>1513</v>
      </c>
      <c r="D66" s="1067" t="s">
        <v>1514</v>
      </c>
      <c r="E66" s="1138">
        <v>0.3</v>
      </c>
      <c r="F66" s="1153">
        <v>50</v>
      </c>
    </row>
    <row r="67" spans="1:6" s="1104" customFormat="1" ht="36">
      <c r="A67" s="1153">
        <v>7</v>
      </c>
      <c r="B67" s="3472"/>
      <c r="C67" s="1067" t="s">
        <v>1515</v>
      </c>
      <c r="D67" s="1067" t="s">
        <v>1516</v>
      </c>
      <c r="E67" s="1138">
        <v>0.2</v>
      </c>
      <c r="F67" s="1153">
        <v>30</v>
      </c>
    </row>
    <row r="68" spans="1:6" s="1104" customFormat="1" ht="36">
      <c r="A68" s="1153">
        <v>8</v>
      </c>
      <c r="B68" s="3472"/>
      <c r="C68" s="1067" t="s">
        <v>1517</v>
      </c>
      <c r="D68" s="1067" t="s">
        <v>1518</v>
      </c>
      <c r="E68" s="1138">
        <v>0.2</v>
      </c>
      <c r="F68" s="1153">
        <v>30</v>
      </c>
    </row>
    <row r="69" spans="1:6" s="1104" customFormat="1" ht="36">
      <c r="A69" s="1153">
        <v>9</v>
      </c>
      <c r="B69" s="3472"/>
      <c r="C69" s="1067" t="s">
        <v>1519</v>
      </c>
      <c r="D69" s="1067" t="s">
        <v>1520</v>
      </c>
      <c r="E69" s="1138">
        <v>0.2</v>
      </c>
      <c r="F69" s="1153">
        <v>30</v>
      </c>
    </row>
    <row r="70" spans="1:6" s="1104" customFormat="1" ht="48">
      <c r="A70" s="1153">
        <v>10</v>
      </c>
      <c r="B70" s="3472"/>
      <c r="C70" s="1067" t="s">
        <v>1521</v>
      </c>
      <c r="D70" s="1067" t="s">
        <v>1522</v>
      </c>
      <c r="E70" s="1138">
        <v>0.2</v>
      </c>
      <c r="F70" s="1153">
        <v>30</v>
      </c>
    </row>
    <row r="71" spans="1:6" s="1104" customFormat="1" ht="48">
      <c r="A71" s="1153">
        <v>11</v>
      </c>
      <c r="B71" s="3472"/>
      <c r="C71" s="1067" t="s">
        <v>1523</v>
      </c>
      <c r="D71" s="1067" t="s">
        <v>1524</v>
      </c>
      <c r="E71" s="1138">
        <v>0.2</v>
      </c>
      <c r="F71" s="1153">
        <v>30</v>
      </c>
    </row>
    <row r="72" spans="1:6" s="1104" customFormat="1" ht="36">
      <c r="A72" s="1153">
        <v>12</v>
      </c>
      <c r="B72" s="3472"/>
      <c r="C72" s="1067" t="s">
        <v>1525</v>
      </c>
      <c r="D72" s="1067" t="s">
        <v>1526</v>
      </c>
      <c r="E72" s="1138">
        <v>0.5</v>
      </c>
      <c r="F72" s="1153">
        <v>80</v>
      </c>
    </row>
    <row r="73" spans="1:6" s="1104" customFormat="1" ht="24">
      <c r="A73" s="1153">
        <v>13</v>
      </c>
      <c r="B73" s="3472"/>
      <c r="C73" s="1067" t="s">
        <v>1527</v>
      </c>
      <c r="D73" s="1067" t="s">
        <v>1528</v>
      </c>
      <c r="E73" s="1138">
        <v>0.4</v>
      </c>
      <c r="F73" s="1153">
        <v>60</v>
      </c>
    </row>
    <row r="74" spans="1:6" s="1104" customFormat="1" ht="24">
      <c r="A74" s="1153">
        <v>14</v>
      </c>
      <c r="B74" s="3472"/>
      <c r="C74" s="1067" t="s">
        <v>1529</v>
      </c>
      <c r="D74" s="1067" t="s">
        <v>1530</v>
      </c>
      <c r="E74" s="1138">
        <v>0.2</v>
      </c>
      <c r="F74" s="1153">
        <v>30</v>
      </c>
    </row>
    <row r="75" spans="1:6" s="1104" customFormat="1" ht="24">
      <c r="A75" s="1153">
        <v>15</v>
      </c>
      <c r="B75" s="3472"/>
      <c r="C75" s="1067" t="s">
        <v>1531</v>
      </c>
      <c r="D75" s="1067" t="s">
        <v>1532</v>
      </c>
      <c r="E75" s="1138">
        <v>0.2</v>
      </c>
      <c r="F75" s="1153">
        <v>30</v>
      </c>
    </row>
    <row r="76" spans="1:6" s="1104" customFormat="1" ht="24">
      <c r="A76" s="1153">
        <v>16</v>
      </c>
      <c r="B76" s="3472" t="s">
        <v>1533</v>
      </c>
      <c r="C76" s="1067" t="s">
        <v>1534</v>
      </c>
      <c r="D76" s="1067" t="s">
        <v>1535</v>
      </c>
      <c r="E76" s="1138">
        <v>0.5</v>
      </c>
      <c r="F76" s="1153">
        <v>80</v>
      </c>
    </row>
    <row r="77" spans="1:6" s="1104" customFormat="1" ht="24">
      <c r="A77" s="1153">
        <v>17</v>
      </c>
      <c r="B77" s="3472"/>
      <c r="C77" s="1067" t="s">
        <v>1536</v>
      </c>
      <c r="D77" s="1067" t="s">
        <v>1537</v>
      </c>
      <c r="E77" s="1138">
        <v>0.5</v>
      </c>
      <c r="F77" s="1153">
        <v>80</v>
      </c>
    </row>
    <row r="78" spans="1:6" s="1104" customFormat="1" ht="24">
      <c r="A78" s="1153">
        <v>18</v>
      </c>
      <c r="B78" s="3472"/>
      <c r="C78" s="1067" t="s">
        <v>1538</v>
      </c>
      <c r="D78" s="1067" t="s">
        <v>1539</v>
      </c>
      <c r="E78" s="1138">
        <v>0.2</v>
      </c>
      <c r="F78" s="1153">
        <v>30</v>
      </c>
    </row>
    <row r="79" spans="1:6" s="1104" customFormat="1" ht="24">
      <c r="A79" s="1153">
        <v>19</v>
      </c>
      <c r="B79" s="3472"/>
      <c r="C79" s="1067" t="s">
        <v>1540</v>
      </c>
      <c r="D79" s="1067" t="s">
        <v>1541</v>
      </c>
      <c r="E79" s="1138">
        <v>0.5</v>
      </c>
      <c r="F79" s="1153">
        <v>80</v>
      </c>
    </row>
    <row r="80" spans="1:6" s="1104" customFormat="1" ht="36">
      <c r="A80" s="1153">
        <v>20</v>
      </c>
      <c r="B80" s="3472"/>
      <c r="C80" s="1067" t="s">
        <v>1542</v>
      </c>
      <c r="D80" s="1067" t="s">
        <v>1543</v>
      </c>
      <c r="E80" s="1138">
        <v>0.2</v>
      </c>
      <c r="F80" s="1153">
        <v>30</v>
      </c>
    </row>
    <row r="81" spans="1:6" s="1104" customFormat="1" ht="36">
      <c r="A81" s="1153">
        <v>21</v>
      </c>
      <c r="B81" s="3472"/>
      <c r="C81" s="1067" t="s">
        <v>1544</v>
      </c>
      <c r="D81" s="1067" t="s">
        <v>1545</v>
      </c>
      <c r="E81" s="1138">
        <v>0.2</v>
      </c>
      <c r="F81" s="1153">
        <v>30</v>
      </c>
    </row>
    <row r="82" spans="1:6" s="1104" customFormat="1" ht="48">
      <c r="A82" s="1153">
        <v>22</v>
      </c>
      <c r="B82" s="3472"/>
      <c r="C82" s="1067" t="s">
        <v>1546</v>
      </c>
      <c r="D82" s="1067" t="s">
        <v>1547</v>
      </c>
      <c r="E82" s="1138">
        <v>0.2</v>
      </c>
      <c r="F82" s="1153">
        <v>30</v>
      </c>
    </row>
    <row r="83" spans="1:6" s="1104" customFormat="1" ht="48">
      <c r="A83" s="1153">
        <v>23</v>
      </c>
      <c r="B83" s="3472"/>
      <c r="C83" s="1067" t="s">
        <v>1548</v>
      </c>
      <c r="D83" s="1067" t="s">
        <v>1549</v>
      </c>
      <c r="E83" s="1138">
        <v>0.2</v>
      </c>
      <c r="F83" s="1153">
        <v>30</v>
      </c>
    </row>
    <row r="84" spans="1:6" s="1104" customFormat="1" ht="36">
      <c r="A84" s="1153">
        <v>24</v>
      </c>
      <c r="B84" s="3472"/>
      <c r="C84" s="1067" t="s">
        <v>1550</v>
      </c>
      <c r="D84" s="1067" t="s">
        <v>1551</v>
      </c>
      <c r="E84" s="1138">
        <v>0.2</v>
      </c>
      <c r="F84" s="1153">
        <v>30</v>
      </c>
    </row>
    <row r="85" spans="1:6" s="1104" customFormat="1" ht="36">
      <c r="A85" s="1153">
        <v>25</v>
      </c>
      <c r="B85" s="3472"/>
      <c r="C85" s="1067" t="s">
        <v>1552</v>
      </c>
      <c r="D85" s="1067" t="s">
        <v>1553</v>
      </c>
      <c r="E85" s="1138">
        <v>0.5</v>
      </c>
      <c r="F85" s="1153">
        <v>80</v>
      </c>
    </row>
    <row r="86" spans="1:6" s="1104" customFormat="1" ht="36">
      <c r="A86" s="1153">
        <v>26</v>
      </c>
      <c r="B86" s="3472"/>
      <c r="C86" s="1067" t="s">
        <v>1554</v>
      </c>
      <c r="D86" s="1067" t="s">
        <v>1555</v>
      </c>
      <c r="E86" s="1138">
        <v>0.2</v>
      </c>
      <c r="F86" s="1153">
        <v>30</v>
      </c>
    </row>
    <row r="87" spans="1:6" s="1104" customFormat="1" ht="36">
      <c r="A87" s="1153">
        <v>27</v>
      </c>
      <c r="B87" s="3472"/>
      <c r="C87" s="1067" t="s">
        <v>1556</v>
      </c>
      <c r="D87" s="1067" t="s">
        <v>1557</v>
      </c>
      <c r="E87" s="1138">
        <v>0.2</v>
      </c>
      <c r="F87" s="1153">
        <v>30</v>
      </c>
    </row>
    <row r="88" spans="1:6" s="1104" customFormat="1" ht="36">
      <c r="A88" s="1153">
        <v>28</v>
      </c>
      <c r="B88" s="3472"/>
      <c r="C88" s="1067" t="s">
        <v>1558</v>
      </c>
      <c r="D88" s="1067" t="s">
        <v>1559</v>
      </c>
      <c r="E88" s="1138">
        <v>0.2</v>
      </c>
      <c r="F88" s="1153">
        <v>30</v>
      </c>
    </row>
    <row r="89" spans="1:6" s="1104" customFormat="1" ht="24">
      <c r="A89" s="1153">
        <v>29</v>
      </c>
      <c r="B89" s="3472"/>
      <c r="C89" s="1067" t="s">
        <v>1560</v>
      </c>
      <c r="D89" s="1067" t="s">
        <v>1561</v>
      </c>
      <c r="E89" s="1138">
        <v>0.2</v>
      </c>
      <c r="F89" s="1153">
        <v>30</v>
      </c>
    </row>
    <row r="90" spans="1:6" s="1104" customFormat="1" ht="24">
      <c r="A90" s="1153">
        <v>30</v>
      </c>
      <c r="B90" s="3472"/>
      <c r="C90" s="1067" t="s">
        <v>1562</v>
      </c>
      <c r="D90" s="1067" t="s">
        <v>1563</v>
      </c>
      <c r="E90" s="1138">
        <v>0.2</v>
      </c>
      <c r="F90" s="1153">
        <v>30</v>
      </c>
    </row>
    <row r="91" spans="1:6" s="1104" customFormat="1" ht="36">
      <c r="A91" s="1153">
        <v>31</v>
      </c>
      <c r="B91" s="3472"/>
      <c r="C91" s="1067" t="s">
        <v>1564</v>
      </c>
      <c r="D91" s="1067" t="s">
        <v>1565</v>
      </c>
      <c r="E91" s="1138">
        <v>0.2</v>
      </c>
      <c r="F91" s="1153">
        <v>30</v>
      </c>
    </row>
    <row r="92" spans="1:6" s="1104" customFormat="1" ht="24">
      <c r="A92" s="1153">
        <v>32</v>
      </c>
      <c r="B92" s="3472" t="s">
        <v>1566</v>
      </c>
      <c r="C92" s="1153" t="s">
        <v>1567</v>
      </c>
      <c r="D92" s="1067" t="s">
        <v>1568</v>
      </c>
      <c r="E92" s="1138">
        <v>0.2</v>
      </c>
      <c r="F92" s="1153">
        <v>30</v>
      </c>
    </row>
    <row r="93" spans="1:6" s="1104" customFormat="1" ht="36">
      <c r="A93" s="1153">
        <v>33</v>
      </c>
      <c r="B93" s="3472"/>
      <c r="C93" s="1153" t="s">
        <v>1569</v>
      </c>
      <c r="D93" s="1067" t="s">
        <v>1570</v>
      </c>
      <c r="E93" s="1138">
        <v>0.2</v>
      </c>
      <c r="F93" s="1153">
        <v>30</v>
      </c>
    </row>
    <row r="94" spans="1:6" s="1104" customFormat="1" ht="48">
      <c r="A94" s="1153">
        <v>34</v>
      </c>
      <c r="B94" s="3472"/>
      <c r="C94" s="1153" t="s">
        <v>1571</v>
      </c>
      <c r="D94" s="1067" t="s">
        <v>1572</v>
      </c>
      <c r="E94" s="1138">
        <v>0.2</v>
      </c>
      <c r="F94" s="1153">
        <v>30</v>
      </c>
    </row>
    <row r="95" spans="1:6" s="1104" customFormat="1" ht="36">
      <c r="A95" s="1153">
        <v>35</v>
      </c>
      <c r="B95" s="3472"/>
      <c r="C95" s="1153" t="s">
        <v>1573</v>
      </c>
      <c r="D95" s="1067" t="s">
        <v>1574</v>
      </c>
      <c r="E95" s="1138">
        <v>0.2</v>
      </c>
      <c r="F95" s="1153">
        <v>30</v>
      </c>
    </row>
    <row r="96" spans="1:6" s="1104" customFormat="1" ht="48">
      <c r="A96" s="1153">
        <v>36</v>
      </c>
      <c r="B96" s="3472"/>
      <c r="C96" s="1067" t="s">
        <v>1575</v>
      </c>
      <c r="D96" s="1067" t="s">
        <v>1576</v>
      </c>
      <c r="E96" s="1138">
        <v>0.2</v>
      </c>
      <c r="F96" s="1153">
        <v>30</v>
      </c>
    </row>
    <row r="97" spans="1:6" s="1104" customFormat="1" ht="36">
      <c r="A97" s="1153">
        <v>37</v>
      </c>
      <c r="B97" s="3472"/>
      <c r="C97" s="1153" t="s">
        <v>1577</v>
      </c>
      <c r="D97" s="1067" t="s">
        <v>1578</v>
      </c>
      <c r="E97" s="1138">
        <v>0.2</v>
      </c>
      <c r="F97" s="1153">
        <v>30</v>
      </c>
    </row>
    <row r="98" spans="1:6" s="1104" customFormat="1" ht="36">
      <c r="A98" s="1153">
        <v>38</v>
      </c>
      <c r="B98" s="3472"/>
      <c r="C98" s="1153" t="s">
        <v>1579</v>
      </c>
      <c r="D98" s="1067" t="s">
        <v>1580</v>
      </c>
      <c r="E98" s="1138">
        <v>0.2</v>
      </c>
      <c r="F98" s="1153">
        <v>30</v>
      </c>
    </row>
    <row r="99" spans="1:6" s="1104" customFormat="1" ht="36">
      <c r="A99" s="1153">
        <v>39</v>
      </c>
      <c r="B99" s="3472" t="s">
        <v>1581</v>
      </c>
      <c r="C99" s="1153" t="s">
        <v>1582</v>
      </c>
      <c r="D99" s="1067" t="s">
        <v>1583</v>
      </c>
      <c r="E99" s="1138">
        <v>0.3</v>
      </c>
      <c r="F99" s="1153">
        <v>50</v>
      </c>
    </row>
    <row r="100" spans="1:6" s="1104" customFormat="1" ht="24">
      <c r="A100" s="1153">
        <v>40</v>
      </c>
      <c r="B100" s="3472"/>
      <c r="C100" s="1153" t="s">
        <v>1584</v>
      </c>
      <c r="D100" s="1067" t="s">
        <v>1585</v>
      </c>
      <c r="E100" s="1138">
        <v>0.2</v>
      </c>
      <c r="F100" s="1153">
        <v>30</v>
      </c>
    </row>
    <row r="101" spans="1:6" s="1104" customFormat="1" ht="36">
      <c r="A101" s="1153">
        <v>41</v>
      </c>
      <c r="B101" s="3472"/>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72" t="s">
        <v>1596</v>
      </c>
      <c r="C105" s="1153" t="s">
        <v>1597</v>
      </c>
      <c r="D105" s="1067" t="s">
        <v>1598</v>
      </c>
      <c r="E105" s="1138">
        <v>0.2</v>
      </c>
      <c r="F105" s="1153">
        <v>30</v>
      </c>
    </row>
    <row r="106" spans="1:6" s="1104" customFormat="1" ht="36">
      <c r="A106" s="1153">
        <v>46</v>
      </c>
      <c r="B106" s="3472"/>
      <c r="C106" s="1153" t="s">
        <v>1599</v>
      </c>
      <c r="D106" s="1067" t="s">
        <v>1600</v>
      </c>
      <c r="E106" s="1138">
        <v>0.2</v>
      </c>
      <c r="F106" s="1153">
        <v>30</v>
      </c>
    </row>
    <row r="107" spans="1:6" s="1104" customFormat="1" ht="36">
      <c r="A107" s="1153">
        <v>47</v>
      </c>
      <c r="B107" s="3472" t="s">
        <v>1601</v>
      </c>
      <c r="C107" s="1153" t="s">
        <v>1602</v>
      </c>
      <c r="D107" s="1067" t="s">
        <v>1603</v>
      </c>
      <c r="E107" s="1138">
        <v>0.3</v>
      </c>
      <c r="F107" s="1153">
        <v>50</v>
      </c>
    </row>
    <row r="108" spans="1:6" s="1104" customFormat="1" ht="36">
      <c r="A108" s="1153">
        <v>48</v>
      </c>
      <c r="B108" s="3472"/>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72" t="s">
        <v>1612</v>
      </c>
      <c r="C111" s="1153" t="s">
        <v>1613</v>
      </c>
      <c r="D111" s="1067" t="s">
        <v>1614</v>
      </c>
      <c r="E111" s="1138">
        <v>0.2</v>
      </c>
      <c r="F111" s="1153">
        <v>30</v>
      </c>
    </row>
    <row r="112" spans="1:6" s="1104" customFormat="1" ht="24">
      <c r="A112" s="1153">
        <v>52</v>
      </c>
      <c r="B112" s="3472"/>
      <c r="C112" s="1153" t="s">
        <v>1615</v>
      </c>
      <c r="D112" s="1067" t="s">
        <v>1616</v>
      </c>
      <c r="E112" s="1138">
        <v>0.2</v>
      </c>
      <c r="F112" s="1153">
        <v>30</v>
      </c>
    </row>
    <row r="113" spans="1:14" s="1104" customFormat="1" ht="24">
      <c r="A113" s="1153">
        <v>53</v>
      </c>
      <c r="B113" s="3472"/>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72" t="s">
        <v>1625</v>
      </c>
      <c r="C116" s="1153" t="s">
        <v>1626</v>
      </c>
      <c r="D116" s="1067" t="s">
        <v>1627</v>
      </c>
      <c r="E116" s="1138">
        <v>0.2</v>
      </c>
      <c r="F116" s="1153">
        <v>30</v>
      </c>
    </row>
    <row r="117" spans="1:14" ht="36">
      <c r="A117" s="1153">
        <v>57</v>
      </c>
      <c r="B117" s="3472"/>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71" t="s">
        <v>1634</v>
      </c>
      <c r="B121" s="3471"/>
      <c r="C121" s="3471"/>
      <c r="D121" s="3471"/>
      <c r="E121" s="3471"/>
      <c r="F121" s="3471"/>
      <c r="G121" s="3471"/>
      <c r="H121" s="3471"/>
      <c r="I121" s="3471"/>
      <c r="J121" s="347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6" t="s">
        <v>1040</v>
      </c>
      <c r="B1" s="3476"/>
      <c r="C1" s="3476"/>
      <c r="D1" s="3476"/>
      <c r="E1" s="3476"/>
      <c r="F1" s="3476"/>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7" t="s">
        <v>1053</v>
      </c>
      <c r="B2" s="3477"/>
      <c r="C2" s="3477"/>
      <c r="D2" s="3477"/>
      <c r="E2" s="3477"/>
      <c r="F2" s="3477"/>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8"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9"/>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80" t="s">
        <v>2080</v>
      </c>
      <c r="B1" s="3480"/>
    </row>
    <row r="2" spans="1:6" ht="14.25" thickBot="1">
      <c r="A2" s="1850"/>
      <c r="B2" s="1850"/>
    </row>
    <row r="3" spans="1:6" ht="14.25" thickBot="1">
      <c r="A3" s="1850"/>
      <c r="B3" s="1850"/>
      <c r="C3" s="1851" t="s">
        <v>2081</v>
      </c>
      <c r="D3" s="1851" t="s">
        <v>2082</v>
      </c>
      <c r="E3" s="1851" t="s">
        <v>2083</v>
      </c>
      <c r="F3" s="1851" t="s">
        <v>2084</v>
      </c>
    </row>
    <row r="4" spans="1:6" ht="14.25" thickBot="1">
      <c r="A4" s="1852" t="s">
        <v>2085</v>
      </c>
      <c r="B4" s="1853" t="s">
        <v>2086</v>
      </c>
      <c r="C4" s="1851"/>
      <c r="D4" s="1851"/>
      <c r="E4" s="1851"/>
      <c r="F4" s="1851"/>
    </row>
    <row r="5" spans="1:6" ht="14.25" thickBot="1">
      <c r="A5" s="1854" t="s">
        <v>2087</v>
      </c>
      <c r="B5" s="1855" t="s">
        <v>2088</v>
      </c>
      <c r="C5" s="1856">
        <v>8.8999999999999996E-2</v>
      </c>
      <c r="D5" s="1856">
        <v>7.3999999999999996E-2</v>
      </c>
      <c r="E5" s="1856">
        <v>7.4999999999999997E-2</v>
      </c>
      <c r="F5" s="1857">
        <v>0.1</v>
      </c>
    </row>
    <row r="6" spans="1:6" ht="14.25" thickBot="1">
      <c r="A6" s="1854" t="s">
        <v>1097</v>
      </c>
      <c r="B6" s="1858" t="s">
        <v>2089</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2090</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2091</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2092</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2093</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2094</v>
      </c>
      <c r="C72" s="1868"/>
      <c r="D72" s="1868"/>
      <c r="E72" s="1868"/>
      <c r="F72" s="1860">
        <v>0.05</v>
      </c>
    </row>
    <row r="73" spans="1:6" ht="14.25" thickBot="1">
      <c r="A73" s="1854" t="s">
        <v>925</v>
      </c>
      <c r="B73" s="1858" t="s">
        <v>2095</v>
      </c>
      <c r="C73" s="1868"/>
      <c r="D73" s="1868"/>
      <c r="E73" s="1868"/>
      <c r="F73" s="1860">
        <v>0.05</v>
      </c>
    </row>
    <row r="74" spans="1:6" ht="14.25" thickBot="1">
      <c r="A74" s="1854" t="s">
        <v>925</v>
      </c>
      <c r="B74" s="1858" t="s">
        <v>2096</v>
      </c>
      <c r="C74" s="1868"/>
      <c r="D74" s="1868"/>
      <c r="E74" s="1868"/>
      <c r="F74" s="1860">
        <v>0.05</v>
      </c>
    </row>
    <row r="75" spans="1:6" ht="14.25" thickBot="1">
      <c r="A75" s="1862" t="s">
        <v>925</v>
      </c>
      <c r="B75" s="1869" t="s">
        <v>2097</v>
      </c>
      <c r="C75" s="1865"/>
      <c r="D75" s="1865"/>
      <c r="E75" s="1865"/>
      <c r="F75" s="1870">
        <v>0.05</v>
      </c>
    </row>
    <row r="76" spans="1:6" ht="14.25" thickBot="1">
      <c r="A76" s="1854" t="s">
        <v>1408</v>
      </c>
      <c r="B76" s="1855" t="s">
        <v>2098</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2099</v>
      </c>
      <c r="C102" s="1868"/>
      <c r="D102" s="1868"/>
      <c r="E102" s="1868"/>
      <c r="F102" s="1860">
        <v>0.05</v>
      </c>
    </row>
    <row r="103" spans="1:6" ht="24.75" thickBot="1">
      <c r="A103" s="1854" t="s">
        <v>1408</v>
      </c>
      <c r="B103" s="1858" t="s">
        <v>2100</v>
      </c>
      <c r="C103" s="1868"/>
      <c r="D103" s="1868"/>
      <c r="E103" s="1868"/>
      <c r="F103" s="1860">
        <v>0.05</v>
      </c>
    </row>
    <row r="104" spans="1:6" ht="14.25" thickBot="1">
      <c r="A104" s="1854" t="s">
        <v>1408</v>
      </c>
      <c r="B104" s="1858" t="s">
        <v>2101</v>
      </c>
      <c r="C104" s="1868"/>
      <c r="D104" s="1868"/>
      <c r="E104" s="1868"/>
      <c r="F104" s="1860">
        <v>0.05</v>
      </c>
    </row>
    <row r="105" spans="1:6" ht="14.25" thickBot="1">
      <c r="A105" s="1854" t="s">
        <v>1408</v>
      </c>
      <c r="B105" s="1858" t="s">
        <v>2102</v>
      </c>
      <c r="C105" s="1868"/>
      <c r="D105" s="1868"/>
      <c r="E105" s="1868"/>
      <c r="F105" s="1860">
        <v>0.05</v>
      </c>
    </row>
    <row r="106" spans="1:6" ht="14.25" thickBot="1">
      <c r="A106" s="1854" t="s">
        <v>1408</v>
      </c>
      <c r="B106" s="1858" t="s">
        <v>2103</v>
      </c>
      <c r="C106" s="1868"/>
      <c r="D106" s="1868"/>
      <c r="E106" s="1868"/>
      <c r="F106" s="1860">
        <v>0.05</v>
      </c>
    </row>
    <row r="107" spans="1:6" ht="24.75" thickBot="1">
      <c r="A107" s="1854" t="s">
        <v>1408</v>
      </c>
      <c r="B107" s="1858" t="s">
        <v>2104</v>
      </c>
      <c r="C107" s="1868"/>
      <c r="D107" s="1868"/>
      <c r="E107" s="1868"/>
      <c r="F107" s="1860">
        <v>0.05</v>
      </c>
    </row>
    <row r="108" spans="1:6" ht="24.75" thickBot="1">
      <c r="A108" s="1854" t="s">
        <v>1408</v>
      </c>
      <c r="B108" s="1858" t="s">
        <v>2105</v>
      </c>
      <c r="C108" s="1868"/>
      <c r="D108" s="1868"/>
      <c r="E108" s="1868"/>
      <c r="F108" s="1860">
        <v>0.05</v>
      </c>
    </row>
    <row r="109" spans="1:6" ht="24.75" thickBot="1">
      <c r="A109" s="1862" t="s">
        <v>1408</v>
      </c>
      <c r="B109" s="1869" t="s">
        <v>2106</v>
      </c>
      <c r="C109" s="1865"/>
      <c r="D109" s="1865"/>
      <c r="E109" s="1865"/>
      <c r="F109" s="1870">
        <v>0.05</v>
      </c>
    </row>
    <row r="110" spans="1:6" ht="14.25" thickBot="1">
      <c r="A110" s="1854" t="s">
        <v>1410</v>
      </c>
      <c r="B110" s="1855" t="s">
        <v>2107</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2108</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2109</v>
      </c>
      <c r="C138" s="1859">
        <v>0.105</v>
      </c>
      <c r="D138" s="1859">
        <v>0.125</v>
      </c>
      <c r="E138" s="1859">
        <v>0.112</v>
      </c>
      <c r="F138" s="1867"/>
    </row>
    <row r="139" spans="1:6" ht="14.25" thickBot="1">
      <c r="A139" s="1854" t="s">
        <v>1410</v>
      </c>
      <c r="B139" s="1858" t="s">
        <v>2110</v>
      </c>
      <c r="C139" s="1859">
        <v>0.127</v>
      </c>
      <c r="D139" s="1859">
        <v>0.127</v>
      </c>
      <c r="E139" s="1859">
        <v>0.122</v>
      </c>
      <c r="F139" s="1860">
        <v>0.13</v>
      </c>
    </row>
    <row r="140" spans="1:6" ht="14.25" thickBot="1">
      <c r="A140" s="1854" t="s">
        <v>1410</v>
      </c>
      <c r="B140" s="1858" t="s">
        <v>2111</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2112</v>
      </c>
      <c r="C144" s="1872">
        <v>0.126</v>
      </c>
      <c r="D144" s="1872">
        <v>0.126</v>
      </c>
      <c r="E144" s="1872">
        <v>0.121</v>
      </c>
      <c r="F144" s="1867"/>
    </row>
    <row r="145" spans="1:6" ht="14.25" thickBot="1">
      <c r="A145" s="1862" t="s">
        <v>1410</v>
      </c>
      <c r="B145" s="1873" t="s">
        <v>2113</v>
      </c>
      <c r="C145" s="1874"/>
      <c r="D145" s="1874"/>
      <c r="E145" s="1874"/>
      <c r="F145" s="1875">
        <v>0.05</v>
      </c>
    </row>
    <row r="146" spans="1:6" ht="24.75" thickBot="1">
      <c r="A146" s="1876" t="s">
        <v>1410</v>
      </c>
      <c r="B146" s="1861" t="s">
        <v>2114</v>
      </c>
      <c r="C146" s="1868"/>
      <c r="D146" s="1868"/>
      <c r="E146" s="1868"/>
      <c r="F146" s="1877">
        <v>0.05</v>
      </c>
    </row>
    <row r="147" spans="1:6" ht="24.75" thickBot="1">
      <c r="A147" s="1854" t="s">
        <v>1410</v>
      </c>
      <c r="B147" s="1858" t="s">
        <v>2115</v>
      </c>
      <c r="C147" s="1868"/>
      <c r="D147" s="1868"/>
      <c r="E147" s="1868"/>
      <c r="F147" s="1860">
        <v>0.05</v>
      </c>
    </row>
    <row r="148" spans="1:6" ht="24.75" thickBot="1">
      <c r="A148" s="1854" t="s">
        <v>1410</v>
      </c>
      <c r="B148" s="1858" t="s">
        <v>2116</v>
      </c>
      <c r="C148" s="1868"/>
      <c r="D148" s="1868"/>
      <c r="E148" s="1868"/>
      <c r="F148" s="1860">
        <v>0.05</v>
      </c>
    </row>
    <row r="149" spans="1:6" ht="24.75" thickBot="1">
      <c r="A149" s="1854" t="s">
        <v>1410</v>
      </c>
      <c r="B149" s="1858" t="s">
        <v>2117</v>
      </c>
      <c r="C149" s="1868"/>
      <c r="D149" s="1868"/>
      <c r="E149" s="1868"/>
      <c r="F149" s="1860">
        <v>0.05</v>
      </c>
    </row>
    <row r="150" spans="1:6" ht="24.75" thickBot="1">
      <c r="A150" s="1854" t="s">
        <v>1410</v>
      </c>
      <c r="B150" s="1858" t="s">
        <v>2118</v>
      </c>
      <c r="C150" s="1868"/>
      <c r="D150" s="1868"/>
      <c r="E150" s="1868"/>
      <c r="F150" s="1860">
        <v>0.05</v>
      </c>
    </row>
    <row r="151" spans="1:6" ht="24.75" thickBot="1">
      <c r="A151" s="1854" t="s">
        <v>1410</v>
      </c>
      <c r="B151" s="1858" t="s">
        <v>2119</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2120</v>
      </c>
      <c r="C153" s="1868"/>
      <c r="D153" s="1868"/>
      <c r="E153" s="1868"/>
      <c r="F153" s="1860">
        <v>0.05</v>
      </c>
    </row>
    <row r="154" spans="1:6" ht="14.25" thickBot="1">
      <c r="A154" s="1854" t="s">
        <v>1410</v>
      </c>
      <c r="B154" s="1858" t="s">
        <v>2121</v>
      </c>
      <c r="C154" s="1868"/>
      <c r="D154" s="1868"/>
      <c r="E154" s="1868"/>
      <c r="F154" s="1860">
        <v>0.05</v>
      </c>
    </row>
    <row r="155" spans="1:6" ht="24.75" thickBot="1">
      <c r="A155" s="1854" t="s">
        <v>1410</v>
      </c>
      <c r="B155" s="1858" t="s">
        <v>2122</v>
      </c>
      <c r="C155" s="1868"/>
      <c r="D155" s="1868"/>
      <c r="E155" s="1868"/>
      <c r="F155" s="1860">
        <v>0.05</v>
      </c>
    </row>
    <row r="156" spans="1:6" ht="24.75" thickBot="1">
      <c r="A156" s="1854" t="s">
        <v>1410</v>
      </c>
      <c r="B156" s="1858" t="s">
        <v>2123</v>
      </c>
      <c r="C156" s="1868"/>
      <c r="D156" s="1868"/>
      <c r="E156" s="1868"/>
      <c r="F156" s="1860">
        <v>0.05</v>
      </c>
    </row>
    <row r="157" spans="1:6" ht="14.25" thickBot="1">
      <c r="A157" s="1862" t="s">
        <v>1410</v>
      </c>
      <c r="B157" s="1869" t="s">
        <v>2124</v>
      </c>
      <c r="C157" s="1865"/>
      <c r="D157" s="1865"/>
      <c r="E157" s="1865"/>
      <c r="F157" s="1870">
        <v>0.05</v>
      </c>
    </row>
    <row r="158" spans="1:6" ht="14.25" thickBot="1">
      <c r="A158" s="1854" t="s">
        <v>1412</v>
      </c>
      <c r="B158" s="1855" t="s">
        <v>2125</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2126</v>
      </c>
      <c r="C171" s="1859">
        <v>0.127</v>
      </c>
      <c r="D171" s="1859">
        <v>0.126</v>
      </c>
      <c r="E171" s="1859">
        <v>0.126</v>
      </c>
      <c r="F171" s="1860">
        <v>0.11799999999999999</v>
      </c>
    </row>
    <row r="172" spans="1:6" ht="14.25" thickBot="1">
      <c r="A172" s="1854" t="s">
        <v>1412</v>
      </c>
      <c r="B172" s="1858" t="s">
        <v>2127</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2128</v>
      </c>
      <c r="C174" s="1859">
        <v>0.13</v>
      </c>
      <c r="D174" s="1859">
        <v>0.13</v>
      </c>
      <c r="E174" s="1859">
        <v>0.13</v>
      </c>
      <c r="F174" s="1860">
        <v>0.13</v>
      </c>
    </row>
    <row r="175" spans="1:6" ht="14.25" thickBot="1">
      <c r="A175" s="1854" t="s">
        <v>1412</v>
      </c>
      <c r="B175" s="1858" t="s">
        <v>2129</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2130</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2131</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2132</v>
      </c>
      <c r="C185" s="1859">
        <v>0.127</v>
      </c>
      <c r="D185" s="1859">
        <v>0.127</v>
      </c>
      <c r="E185" s="1859">
        <v>0.128</v>
      </c>
      <c r="F185" s="1860">
        <v>0.13</v>
      </c>
    </row>
    <row r="186" spans="1:6" ht="24.75" thickBot="1">
      <c r="A186" s="1854" t="s">
        <v>1412</v>
      </c>
      <c r="B186" s="1858" t="s">
        <v>2133</v>
      </c>
      <c r="C186" s="1868"/>
      <c r="D186" s="1868"/>
      <c r="E186" s="1868"/>
      <c r="F186" s="1860">
        <v>0.05</v>
      </c>
    </row>
    <row r="187" spans="1:6" ht="14.25" thickBot="1">
      <c r="A187" s="1854" t="s">
        <v>1412</v>
      </c>
      <c r="B187" s="1858" t="s">
        <v>2134</v>
      </c>
      <c r="C187" s="1868"/>
      <c r="D187" s="1868"/>
      <c r="E187" s="1868"/>
      <c r="F187" s="1860">
        <v>0.05</v>
      </c>
    </row>
    <row r="188" spans="1:6" ht="14.25" thickBot="1">
      <c r="A188" s="1854" t="s">
        <v>1412</v>
      </c>
      <c r="B188" s="1858" t="s">
        <v>2135</v>
      </c>
      <c r="C188" s="1868"/>
      <c r="D188" s="1868"/>
      <c r="E188" s="1868"/>
      <c r="F188" s="1860">
        <v>0.05</v>
      </c>
    </row>
    <row r="189" spans="1:6" ht="24.75" thickBot="1">
      <c r="A189" s="1854" t="s">
        <v>1412</v>
      </c>
      <c r="B189" s="1858" t="s">
        <v>2136</v>
      </c>
      <c r="C189" s="1868"/>
      <c r="D189" s="1868"/>
      <c r="E189" s="1868"/>
      <c r="F189" s="1860">
        <v>0.05</v>
      </c>
    </row>
    <row r="190" spans="1:6" ht="24.75" thickBot="1">
      <c r="A190" s="1854" t="s">
        <v>1412</v>
      </c>
      <c r="B190" s="1858" t="s">
        <v>2137</v>
      </c>
      <c r="C190" s="1868"/>
      <c r="D190" s="1868"/>
      <c r="E190" s="1868"/>
      <c r="F190" s="1860">
        <v>0.05</v>
      </c>
    </row>
    <row r="191" spans="1:6" ht="24.75" thickBot="1">
      <c r="A191" s="1854" t="s">
        <v>1412</v>
      </c>
      <c r="B191" s="1858" t="s">
        <v>2138</v>
      </c>
      <c r="C191" s="1868"/>
      <c r="D191" s="1868"/>
      <c r="E191" s="1868"/>
      <c r="F191" s="1860">
        <v>0.05</v>
      </c>
    </row>
    <row r="192" spans="1:6" ht="24.75" thickBot="1">
      <c r="A192" s="1854" t="s">
        <v>1412</v>
      </c>
      <c r="B192" s="1858" t="s">
        <v>2139</v>
      </c>
      <c r="C192" s="1868"/>
      <c r="D192" s="1868"/>
      <c r="E192" s="1868"/>
      <c r="F192" s="1860">
        <v>0.05</v>
      </c>
    </row>
    <row r="193" spans="1:6" ht="24.75" thickBot="1">
      <c r="A193" s="1854" t="s">
        <v>1412</v>
      </c>
      <c r="B193" s="1858" t="s">
        <v>2140</v>
      </c>
      <c r="C193" s="1868"/>
      <c r="D193" s="1868"/>
      <c r="E193" s="1868"/>
      <c r="F193" s="1860">
        <v>0.05</v>
      </c>
    </row>
    <row r="194" spans="1:6" ht="24.75" thickBot="1">
      <c r="A194" s="1854" t="s">
        <v>1412</v>
      </c>
      <c r="B194" s="1858" t="s">
        <v>2141</v>
      </c>
      <c r="C194" s="1868"/>
      <c r="D194" s="1868"/>
      <c r="E194" s="1868"/>
      <c r="F194" s="1860">
        <v>0.05</v>
      </c>
    </row>
    <row r="195" spans="1:6" ht="14.25" thickBot="1">
      <c r="A195" s="1854" t="s">
        <v>1412</v>
      </c>
      <c r="B195" s="1858" t="s">
        <v>2142</v>
      </c>
      <c r="C195" s="1868"/>
      <c r="D195" s="1868"/>
      <c r="E195" s="1868"/>
      <c r="F195" s="1860">
        <v>0.05</v>
      </c>
    </row>
    <row r="196" spans="1:6" ht="24.75" thickBot="1">
      <c r="A196" s="1854" t="s">
        <v>1412</v>
      </c>
      <c r="B196" s="1858" t="s">
        <v>2143</v>
      </c>
      <c r="C196" s="1868"/>
      <c r="D196" s="1868"/>
      <c r="E196" s="1868"/>
      <c r="F196" s="1860">
        <v>0.05</v>
      </c>
    </row>
    <row r="197" spans="1:6" ht="24.75" thickBot="1">
      <c r="A197" s="1854" t="s">
        <v>1412</v>
      </c>
      <c r="B197" s="1858" t="s">
        <v>2144</v>
      </c>
      <c r="C197" s="1868"/>
      <c r="D197" s="1868"/>
      <c r="E197" s="1868"/>
      <c r="F197" s="1860">
        <v>0.05</v>
      </c>
    </row>
    <row r="198" spans="1:6" ht="24.75" thickBot="1">
      <c r="A198" s="1854" t="s">
        <v>1412</v>
      </c>
      <c r="B198" s="1858" t="s">
        <v>2145</v>
      </c>
      <c r="C198" s="1868"/>
      <c r="D198" s="1868"/>
      <c r="E198" s="1868"/>
      <c r="F198" s="1860">
        <v>0.05</v>
      </c>
    </row>
    <row r="199" spans="1:6" ht="24.75" thickBot="1">
      <c r="A199" s="1854" t="s">
        <v>1412</v>
      </c>
      <c r="B199" s="1858" t="s">
        <v>2146</v>
      </c>
      <c r="C199" s="1868"/>
      <c r="D199" s="1868"/>
      <c r="E199" s="1868"/>
      <c r="F199" s="1860">
        <v>0.05</v>
      </c>
    </row>
    <row r="200" spans="1:6" ht="24.75" thickBot="1">
      <c r="A200" s="1854" t="s">
        <v>1412</v>
      </c>
      <c r="B200" s="1858" t="s">
        <v>2147</v>
      </c>
      <c r="C200" s="1868"/>
      <c r="D200" s="1868"/>
      <c r="E200" s="1868"/>
      <c r="F200" s="1860">
        <v>0.05</v>
      </c>
    </row>
    <row r="201" spans="1:6" ht="24.75" thickBot="1">
      <c r="A201" s="1854" t="s">
        <v>1412</v>
      </c>
      <c r="B201" s="1858" t="s">
        <v>2148</v>
      </c>
      <c r="C201" s="1868"/>
      <c r="D201" s="1868"/>
      <c r="E201" s="1868"/>
      <c r="F201" s="1860">
        <v>0.05</v>
      </c>
    </row>
    <row r="202" spans="1:6" ht="24.75" thickBot="1">
      <c r="A202" s="1854" t="s">
        <v>1412</v>
      </c>
      <c r="B202" s="1858" t="s">
        <v>2149</v>
      </c>
      <c r="C202" s="1868"/>
      <c r="D202" s="1868"/>
      <c r="E202" s="1868"/>
      <c r="F202" s="1860">
        <v>0.05</v>
      </c>
    </row>
    <row r="203" spans="1:6" ht="24.75" thickBot="1">
      <c r="A203" s="1854" t="s">
        <v>1412</v>
      </c>
      <c r="B203" s="1858" t="s">
        <v>2150</v>
      </c>
      <c r="C203" s="1868"/>
      <c r="D203" s="1868"/>
      <c r="E203" s="1868"/>
      <c r="F203" s="1860">
        <v>0.05</v>
      </c>
    </row>
    <row r="204" spans="1:6" ht="14.25" thickBot="1">
      <c r="A204" s="1854" t="s">
        <v>1412</v>
      </c>
      <c r="B204" s="1858" t="s">
        <v>2151</v>
      </c>
      <c r="C204" s="1868"/>
      <c r="D204" s="1868"/>
      <c r="E204" s="1868"/>
      <c r="F204" s="1860">
        <v>0.05</v>
      </c>
    </row>
    <row r="205" spans="1:6" ht="14.25" thickBot="1">
      <c r="A205" s="1862" t="s">
        <v>1412</v>
      </c>
      <c r="B205" s="1869" t="s">
        <v>2152</v>
      </c>
      <c r="C205" s="1865"/>
      <c r="D205" s="1865"/>
      <c r="E205" s="1865"/>
      <c r="F205" s="1870">
        <v>0.05</v>
      </c>
    </row>
    <row r="206" spans="1:6" ht="14.25" thickBot="1">
      <c r="A206" s="1854" t="s">
        <v>1414</v>
      </c>
      <c r="B206" s="1855" t="s">
        <v>2153</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2154</v>
      </c>
      <c r="C210" s="1859">
        <v>0.15</v>
      </c>
      <c r="D210" s="1859">
        <v>0.15</v>
      </c>
      <c r="E210" s="1859">
        <v>0.15</v>
      </c>
      <c r="F210" s="1860">
        <v>0.13800000000000001</v>
      </c>
    </row>
    <row r="211" spans="1:6" ht="14.25" thickBot="1">
      <c r="A211" s="1854" t="s">
        <v>1414</v>
      </c>
      <c r="B211" s="1858" t="s">
        <v>2155</v>
      </c>
      <c r="C211" s="1859">
        <v>0.13700000000000001</v>
      </c>
      <c r="D211" s="1859">
        <v>0.13500000000000001</v>
      </c>
      <c r="E211" s="1859">
        <v>0.13600000000000001</v>
      </c>
      <c r="F211" s="1860">
        <v>0.1</v>
      </c>
    </row>
    <row r="212" spans="1:6" ht="14.25" thickBot="1">
      <c r="A212" s="1854" t="s">
        <v>1414</v>
      </c>
      <c r="B212" s="1858" t="s">
        <v>2156</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2157</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2158</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2159</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2160</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2161</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2162</v>
      </c>
      <c r="C231" s="1859">
        <v>0.128</v>
      </c>
      <c r="D231" s="1859">
        <v>0.125</v>
      </c>
      <c r="E231" s="1859">
        <v>0.13200000000000001</v>
      </c>
      <c r="F231" s="1867"/>
    </row>
    <row r="232" spans="1:6" ht="14.25" thickBot="1">
      <c r="A232" s="1854" t="s">
        <v>1414</v>
      </c>
      <c r="B232" s="1858" t="s">
        <v>2163</v>
      </c>
      <c r="C232" s="1859">
        <v>0.14499999999999999</v>
      </c>
      <c r="D232" s="1859">
        <v>0.14399999999999999</v>
      </c>
      <c r="E232" s="1859">
        <v>0.14599999999999999</v>
      </c>
      <c r="F232" s="1860">
        <v>0.13800000000000001</v>
      </c>
    </row>
    <row r="233" spans="1:6" ht="14.25" thickBot="1">
      <c r="A233" s="1854" t="s">
        <v>1414</v>
      </c>
      <c r="B233" s="1858" t="s">
        <v>2164</v>
      </c>
      <c r="C233" s="1859">
        <v>0.14499999999999999</v>
      </c>
      <c r="D233" s="1859">
        <v>0.14299999999999999</v>
      </c>
      <c r="E233" s="1859">
        <v>0.14199999999999999</v>
      </c>
      <c r="F233" s="1867"/>
    </row>
    <row r="234" spans="1:6" ht="14.25" thickBot="1">
      <c r="A234" s="1854" t="s">
        <v>1414</v>
      </c>
      <c r="B234" s="1858" t="s">
        <v>2165</v>
      </c>
      <c r="C234" s="1859">
        <v>0.14000000000000001</v>
      </c>
      <c r="D234" s="1859">
        <v>0.14000000000000001</v>
      </c>
      <c r="E234" s="1859">
        <v>0.14399999999999999</v>
      </c>
      <c r="F234" s="1867"/>
    </row>
    <row r="235" spans="1:6" ht="14.25" thickBot="1">
      <c r="A235" s="1854" t="s">
        <v>1414</v>
      </c>
      <c r="B235" s="1858" t="s">
        <v>2166</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2167</v>
      </c>
      <c r="C237" s="1868"/>
      <c r="D237" s="1868"/>
      <c r="E237" s="1868"/>
      <c r="F237" s="1860">
        <v>0.05</v>
      </c>
    </row>
    <row r="238" spans="1:6" ht="24.75" thickBot="1">
      <c r="A238" s="1854" t="s">
        <v>1414</v>
      </c>
      <c r="B238" s="1858" t="s">
        <v>2168</v>
      </c>
      <c r="C238" s="1868"/>
      <c r="D238" s="1868"/>
      <c r="E238" s="1868"/>
      <c r="F238" s="1860">
        <v>0.05</v>
      </c>
    </row>
    <row r="239" spans="1:6" ht="24.75" thickBot="1">
      <c r="A239" s="1854" t="s">
        <v>1414</v>
      </c>
      <c r="B239" s="1858" t="s">
        <v>2169</v>
      </c>
      <c r="C239" s="1868"/>
      <c r="D239" s="1868"/>
      <c r="E239" s="1868"/>
      <c r="F239" s="1860">
        <v>0.05</v>
      </c>
    </row>
    <row r="240" spans="1:6" ht="24.75" thickBot="1">
      <c r="A240" s="1854" t="s">
        <v>1414</v>
      </c>
      <c r="B240" s="1858" t="s">
        <v>2170</v>
      </c>
      <c r="C240" s="1868"/>
      <c r="D240" s="1868"/>
      <c r="E240" s="1868"/>
      <c r="F240" s="1860">
        <v>0.05</v>
      </c>
    </row>
    <row r="241" spans="1:6" ht="24.75" thickBot="1">
      <c r="A241" s="1854" t="s">
        <v>1414</v>
      </c>
      <c r="B241" s="1858" t="s">
        <v>2171</v>
      </c>
      <c r="C241" s="1868"/>
      <c r="D241" s="1868"/>
      <c r="E241" s="1868"/>
      <c r="F241" s="1860">
        <v>0.05</v>
      </c>
    </row>
    <row r="242" spans="1:6" ht="24.75" thickBot="1">
      <c r="A242" s="1854" t="s">
        <v>1414</v>
      </c>
      <c r="B242" s="1858" t="s">
        <v>2172</v>
      </c>
      <c r="C242" s="1868"/>
      <c r="D242" s="1868"/>
      <c r="E242" s="1868"/>
      <c r="F242" s="1860">
        <v>0.05</v>
      </c>
    </row>
    <row r="243" spans="1:6" ht="24.75" thickBot="1">
      <c r="A243" s="1854" t="s">
        <v>1414</v>
      </c>
      <c r="B243" s="1858" t="s">
        <v>2173</v>
      </c>
      <c r="C243" s="1868"/>
      <c r="D243" s="1868"/>
      <c r="E243" s="1868"/>
      <c r="F243" s="1860">
        <v>0.05</v>
      </c>
    </row>
    <row r="244" spans="1:6" ht="24.75" thickBot="1">
      <c r="A244" s="1862" t="s">
        <v>1414</v>
      </c>
      <c r="B244" s="1869" t="s">
        <v>2174</v>
      </c>
      <c r="C244" s="1865"/>
      <c r="D244" s="1865"/>
      <c r="E244" s="1865"/>
      <c r="F244" s="1870">
        <v>0.05</v>
      </c>
    </row>
    <row r="245" spans="1:6" ht="14.25" thickBot="1">
      <c r="A245" s="1854" t="s">
        <v>1416</v>
      </c>
      <c r="B245" s="1855" t="s">
        <v>2175</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2176</v>
      </c>
      <c r="C247" s="1859">
        <v>0.15</v>
      </c>
      <c r="D247" s="1859">
        <v>0.15</v>
      </c>
      <c r="E247" s="1859">
        <v>0.15</v>
      </c>
      <c r="F247" s="1860">
        <v>0.15</v>
      </c>
    </row>
    <row r="248" spans="1:6" ht="14.25" thickBot="1">
      <c r="A248" s="1854" t="s">
        <v>1416</v>
      </c>
      <c r="B248" s="1858" t="s">
        <v>2177</v>
      </c>
      <c r="C248" s="1859">
        <v>0.15</v>
      </c>
      <c r="D248" s="1859">
        <v>0.15</v>
      </c>
      <c r="E248" s="1859">
        <v>0.15</v>
      </c>
      <c r="F248" s="1860">
        <v>0.14000000000000001</v>
      </c>
    </row>
    <row r="249" spans="1:6" ht="14.25" thickBot="1">
      <c r="A249" s="1854" t="s">
        <v>1416</v>
      </c>
      <c r="B249" s="1858" t="s">
        <v>2178</v>
      </c>
      <c r="C249" s="1859">
        <v>0.15</v>
      </c>
      <c r="D249" s="1859">
        <v>0.14899999999999999</v>
      </c>
      <c r="E249" s="1859">
        <v>0.15</v>
      </c>
      <c r="F249" s="1860">
        <v>0.1</v>
      </c>
    </row>
    <row r="250" spans="1:6" ht="14.25" thickBot="1">
      <c r="A250" s="1854" t="s">
        <v>1416</v>
      </c>
      <c r="B250" s="1858" t="s">
        <v>2179</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2180</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2181</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2182</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2183</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2184</v>
      </c>
      <c r="C273" s="1859">
        <v>0.14199999999999999</v>
      </c>
      <c r="D273" s="1859">
        <v>0.14299999999999999</v>
      </c>
      <c r="E273" s="1859">
        <v>0.15</v>
      </c>
      <c r="F273" s="1860">
        <v>0.1</v>
      </c>
    </row>
    <row r="274" spans="1:6" ht="14.25" thickBot="1">
      <c r="A274" s="1854" t="s">
        <v>1416</v>
      </c>
      <c r="B274" s="1858" t="s">
        <v>2185</v>
      </c>
      <c r="C274" s="1859">
        <v>0.14799999999999999</v>
      </c>
      <c r="D274" s="1859">
        <v>0.14799999999999999</v>
      </c>
      <c r="E274" s="1859">
        <v>0.15</v>
      </c>
      <c r="F274" s="1860">
        <v>6.7000000000000004E-2</v>
      </c>
    </row>
    <row r="275" spans="1:6" ht="14.25" thickBot="1">
      <c r="A275" s="1854" t="s">
        <v>1416</v>
      </c>
      <c r="B275" s="1858" t="s">
        <v>2186</v>
      </c>
      <c r="C275" s="1859">
        <v>0.15</v>
      </c>
      <c r="D275" s="1859">
        <v>0.15</v>
      </c>
      <c r="E275" s="1859">
        <v>0.15</v>
      </c>
      <c r="F275" s="1860">
        <v>0.15</v>
      </c>
    </row>
    <row r="276" spans="1:6" ht="14.25" thickBot="1">
      <c r="A276" s="1854" t="s">
        <v>1416</v>
      </c>
      <c r="B276" s="1858" t="s">
        <v>2187</v>
      </c>
      <c r="C276" s="1859">
        <v>0.14499999999999999</v>
      </c>
      <c r="D276" s="1859">
        <v>0.14299999999999999</v>
      </c>
      <c r="E276" s="1859">
        <v>0.15</v>
      </c>
      <c r="F276" s="1860">
        <v>5.8999999999999997E-2</v>
      </c>
    </row>
    <row r="277" spans="1:6" ht="14.25" thickBot="1">
      <c r="A277" s="1854" t="s">
        <v>1416</v>
      </c>
      <c r="B277" s="1858" t="s">
        <v>2188</v>
      </c>
      <c r="C277" s="1859">
        <v>0.15</v>
      </c>
      <c r="D277" s="1859">
        <v>0.15</v>
      </c>
      <c r="E277" s="1859">
        <v>0.15</v>
      </c>
      <c r="F277" s="1860">
        <v>0.121</v>
      </c>
    </row>
    <row r="278" spans="1:6" ht="14.25" thickBot="1">
      <c r="A278" s="1854" t="s">
        <v>1416</v>
      </c>
      <c r="B278" s="1858" t="s">
        <v>2189</v>
      </c>
      <c r="C278" s="1859">
        <v>0.15</v>
      </c>
      <c r="D278" s="1859">
        <v>0.15</v>
      </c>
      <c r="E278" s="1859">
        <v>0.15</v>
      </c>
      <c r="F278" s="1860">
        <v>0.13800000000000001</v>
      </c>
    </row>
    <row r="279" spans="1:6" ht="24.75" thickBot="1">
      <c r="A279" s="1854" t="s">
        <v>1416</v>
      </c>
      <c r="B279" s="1858" t="s">
        <v>2190</v>
      </c>
      <c r="C279" s="1868"/>
      <c r="D279" s="1868"/>
      <c r="E279" s="1868"/>
      <c r="F279" s="1860">
        <v>0.05</v>
      </c>
    </row>
    <row r="280" spans="1:6" ht="24.75" thickBot="1">
      <c r="A280" s="1854" t="s">
        <v>1416</v>
      </c>
      <c r="B280" s="1858" t="s">
        <v>2191</v>
      </c>
      <c r="C280" s="1868"/>
      <c r="D280" s="1868"/>
      <c r="E280" s="1868"/>
      <c r="F280" s="1860">
        <v>0.05</v>
      </c>
    </row>
    <row r="281" spans="1:6" ht="24.75" thickBot="1">
      <c r="A281" s="1854" t="s">
        <v>1416</v>
      </c>
      <c r="B281" s="1858" t="s">
        <v>2192</v>
      </c>
      <c r="C281" s="1868"/>
      <c r="D281" s="1868"/>
      <c r="E281" s="1868"/>
      <c r="F281" s="1860">
        <v>0.05</v>
      </c>
    </row>
    <row r="282" spans="1:6" ht="24.75" thickBot="1">
      <c r="A282" s="1854" t="s">
        <v>1416</v>
      </c>
      <c r="B282" s="1858" t="s">
        <v>2193</v>
      </c>
      <c r="C282" s="1868"/>
      <c r="D282" s="1868"/>
      <c r="E282" s="1868"/>
      <c r="F282" s="1860">
        <v>0.05</v>
      </c>
    </row>
    <row r="283" spans="1:6" ht="24.75" thickBot="1">
      <c r="A283" s="1854" t="s">
        <v>1416</v>
      </c>
      <c r="B283" s="1858" t="s">
        <v>2194</v>
      </c>
      <c r="C283" s="1868"/>
      <c r="D283" s="1868"/>
      <c r="E283" s="1868"/>
      <c r="F283" s="1860">
        <v>0.05</v>
      </c>
    </row>
    <row r="284" spans="1:6" ht="24.75" thickBot="1">
      <c r="A284" s="1854" t="s">
        <v>1416</v>
      </c>
      <c r="B284" s="1858" t="s">
        <v>2195</v>
      </c>
      <c r="C284" s="1868"/>
      <c r="D284" s="1868"/>
      <c r="E284" s="1868"/>
      <c r="F284" s="1860">
        <v>0.05</v>
      </c>
    </row>
    <row r="285" spans="1:6" ht="24.75" thickBot="1">
      <c r="A285" s="1854" t="s">
        <v>1416</v>
      </c>
      <c r="B285" s="1858" t="s">
        <v>2196</v>
      </c>
      <c r="C285" s="1868"/>
      <c r="D285" s="1868"/>
      <c r="E285" s="1868"/>
      <c r="F285" s="1860">
        <v>0.05</v>
      </c>
    </row>
    <row r="286" spans="1:6" ht="24.75" thickBot="1">
      <c r="A286" s="1854" t="s">
        <v>1416</v>
      </c>
      <c r="B286" s="1858" t="s">
        <v>2197</v>
      </c>
      <c r="C286" s="1868"/>
      <c r="D286" s="1868"/>
      <c r="E286" s="1868"/>
      <c r="F286" s="1860">
        <v>0.05</v>
      </c>
    </row>
    <row r="287" spans="1:6" ht="24.75" thickBot="1">
      <c r="A287" s="1854" t="s">
        <v>1416</v>
      </c>
      <c r="B287" s="1858" t="s">
        <v>2198</v>
      </c>
      <c r="C287" s="1868"/>
      <c r="D287" s="1868"/>
      <c r="E287" s="1868"/>
      <c r="F287" s="1860">
        <v>0.05</v>
      </c>
    </row>
    <row r="288" spans="1:6" ht="24.75" thickBot="1">
      <c r="A288" s="1854" t="s">
        <v>1416</v>
      </c>
      <c r="B288" s="1858" t="s">
        <v>2199</v>
      </c>
      <c r="C288" s="1868"/>
      <c r="D288" s="1868"/>
      <c r="E288" s="1868"/>
      <c r="F288" s="1860">
        <v>0.05</v>
      </c>
    </row>
    <row r="289" spans="1:6" ht="24.75" thickBot="1">
      <c r="A289" s="1862" t="s">
        <v>1416</v>
      </c>
      <c r="B289" s="1869" t="s">
        <v>2200</v>
      </c>
      <c r="C289" s="1865"/>
      <c r="D289" s="1865"/>
      <c r="E289" s="1865"/>
      <c r="F289" s="1870">
        <v>0.05</v>
      </c>
    </row>
    <row r="290" spans="1:6" ht="14.25" thickBot="1">
      <c r="A290" s="1854" t="s">
        <v>1420</v>
      </c>
      <c r="B290" s="1855" t="s">
        <v>2201</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2202</v>
      </c>
      <c r="C292" s="1859">
        <v>0.15</v>
      </c>
      <c r="D292" s="1859">
        <v>0.15</v>
      </c>
      <c r="E292" s="1859">
        <v>0.15</v>
      </c>
      <c r="F292" s="1860">
        <v>0.14699999999999999</v>
      </c>
    </row>
    <row r="293" spans="1:6" ht="14.25" thickBot="1">
      <c r="A293" s="1854" t="s">
        <v>1420</v>
      </c>
      <c r="B293" s="1858" t="s">
        <v>2203</v>
      </c>
      <c r="C293" s="1868"/>
      <c r="D293" s="1868"/>
      <c r="E293" s="1868"/>
      <c r="F293" s="1860">
        <v>0.1</v>
      </c>
    </row>
    <row r="294" spans="1:6" ht="14.25" thickBot="1">
      <c r="A294" s="1854" t="s">
        <v>1420</v>
      </c>
      <c r="B294" s="1858" t="s">
        <v>2204</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2205</v>
      </c>
      <c r="C296" s="1859">
        <v>0.15</v>
      </c>
      <c r="D296" s="1859">
        <v>0.15</v>
      </c>
      <c r="E296" s="1859">
        <v>0.15</v>
      </c>
      <c r="F296" s="1860">
        <v>0.15</v>
      </c>
    </row>
    <row r="297" spans="1:6" ht="14.25" thickBot="1">
      <c r="A297" s="1854" t="s">
        <v>1420</v>
      </c>
      <c r="B297" s="1858" t="s">
        <v>2206</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2207</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2208</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2209</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2210</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2211</v>
      </c>
      <c r="C310" s="1859">
        <v>0.15</v>
      </c>
      <c r="D310" s="1859">
        <v>0.15</v>
      </c>
      <c r="E310" s="1859">
        <v>0.15</v>
      </c>
      <c r="F310" s="1860">
        <v>0.13700000000000001</v>
      </c>
    </row>
    <row r="311" spans="1:6" ht="14.25" thickBot="1">
      <c r="A311" s="1854" t="s">
        <v>1420</v>
      </c>
      <c r="B311" s="1858" t="s">
        <v>2212</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2213</v>
      </c>
      <c r="C313" s="1859">
        <v>0.15</v>
      </c>
      <c r="D313" s="1859">
        <v>0.15</v>
      </c>
      <c r="E313" s="1859">
        <v>0.15</v>
      </c>
      <c r="F313" s="1860">
        <v>0.15</v>
      </c>
    </row>
    <row r="314" spans="1:6" ht="24.75" thickBot="1">
      <c r="A314" s="1854" t="s">
        <v>1420</v>
      </c>
      <c r="B314" s="1858" t="s">
        <v>2214</v>
      </c>
      <c r="C314" s="1868"/>
      <c r="D314" s="1868"/>
      <c r="E314" s="1868"/>
      <c r="F314" s="1860">
        <v>0.05</v>
      </c>
    </row>
    <row r="315" spans="1:6" ht="24.75" thickBot="1">
      <c r="A315" s="1854" t="s">
        <v>1420</v>
      </c>
      <c r="B315" s="1858" t="s">
        <v>2215</v>
      </c>
      <c r="C315" s="1868"/>
      <c r="D315" s="1868"/>
      <c r="E315" s="1868"/>
      <c r="F315" s="1860">
        <v>0.05</v>
      </c>
    </row>
    <row r="316" spans="1:6" ht="24.75" thickBot="1">
      <c r="A316" s="1862" t="s">
        <v>1420</v>
      </c>
      <c r="B316" s="1869" t="s">
        <v>2216</v>
      </c>
      <c r="C316" s="1865"/>
      <c r="D316" s="1865"/>
      <c r="E316" s="1865"/>
      <c r="F316" s="1870">
        <v>0.05</v>
      </c>
    </row>
    <row r="317" spans="1:6" ht="14.25" thickBot="1">
      <c r="A317" s="1854" t="s">
        <v>2217</v>
      </c>
      <c r="B317" s="1855" t="s">
        <v>2218</v>
      </c>
      <c r="C317" s="1856">
        <v>0.15</v>
      </c>
      <c r="D317" s="1856">
        <v>0.15</v>
      </c>
      <c r="E317" s="1856">
        <v>0.15</v>
      </c>
      <c r="F317" s="1857">
        <v>0.15</v>
      </c>
    </row>
    <row r="318" spans="1:6" ht="14.25" thickBot="1">
      <c r="A318" s="1854" t="s">
        <v>2217</v>
      </c>
      <c r="B318" s="1858" t="s">
        <v>2219</v>
      </c>
      <c r="C318" s="1859">
        <v>0.107</v>
      </c>
      <c r="D318" s="1859">
        <v>0.11</v>
      </c>
      <c r="E318" s="1859">
        <v>0.112</v>
      </c>
      <c r="F318" s="1867"/>
    </row>
    <row r="319" spans="1:6" ht="14.25" thickBot="1">
      <c r="A319" s="1854" t="s">
        <v>2217</v>
      </c>
      <c r="B319" s="1858" t="s">
        <v>2220</v>
      </c>
      <c r="C319" s="1859">
        <v>0.15</v>
      </c>
      <c r="D319" s="1859">
        <v>0.15</v>
      </c>
      <c r="E319" s="1859">
        <v>0.15</v>
      </c>
      <c r="F319" s="1860">
        <v>0.15</v>
      </c>
    </row>
    <row r="320" spans="1:6" ht="14.25" thickBot="1">
      <c r="A320" s="1854" t="s">
        <v>2217</v>
      </c>
      <c r="B320" s="1858" t="s">
        <v>1108</v>
      </c>
      <c r="C320" s="1859">
        <v>0.15</v>
      </c>
      <c r="D320" s="1859">
        <v>0.15</v>
      </c>
      <c r="E320" s="1859">
        <v>0.15</v>
      </c>
      <c r="F320" s="1867"/>
    </row>
    <row r="321" spans="1:6" ht="14.25" thickBot="1">
      <c r="A321" s="1854" t="s">
        <v>2217</v>
      </c>
      <c r="B321" s="1858" t="s">
        <v>2221</v>
      </c>
      <c r="C321" s="1859">
        <v>0.15</v>
      </c>
      <c r="D321" s="1859">
        <v>0.15</v>
      </c>
      <c r="E321" s="1859">
        <v>0.15</v>
      </c>
      <c r="F321" s="1867"/>
    </row>
    <row r="322" spans="1:6" ht="14.25" thickBot="1">
      <c r="A322" s="1854" t="s">
        <v>2217</v>
      </c>
      <c r="B322" s="1858" t="s">
        <v>2222</v>
      </c>
      <c r="C322" s="1859">
        <v>0.15</v>
      </c>
      <c r="D322" s="1859">
        <v>0.15</v>
      </c>
      <c r="E322" s="1859">
        <v>0.15</v>
      </c>
      <c r="F322" s="1860">
        <v>0.15</v>
      </c>
    </row>
    <row r="323" spans="1:6" ht="14.25" thickBot="1">
      <c r="A323" s="1854" t="s">
        <v>2217</v>
      </c>
      <c r="B323" s="1858" t="s">
        <v>2223</v>
      </c>
      <c r="C323" s="1859">
        <v>0.15</v>
      </c>
      <c r="D323" s="1859">
        <v>0.15</v>
      </c>
      <c r="E323" s="1859">
        <v>0.15</v>
      </c>
      <c r="F323" s="1867"/>
    </row>
    <row r="324" spans="1:6" ht="14.25" thickBot="1">
      <c r="A324" s="1854" t="s">
        <v>2217</v>
      </c>
      <c r="B324" s="1858" t="s">
        <v>2224</v>
      </c>
      <c r="C324" s="1859">
        <v>0.15</v>
      </c>
      <c r="D324" s="1859">
        <v>0.15</v>
      </c>
      <c r="E324" s="1859">
        <v>0.15</v>
      </c>
      <c r="F324" s="1867"/>
    </row>
    <row r="325" spans="1:6" ht="14.25" thickBot="1">
      <c r="A325" s="1854" t="s">
        <v>2217</v>
      </c>
      <c r="B325" s="1858" t="s">
        <v>2225</v>
      </c>
      <c r="C325" s="1859">
        <v>0.15</v>
      </c>
      <c r="D325" s="1859">
        <v>0.15</v>
      </c>
      <c r="E325" s="1859">
        <v>0.15</v>
      </c>
      <c r="F325" s="1860">
        <v>0.14699999999999999</v>
      </c>
    </row>
    <row r="326" spans="1:6" ht="14.25" thickBot="1">
      <c r="A326" s="1854" t="s">
        <v>2217</v>
      </c>
      <c r="B326" s="1858" t="s">
        <v>1177</v>
      </c>
      <c r="C326" s="1859">
        <v>0.15</v>
      </c>
      <c r="D326" s="1859">
        <v>0.15</v>
      </c>
      <c r="E326" s="1859">
        <v>0.15</v>
      </c>
      <c r="F326" s="1867"/>
    </row>
    <row r="327" spans="1:6" ht="14.25" thickBot="1">
      <c r="A327" s="1854" t="s">
        <v>2217</v>
      </c>
      <c r="B327" s="1858" t="s">
        <v>2226</v>
      </c>
      <c r="C327" s="1859">
        <v>0.15</v>
      </c>
      <c r="D327" s="1859">
        <v>0.15</v>
      </c>
      <c r="E327" s="1859">
        <v>0.15</v>
      </c>
      <c r="F327" s="1860">
        <v>0.15</v>
      </c>
    </row>
    <row r="328" spans="1:6" ht="14.25" thickBot="1">
      <c r="A328" s="1854" t="s">
        <v>2217</v>
      </c>
      <c r="B328" s="1858" t="s">
        <v>1197</v>
      </c>
      <c r="C328" s="1859">
        <v>0.15</v>
      </c>
      <c r="D328" s="1859">
        <v>0.15</v>
      </c>
      <c r="E328" s="1859">
        <v>0.15</v>
      </c>
      <c r="F328" s="1860">
        <v>0.14099999999999999</v>
      </c>
    </row>
    <row r="329" spans="1:6" ht="14.25" thickBot="1">
      <c r="A329" s="1854" t="s">
        <v>2217</v>
      </c>
      <c r="B329" s="1858" t="s">
        <v>1207</v>
      </c>
      <c r="C329" s="1859">
        <v>0.15</v>
      </c>
      <c r="D329" s="1859">
        <v>0.15</v>
      </c>
      <c r="E329" s="1859">
        <v>0.15</v>
      </c>
      <c r="F329" s="1860">
        <v>0.15</v>
      </c>
    </row>
    <row r="330" spans="1:6" ht="14.25" thickBot="1">
      <c r="A330" s="1854" t="s">
        <v>2217</v>
      </c>
      <c r="B330" s="1858" t="s">
        <v>1217</v>
      </c>
      <c r="C330" s="1859">
        <v>0.15</v>
      </c>
      <c r="D330" s="1859">
        <v>0.15</v>
      </c>
      <c r="E330" s="1859">
        <v>0.15</v>
      </c>
      <c r="F330" s="1867"/>
    </row>
    <row r="331" spans="1:6" ht="14.25" thickBot="1">
      <c r="A331" s="1854" t="s">
        <v>2217</v>
      </c>
      <c r="B331" s="1858" t="s">
        <v>2227</v>
      </c>
      <c r="C331" s="1859">
        <v>0.15</v>
      </c>
      <c r="D331" s="1859">
        <v>0.15</v>
      </c>
      <c r="E331" s="1859">
        <v>0.15</v>
      </c>
      <c r="F331" s="1860">
        <v>0.15</v>
      </c>
    </row>
    <row r="332" spans="1:6" ht="14.25" thickBot="1">
      <c r="A332" s="1854" t="s">
        <v>2217</v>
      </c>
      <c r="B332" s="1858" t="s">
        <v>1237</v>
      </c>
      <c r="C332" s="1859">
        <v>0.15</v>
      </c>
      <c r="D332" s="1859">
        <v>0.15</v>
      </c>
      <c r="E332" s="1859">
        <v>0.15</v>
      </c>
      <c r="F332" s="1860">
        <v>0.15</v>
      </c>
    </row>
    <row r="333" spans="1:6" ht="14.25" thickBot="1">
      <c r="A333" s="1854" t="s">
        <v>2217</v>
      </c>
      <c r="B333" s="1858" t="s">
        <v>2228</v>
      </c>
      <c r="C333" s="1859">
        <v>0.15</v>
      </c>
      <c r="D333" s="1859">
        <v>0.15</v>
      </c>
      <c r="E333" s="1859">
        <v>0.15</v>
      </c>
      <c r="F333" s="1860">
        <v>0.14099999999999999</v>
      </c>
    </row>
    <row r="334" spans="1:6" ht="14.25" thickBot="1">
      <c r="A334" s="1854" t="s">
        <v>2217</v>
      </c>
      <c r="B334" s="1858" t="s">
        <v>1257</v>
      </c>
      <c r="C334" s="1859">
        <v>0.15</v>
      </c>
      <c r="D334" s="1859">
        <v>0.15</v>
      </c>
      <c r="E334" s="1859">
        <v>0.15</v>
      </c>
      <c r="F334" s="1860">
        <v>0.15</v>
      </c>
    </row>
    <row r="335" spans="1:6" ht="14.25" thickBot="1">
      <c r="A335" s="1854" t="s">
        <v>2217</v>
      </c>
      <c r="B335" s="1858" t="s">
        <v>1267</v>
      </c>
      <c r="C335" s="1859">
        <v>0.15</v>
      </c>
      <c r="D335" s="1859">
        <v>0.15</v>
      </c>
      <c r="E335" s="1859">
        <v>0.15</v>
      </c>
      <c r="F335" s="1867"/>
    </row>
    <row r="336" spans="1:6" ht="14.25" thickBot="1">
      <c r="A336" s="1854" t="s">
        <v>2217</v>
      </c>
      <c r="B336" s="1858" t="s">
        <v>2229</v>
      </c>
      <c r="C336" s="1859">
        <v>0.15</v>
      </c>
      <c r="D336" s="1859">
        <v>0.15</v>
      </c>
      <c r="E336" s="1859">
        <v>0.15</v>
      </c>
      <c r="F336" s="1860">
        <v>0.11799999999999999</v>
      </c>
    </row>
    <row r="337" spans="1:6" ht="14.25" thickBot="1">
      <c r="A337" s="1862" t="s">
        <v>2217</v>
      </c>
      <c r="B337" s="1869" t="s">
        <v>1285</v>
      </c>
      <c r="C337" s="1865"/>
      <c r="D337" s="1865"/>
      <c r="E337" s="1865"/>
      <c r="F337" s="1870">
        <v>0.14299999999999999</v>
      </c>
    </row>
    <row r="338" spans="1:6" ht="14.25" thickBot="1">
      <c r="A338" s="1854" t="s">
        <v>2230</v>
      </c>
      <c r="B338" s="1855" t="s">
        <v>2231</v>
      </c>
      <c r="C338" s="1856">
        <v>0.15</v>
      </c>
      <c r="D338" s="1856">
        <v>0.15</v>
      </c>
      <c r="E338" s="1856">
        <v>0.15</v>
      </c>
      <c r="F338" s="1878"/>
    </row>
    <row r="339" spans="1:6" ht="14.25" thickBot="1">
      <c r="A339" s="1854" t="s">
        <v>2230</v>
      </c>
      <c r="B339" s="1858" t="s">
        <v>2232</v>
      </c>
      <c r="C339" s="1859">
        <v>0.15</v>
      </c>
      <c r="D339" s="1859">
        <v>0.15</v>
      </c>
      <c r="E339" s="1859">
        <v>0.15</v>
      </c>
      <c r="F339" s="1867"/>
    </row>
    <row r="340" spans="1:6" ht="14.25" thickBot="1">
      <c r="A340" s="1854" t="s">
        <v>2230</v>
      </c>
      <c r="B340" s="1858" t="s">
        <v>2233</v>
      </c>
      <c r="C340" s="1859">
        <v>0.15</v>
      </c>
      <c r="D340" s="1859">
        <v>0.15</v>
      </c>
      <c r="E340" s="1859">
        <v>0.15</v>
      </c>
      <c r="F340" s="1867"/>
    </row>
    <row r="341" spans="1:6" ht="14.25" thickBot="1">
      <c r="A341" s="1854" t="s">
        <v>2234</v>
      </c>
      <c r="B341" s="1858" t="s">
        <v>2235</v>
      </c>
      <c r="C341" s="1859">
        <v>0.15</v>
      </c>
      <c r="D341" s="1859">
        <v>0.15</v>
      </c>
      <c r="E341" s="1859">
        <v>0.15</v>
      </c>
      <c r="F341" s="1860">
        <v>0.15</v>
      </c>
    </row>
    <row r="342" spans="1:6" ht="14.25" thickBot="1">
      <c r="A342" s="1854" t="s">
        <v>2230</v>
      </c>
      <c r="B342" s="1858" t="s">
        <v>2236</v>
      </c>
      <c r="C342" s="1859">
        <v>0.15</v>
      </c>
      <c r="D342" s="1859">
        <v>0.15</v>
      </c>
      <c r="E342" s="1859">
        <v>0.15</v>
      </c>
      <c r="F342" s="1860">
        <v>0.15</v>
      </c>
    </row>
    <row r="343" spans="1:6" ht="14.25" thickBot="1">
      <c r="A343" s="1854" t="s">
        <v>2230</v>
      </c>
      <c r="B343" s="1858" t="s">
        <v>2237</v>
      </c>
      <c r="C343" s="1859">
        <v>0.15</v>
      </c>
      <c r="D343" s="1859">
        <v>0.15</v>
      </c>
      <c r="E343" s="1859">
        <v>0.15</v>
      </c>
      <c r="F343" s="1860">
        <v>0.15</v>
      </c>
    </row>
    <row r="344" spans="1:6" ht="14.25" thickBot="1">
      <c r="A344" s="1862" t="s">
        <v>2230</v>
      </c>
      <c r="B344" s="1869" t="s">
        <v>2238</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2954</v>
      </c>
      <c r="B1" s="3081"/>
      <c r="C1" s="3081"/>
      <c r="D1" s="3081"/>
      <c r="E1" s="3081"/>
      <c r="F1" s="3081"/>
    </row>
    <row r="2" spans="1:6" ht="14.25">
      <c r="A2" s="3082" t="s">
        <v>2949</v>
      </c>
      <c r="B2" s="3083" t="e">
        <f ca="1">SUMIF(B7:B14,"&lt;&gt;#ref!",B7:B14)</f>
        <v>#DIV/0!</v>
      </c>
      <c r="C2" s="3082" t="s">
        <v>2950</v>
      </c>
      <c r="D2" s="3081"/>
      <c r="E2" s="3081"/>
      <c r="F2" s="3081"/>
    </row>
    <row r="3" spans="1:6" ht="14.25">
      <c r="A3" s="3082" t="s">
        <v>2982</v>
      </c>
      <c r="B3" s="3083" t="e">
        <f ca="1">ROUND(B2*10000/E3,0)</f>
        <v>#DIV/0!</v>
      </c>
      <c r="C3" s="3082" t="s">
        <v>2079</v>
      </c>
      <c r="D3" s="3082" t="s">
        <v>2951</v>
      </c>
      <c r="E3" s="3083">
        <f ca="1">SUMIF(E7:E14,"&lt;&gt;#ref!",E7:E14)</f>
        <v>0</v>
      </c>
      <c r="F3" s="3081"/>
    </row>
    <row r="4" spans="1:6" ht="14.25">
      <c r="A4" s="3082" t="s">
        <v>2958</v>
      </c>
      <c r="B4" s="3083" t="e">
        <f ca="1">ROUND(B2*10000/E4,0)</f>
        <v>#DIV/0!</v>
      </c>
      <c r="C4" s="3082" t="s">
        <v>2079</v>
      </c>
      <c r="D4" s="3082" t="s">
        <v>2959</v>
      </c>
      <c r="E4" s="3083">
        <f ca="1">SUMIF(F7:F14,"&lt;&gt;#ref!",F7:F14)</f>
        <v>0</v>
      </c>
      <c r="F4" s="3081"/>
    </row>
    <row r="5" spans="1:6" ht="14.25">
      <c r="A5" s="3084"/>
      <c r="B5" s="1880"/>
      <c r="C5" s="1880"/>
      <c r="D5" s="1880"/>
      <c r="E5" s="1880"/>
      <c r="F5" s="3081"/>
    </row>
    <row r="6" spans="1:6" ht="28.5">
      <c r="A6" s="3085" t="s">
        <v>2955</v>
      </c>
      <c r="B6" s="3082" t="s">
        <v>2952</v>
      </c>
      <c r="C6" s="3083"/>
      <c r="D6" s="1880"/>
      <c r="E6" s="3082" t="s">
        <v>2953</v>
      </c>
      <c r="F6" s="3082" t="s">
        <v>2957</v>
      </c>
    </row>
    <row r="7" spans="1:6" ht="14.25">
      <c r="A7" s="260" t="s">
        <v>2956</v>
      </c>
      <c r="B7" s="3086" t="e">
        <f ca="1">SUMIF(INDIRECT("'"&amp;A7&amp;"'"&amp;"!A:A"),"总价",INDIRECT("'"&amp;A7&amp;"'"&amp;"!B:B"))</f>
        <v>#DIV/0!</v>
      </c>
      <c r="C7" s="3082" t="s">
        <v>2950</v>
      </c>
      <c r="D7" s="1880"/>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2950</v>
      </c>
      <c r="D8" s="1880"/>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2950</v>
      </c>
      <c r="D9" s="1880"/>
      <c r="E9" s="3087" t="e">
        <f t="shared" ca="1" si="1"/>
        <v>#REF!</v>
      </c>
      <c r="F9" s="3087" t="e">
        <f t="shared" ca="1" si="2"/>
        <v>#REF!</v>
      </c>
    </row>
    <row r="10" spans="1:6" ht="14.25">
      <c r="A10" s="260"/>
      <c r="B10" s="3086" t="e">
        <f t="shared" ca="1" si="0"/>
        <v>#REF!</v>
      </c>
      <c r="C10" s="3082" t="s">
        <v>2950</v>
      </c>
      <c r="D10" s="1880"/>
      <c r="E10" s="3087" t="e">
        <f t="shared" ca="1" si="1"/>
        <v>#REF!</v>
      </c>
      <c r="F10" s="3087" t="e">
        <f t="shared" ca="1" si="2"/>
        <v>#REF!</v>
      </c>
    </row>
    <row r="11" spans="1:6" ht="14.25">
      <c r="A11" s="260"/>
      <c r="B11" s="3086" t="e">
        <f t="shared" ca="1" si="0"/>
        <v>#REF!</v>
      </c>
      <c r="C11" s="3082" t="s">
        <v>2950</v>
      </c>
      <c r="D11" s="1880"/>
      <c r="E11" s="3087" t="e">
        <f t="shared" ca="1" si="1"/>
        <v>#REF!</v>
      </c>
      <c r="F11" s="3087" t="e">
        <f t="shared" ca="1" si="2"/>
        <v>#REF!</v>
      </c>
    </row>
    <row r="12" spans="1:6" ht="14.25">
      <c r="A12" s="260"/>
      <c r="B12" s="3086" t="e">
        <f t="shared" ca="1" si="0"/>
        <v>#REF!</v>
      </c>
      <c r="C12" s="3082" t="s">
        <v>2950</v>
      </c>
      <c r="D12" s="1880"/>
      <c r="E12" s="3087" t="e">
        <f t="shared" ca="1" si="1"/>
        <v>#REF!</v>
      </c>
      <c r="F12" s="3087" t="e">
        <f t="shared" ca="1" si="2"/>
        <v>#REF!</v>
      </c>
    </row>
    <row r="13" spans="1:6" ht="14.25">
      <c r="A13" s="260"/>
      <c r="B13" s="3086" t="e">
        <f t="shared" ca="1" si="0"/>
        <v>#REF!</v>
      </c>
      <c r="C13" s="3082" t="s">
        <v>2950</v>
      </c>
      <c r="D13" s="1880"/>
      <c r="E13" s="3087" t="e">
        <f t="shared" ca="1" si="1"/>
        <v>#REF!</v>
      </c>
      <c r="F13" s="3087" t="e">
        <f t="shared" ca="1" si="2"/>
        <v>#REF!</v>
      </c>
    </row>
    <row r="14" spans="1:6" ht="14.25">
      <c r="A14" s="3080"/>
      <c r="B14" s="3086" t="e">
        <f t="shared" ca="1" si="0"/>
        <v>#REF!</v>
      </c>
      <c r="C14" s="3082" t="s">
        <v>2950</v>
      </c>
      <c r="D14" s="1880"/>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2375</v>
      </c>
      <c r="F1" s="2366">
        <f ca="1">J54</f>
        <v>-2.5</v>
      </c>
      <c r="G1" s="774">
        <f>MATCH(C1,'数据-取费表'!A6:A16,0)+5</f>
        <v>9</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2459</v>
      </c>
      <c r="C7" s="53">
        <f ca="1">C8+C12+C14</f>
        <v>0</v>
      </c>
      <c r="D7" s="2474" t="s">
        <v>2462</v>
      </c>
      <c r="E7" s="2468"/>
      <c r="F7" s="2469"/>
      <c r="G7" s="1591"/>
      <c r="H7" s="781">
        <v>1</v>
      </c>
      <c r="I7" s="782" t="s">
        <v>2459</v>
      </c>
      <c r="J7" s="53">
        <f ca="1">J8+J12+J14</f>
        <v>0</v>
      </c>
      <c r="K7" s="2474" t="s">
        <v>2462</v>
      </c>
      <c r="L7" s="2468"/>
      <c r="M7" s="2469"/>
    </row>
    <row r="8" spans="1:25" ht="18" customHeight="1">
      <c r="A8" s="1829" t="s">
        <v>1825</v>
      </c>
      <c r="B8" s="3482" t="s">
        <v>2464</v>
      </c>
      <c r="C8" s="1824">
        <f ca="1">ROUND(F8*F10*F9*(1-F11)/10000,0)</f>
        <v>0</v>
      </c>
      <c r="D8" s="1821" t="s">
        <v>2535</v>
      </c>
      <c r="E8" s="61" t="s">
        <v>637</v>
      </c>
      <c r="F8" s="785">
        <f ca="1">INDIRECT("'数据-取费表'!u"&amp;$G$1)</f>
        <v>0</v>
      </c>
      <c r="G8" s="1591"/>
      <c r="H8" s="2482" t="s">
        <v>1825</v>
      </c>
      <c r="I8" s="3482" t="s">
        <v>2464</v>
      </c>
      <c r="J8" s="783">
        <f ca="1">ROUND(M8*M10*M9*(1-M11)/10000,0)</f>
        <v>0</v>
      </c>
      <c r="K8" s="341" t="s">
        <v>2535</v>
      </c>
      <c r="L8" s="784" t="s">
        <v>1739</v>
      </c>
      <c r="M8" s="785">
        <f ca="1">INDIRECT("'数据-取费表'!z"&amp;$G$1)</f>
        <v>0</v>
      </c>
    </row>
    <row r="9" spans="1:25" ht="18" customHeight="1">
      <c r="A9" s="2478"/>
      <c r="B9" s="3483"/>
      <c r="C9" s="1825"/>
      <c r="D9" s="1822"/>
      <c r="E9" s="61" t="s">
        <v>638</v>
      </c>
      <c r="F9" s="785">
        <f ca="1">IF(INDIRECT("'数据-取费表'!ah"&amp;$G$1)="",INDIRECT("'数据-取费表'!k"&amp;$G$1),INDIRECT("'数据-取费表'!ah"&amp;$G$1))</f>
        <v>0</v>
      </c>
      <c r="G9" s="1591"/>
      <c r="H9" s="2467"/>
      <c r="I9" s="3483"/>
      <c r="J9" s="788"/>
      <c r="K9" s="789"/>
      <c r="L9" s="784" t="s">
        <v>1740</v>
      </c>
      <c r="M9" s="785">
        <f ca="1">F9</f>
        <v>0</v>
      </c>
    </row>
    <row r="10" spans="1:25" ht="18" customHeight="1">
      <c r="A10" s="2471"/>
      <c r="B10" s="3484"/>
      <c r="C10" s="1825"/>
      <c r="D10" s="1822"/>
      <c r="E10" s="61" t="s">
        <v>639</v>
      </c>
      <c r="F10" s="785">
        <f ca="1">INDIRECT("'数据-取费表'!ai"&amp;$G$1)</f>
        <v>0</v>
      </c>
      <c r="G10" s="1591"/>
      <c r="H10" s="2467"/>
      <c r="I10" s="3484"/>
      <c r="J10" s="788"/>
      <c r="K10" s="789"/>
      <c r="L10" s="784" t="s">
        <v>1741</v>
      </c>
      <c r="M10" s="785">
        <f ca="1">INDIRECT("'数据-取费表'!ai"&amp;$G$1)</f>
        <v>0</v>
      </c>
    </row>
    <row r="11" spans="1:25" ht="18" customHeight="1">
      <c r="A11" s="786"/>
      <c r="B11" s="3485"/>
      <c r="C11" s="1825"/>
      <c r="D11" s="1822"/>
      <c r="E11" s="61" t="s">
        <v>640</v>
      </c>
      <c r="F11" s="794">
        <f ca="1">INDIRECT("'数据-取费表'!w"&amp;$G$1)</f>
        <v>0</v>
      </c>
      <c r="G11" s="1591"/>
      <c r="H11" s="2483"/>
      <c r="I11" s="3484"/>
      <c r="J11" s="788"/>
      <c r="K11" s="789"/>
      <c r="L11" s="795" t="s">
        <v>1742</v>
      </c>
      <c r="M11" s="796">
        <f ca="1">INDIRECT("'数据-取费表'!ab"&amp;$G$1)</f>
        <v>0</v>
      </c>
    </row>
    <row r="12" spans="1:25" ht="18" customHeight="1">
      <c r="A12" s="1829" t="s">
        <v>1826</v>
      </c>
      <c r="B12" s="2472" t="s">
        <v>2460</v>
      </c>
      <c r="C12" s="799">
        <f ca="1">ROUND(IF(F12="押一",C8/12*F13,IF(F12="押二",C8/12*2*F13,IF(F12="押三",C8/12*3*F13,C13*F13))),0)</f>
        <v>0</v>
      </c>
      <c r="D12" s="2479" t="s">
        <v>2979</v>
      </c>
      <c r="E12" s="2476" t="s">
        <v>2465</v>
      </c>
      <c r="F12" s="2599"/>
      <c r="G12" s="1591"/>
      <c r="H12" s="2539" t="s">
        <v>1826</v>
      </c>
      <c r="I12" s="2544" t="s">
        <v>2460</v>
      </c>
      <c r="J12" s="783">
        <f ca="1">ROUND(IF(M12="押一",J8/12*M13,IF(M12="押二",J8/12*2*M13,IF(M12="押三",J8/12*3*M13,J13*M13))),0)</f>
        <v>0</v>
      </c>
      <c r="K12" s="2479" t="s">
        <v>2979</v>
      </c>
      <c r="L12" s="2476" t="s">
        <v>2465</v>
      </c>
      <c r="M12" s="2599"/>
    </row>
    <row r="13" spans="1:25" ht="18" customHeight="1">
      <c r="A13" s="790"/>
      <c r="B13" s="2473" t="s">
        <v>2574</v>
      </c>
      <c r="C13" s="2477"/>
      <c r="D13" s="789"/>
      <c r="E13" s="2476" t="s">
        <v>2457</v>
      </c>
      <c r="F13" s="796">
        <f ca="1">'数据-取费表'!B39</f>
        <v>1.4999999999999999E-2</v>
      </c>
      <c r="G13" s="1591"/>
      <c r="H13" s="2540"/>
      <c r="I13" s="2473" t="s">
        <v>2574</v>
      </c>
      <c r="J13" s="2477"/>
      <c r="K13" s="2541"/>
      <c r="L13" s="2476" t="s">
        <v>2457</v>
      </c>
      <c r="M13" s="2470">
        <f ca="1">'数据-取费表'!B39</f>
        <v>1.4999999999999999E-2</v>
      </c>
    </row>
    <row r="14" spans="1:25" ht="18" customHeight="1" thickBot="1">
      <c r="A14" s="2515" t="s">
        <v>2468</v>
      </c>
      <c r="B14" s="2516" t="s">
        <v>2461</v>
      </c>
      <c r="C14" s="2517"/>
      <c r="D14" s="2518"/>
      <c r="E14" s="2519"/>
      <c r="F14" s="2520"/>
      <c r="G14" s="1591"/>
      <c r="H14" s="2529" t="s">
        <v>2468</v>
      </c>
      <c r="I14" s="2542" t="s">
        <v>2461</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2070</v>
      </c>
      <c r="I16" s="2230" t="s">
        <v>2826</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2070</v>
      </c>
      <c r="I19" s="784" t="s">
        <v>656</v>
      </c>
      <c r="J19" s="53">
        <f ca="1">ROUND(IF(项目基本情况!B11="自然人",J7*M19,J20+J21+J22),0)</f>
        <v>0</v>
      </c>
      <c r="K19" s="1978" t="s">
        <v>657</v>
      </c>
      <c r="L19" s="1976" t="s">
        <v>658</v>
      </c>
      <c r="M19" s="810">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0.01</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1"/>
      <c r="H24" s="1830" t="s">
        <v>2071</v>
      </c>
      <c r="I24" s="784" t="s">
        <v>676</v>
      </c>
      <c r="J24" s="53">
        <f ca="1">ROUND(J16*M24,0)</f>
        <v>0</v>
      </c>
      <c r="K24" s="1976" t="s">
        <v>677</v>
      </c>
      <c r="L24" s="784" t="s">
        <v>649</v>
      </c>
      <c r="M24" s="817">
        <f ca="1">INDIRECT("'数据-取费表'!Ak"&amp;$G$1)</f>
        <v>0</v>
      </c>
    </row>
    <row r="25" spans="1:25" s="2063" customFormat="1" ht="18" customHeight="1">
      <c r="A25" s="803" t="s">
        <v>1876</v>
      </c>
      <c r="B25" s="784" t="s">
        <v>2438</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2.5</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5.9999999999999995E-4</v>
      </c>
      <c r="D26" s="2549"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2986" t="s">
        <v>2823</v>
      </c>
      <c r="J27" s="799">
        <f ca="1">J7-J18</f>
        <v>0</v>
      </c>
      <c r="K27" s="1978" t="s">
        <v>700</v>
      </c>
      <c r="L27" s="1980"/>
      <c r="M27" s="820"/>
    </row>
    <row r="28" spans="1:25" ht="18" customHeight="1">
      <c r="A28" s="803" t="s">
        <v>1876</v>
      </c>
      <c r="B28" s="784" t="s">
        <v>2439</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2824</v>
      </c>
      <c r="C31" s="2522">
        <f ca="1">ROUND((C21+C22+C25+C28)/(1-F23-C26-C29-C30),0)</f>
        <v>0</v>
      </c>
      <c r="D31" s="2523"/>
      <c r="E31" s="2524"/>
      <c r="F31" s="2525"/>
      <c r="G31" s="1592"/>
      <c r="H31" s="823" t="s">
        <v>1873</v>
      </c>
      <c r="I31" s="2987" t="s">
        <v>2825</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81"/>
      <c r="J36" s="2078"/>
      <c r="K36" s="2079"/>
      <c r="L36" s="2078"/>
      <c r="M36" s="2078"/>
    </row>
    <row r="37" spans="1:18" ht="18" customHeight="1">
      <c r="A37" s="815"/>
      <c r="B37" s="793"/>
      <c r="C37" s="69"/>
      <c r="D37" s="816"/>
      <c r="E37" s="784" t="s">
        <v>674</v>
      </c>
      <c r="F37" s="785">
        <f ca="1">INDIRECT("'数据-取费表'!r"&amp;$G$1)</f>
        <v>0</v>
      </c>
      <c r="G37" s="2061"/>
      <c r="H37" s="2064"/>
      <c r="I37" s="3481"/>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098" t="s">
        <v>2967</v>
      </c>
      <c r="F43" s="3099">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13">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00" t="s">
        <v>2970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2344</v>
      </c>
      <c r="J47" s="2357"/>
      <c r="K47" s="2358"/>
      <c r="L47" s="3136" t="str">
        <f ca="1">IF(M48="住宅",0,IF(L49&gt;J52,L61,J61))</f>
        <v>0</v>
      </c>
      <c r="O47" s="2372" t="s">
        <v>2411</v>
      </c>
      <c r="P47" s="1591"/>
      <c r="Q47" s="1603"/>
      <c r="R47" s="1591"/>
    </row>
    <row r="48" spans="1:18" s="2058" customFormat="1" ht="18" customHeight="1" thickBot="1">
      <c r="A48" s="2083"/>
      <c r="C48" s="2086"/>
      <c r="D48" s="2087"/>
      <c r="E48" s="2087"/>
      <c r="F48" s="2088"/>
      <c r="G48" s="2089"/>
      <c r="I48" s="3126" t="s">
        <v>2345</v>
      </c>
      <c r="J48" s="2359"/>
      <c r="K48" s="3133" t="s">
        <v>2350</v>
      </c>
      <c r="L48" s="3137">
        <f ca="1">INDIRECT("'数据-取费表'!d"&amp;$G$1)</f>
        <v>0</v>
      </c>
      <c r="M48" s="3097" t="str">
        <f>IF(ISNUMBER(FIND("住宅",C1)),"住宅","非住宅")</f>
        <v>非住宅</v>
      </c>
      <c r="O48" s="2373" t="s">
        <v>2376</v>
      </c>
      <c r="P48" s="2374" t="s">
        <v>2377</v>
      </c>
      <c r="Q48" s="2375" t="s">
        <v>2378</v>
      </c>
      <c r="R48" s="2374" t="s">
        <v>2379</v>
      </c>
    </row>
    <row r="49" spans="1:18" s="2058" customFormat="1" ht="18" customHeight="1" thickBot="1">
      <c r="A49" s="2083"/>
      <c r="D49" s="2090"/>
      <c r="E49" s="2091"/>
      <c r="F49" s="2088"/>
      <c r="G49" s="2089"/>
      <c r="H49" s="2092"/>
      <c r="I49" s="3102" t="s">
        <v>2346</v>
      </c>
      <c r="J49" s="2360"/>
      <c r="K49" s="3134" t="s">
        <v>2352</v>
      </c>
      <c r="L49" s="1907">
        <f ca="1">INDIRECT("'数据-取费表'!f"&amp;$G$1)</f>
        <v>0</v>
      </c>
      <c r="O49" s="2376" t="s">
        <v>2380</v>
      </c>
      <c r="P49" s="2377" t="s">
        <v>2406</v>
      </c>
      <c r="Q49" s="2378">
        <f ca="1">C41+J31</f>
        <v>0</v>
      </c>
      <c r="R49" s="2377" t="s">
        <v>2381</v>
      </c>
    </row>
    <row r="50" spans="1:18" s="2058" customFormat="1" ht="18" customHeight="1" thickBot="1">
      <c r="A50" s="2083"/>
      <c r="D50" s="2093"/>
      <c r="E50" s="2093"/>
      <c r="F50" s="2087"/>
      <c r="G50" s="2094"/>
      <c r="H50" s="2092"/>
      <c r="I50" s="3102" t="s">
        <v>2347</v>
      </c>
      <c r="J50" s="2361"/>
      <c r="K50" s="3135" t="s">
        <v>2353</v>
      </c>
      <c r="L50" s="2362"/>
      <c r="O50" s="2376" t="s">
        <v>2382</v>
      </c>
      <c r="P50" s="2377" t="s">
        <v>2407</v>
      </c>
      <c r="Q50" s="2378" t="str">
        <f ca="1">J61</f>
        <v>0</v>
      </c>
      <c r="R50" s="2377" t="s">
        <v>2383</v>
      </c>
    </row>
    <row r="51" spans="1:18" s="2058" customFormat="1" ht="18" customHeight="1" thickBot="1">
      <c r="A51" s="2095"/>
      <c r="D51" s="2093"/>
      <c r="E51" s="2093"/>
      <c r="F51" s="2084"/>
      <c r="H51" s="2092"/>
      <c r="I51" s="3102" t="s">
        <v>2348</v>
      </c>
      <c r="J51" s="3130">
        <f>SUMPRODUCT((I64:I66=J48)*(J63:L63=J49)*(J64:L66))</f>
        <v>0</v>
      </c>
      <c r="K51" s="3135" t="s">
        <v>2354</v>
      </c>
      <c r="L51" s="2362"/>
      <c r="O51" s="2379" t="s">
        <v>2384</v>
      </c>
      <c r="P51" s="2377" t="s">
        <v>2408</v>
      </c>
      <c r="Q51" s="2378">
        <f ca="1">C31</f>
        <v>0</v>
      </c>
      <c r="R51" s="2377" t="s">
        <v>2381</v>
      </c>
    </row>
    <row r="52" spans="1:18" s="2058" customFormat="1" ht="18" customHeight="1" thickBot="1">
      <c r="A52" s="2095"/>
      <c r="F52" s="2084"/>
      <c r="I52" s="3127" t="s">
        <v>2349</v>
      </c>
      <c r="J52" s="3131">
        <f>IF(J50="",J51,J50+J51-YEAR('数据-取费表'!B3))</f>
        <v>0</v>
      </c>
      <c r="K52" s="3102" t="s">
        <v>2355</v>
      </c>
      <c r="L52" s="3138">
        <f ca="1">ROUND(-PV(INDIRECT("'数据-取费表'!h"&amp;$G$1),L49,(C40-C14*J36),0),0)</f>
        <v>0</v>
      </c>
      <c r="O52" s="2379" t="s">
        <v>2385</v>
      </c>
      <c r="P52" s="2377" t="s">
        <v>2386</v>
      </c>
      <c r="Q52" s="2380" t="e">
        <f ca="1">J59</f>
        <v>#VALUE!</v>
      </c>
      <c r="R52" s="2381"/>
    </row>
    <row r="53" spans="1:18" s="2058" customFormat="1" ht="18" customHeight="1" thickBot="1">
      <c r="A53" s="2095"/>
      <c r="F53" s="2084"/>
      <c r="I53" s="3128" t="s">
        <v>2422</v>
      </c>
      <c r="J53" s="2363"/>
      <c r="K53" s="3128" t="s">
        <v>2421</v>
      </c>
      <c r="L53" s="2363"/>
      <c r="O53" s="2379" t="s">
        <v>2387</v>
      </c>
      <c r="P53" s="2377" t="s">
        <v>2388</v>
      </c>
      <c r="Q53" s="2380">
        <f>J53</f>
        <v>0</v>
      </c>
      <c r="R53" s="2381"/>
    </row>
    <row r="54" spans="1:18" s="2058" customFormat="1" ht="29.25" thickBot="1">
      <c r="A54" s="2095"/>
      <c r="I54" s="3129" t="s">
        <v>2983</v>
      </c>
      <c r="J54" s="3132">
        <f ca="1">IF(M48="住宅",MAX(J52,L49-'数据-取费表'!B20),MIN(J52,L49-'数据-取费表'!B20))</f>
        <v>-2.5</v>
      </c>
      <c r="K54" s="3486"/>
      <c r="L54" s="3487"/>
      <c r="O54" s="2379" t="s">
        <v>2389</v>
      </c>
      <c r="P54" s="2377" t="s">
        <v>2390</v>
      </c>
      <c r="Q54" s="2378">
        <f ca="1">J54</f>
        <v>-2.5</v>
      </c>
      <c r="R54" s="2377" t="s">
        <v>2391</v>
      </c>
    </row>
    <row r="55" spans="1:18" s="2058" customFormat="1" ht="18" customHeight="1" thickBot="1">
      <c r="A55" s="2095"/>
      <c r="I55" s="313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9"/>
      <c r="K55" s="3140"/>
      <c r="O55" s="2376" t="s">
        <v>2392</v>
      </c>
      <c r="P55" s="2377" t="s">
        <v>2409</v>
      </c>
      <c r="Q55" s="2378">
        <f ca="1">Q49+Q50</f>
        <v>0</v>
      </c>
      <c r="R55" s="2381" t="s">
        <v>2393</v>
      </c>
    </row>
    <row r="56" spans="1:18" s="2058" customFormat="1" ht="16.5" thickBot="1">
      <c r="A56" s="2095"/>
      <c r="B56" s="2096"/>
      <c r="C56" s="2096"/>
      <c r="I56" s="3141" t="s">
        <v>2356</v>
      </c>
      <c r="J56" s="3077" t="e">
        <f ca="1">ROUND(IF(J48="钢混",J58/J51,1-(1-2%)*(J51-J58)/J51),3)</f>
        <v>#VALUE!</v>
      </c>
      <c r="K56" s="3142" t="s">
        <v>2357</v>
      </c>
      <c r="L56" s="2364"/>
      <c r="O56" s="2382" t="s">
        <v>2412</v>
      </c>
      <c r="P56" s="1591"/>
      <c r="Q56" s="1603"/>
      <c r="R56" s="1591"/>
    </row>
    <row r="57" spans="1:18" s="2058" customFormat="1" ht="43.5" thickBot="1">
      <c r="A57" s="2095"/>
      <c r="B57" s="2096"/>
      <c r="C57" s="2096"/>
      <c r="I57" s="3143" t="s">
        <v>2358</v>
      </c>
      <c r="J57" s="3153" t="s">
        <v>1679</v>
      </c>
      <c r="K57" s="3102" t="s">
        <v>2363</v>
      </c>
      <c r="L57" s="1907">
        <f ca="1">IF(L49&lt;J52,"——",L49-J52)</f>
        <v>0</v>
      </c>
      <c r="O57" s="2373" t="s">
        <v>2376</v>
      </c>
      <c r="P57" s="2374" t="s">
        <v>2377</v>
      </c>
      <c r="Q57" s="2375" t="s">
        <v>2378</v>
      </c>
      <c r="R57" s="2374" t="s">
        <v>2379</v>
      </c>
    </row>
    <row r="58" spans="1:18" s="2058" customFormat="1" ht="29.25" thickBot="1">
      <c r="A58" s="2095"/>
      <c r="B58" s="2096"/>
      <c r="C58" s="2096"/>
      <c r="I58" s="3144" t="s">
        <v>2359</v>
      </c>
      <c r="J58" s="3145" t="str">
        <f ca="1">IF(OR(M48="住宅",J52&lt;L49,J57="是"),"——",J52-L49)</f>
        <v>——</v>
      </c>
      <c r="K58" s="3102" t="s">
        <v>2364</v>
      </c>
      <c r="L58" s="1907">
        <f ca="1">IF(L49&lt;J52,"——",IF(L56="比较法",L50,IF(L56="基准地价",L51,L52)))</f>
        <v>0</v>
      </c>
      <c r="O58" s="2376" t="s">
        <v>2380</v>
      </c>
      <c r="P58" s="2377" t="s">
        <v>2406</v>
      </c>
      <c r="Q58" s="2378">
        <f ca="1">C41+J31</f>
        <v>0</v>
      </c>
      <c r="R58" s="2377" t="s">
        <v>2381</v>
      </c>
    </row>
    <row r="59" spans="1:18" s="2058" customFormat="1" ht="29.25" thickBot="1">
      <c r="A59" s="2095"/>
      <c r="B59" s="2096"/>
      <c r="C59" s="2096"/>
      <c r="I59" s="3144" t="s">
        <v>2360</v>
      </c>
      <c r="J59" s="3078" t="e">
        <f ca="1">IF(J56&lt;0.4,0.4,J56)</f>
        <v>#VALUE!</v>
      </c>
      <c r="K59" s="3102" t="s">
        <v>2365</v>
      </c>
      <c r="L59" s="1907">
        <f ca="1">IF(ISERROR(POWER(1+L53,L48-L49)*(POWER(1+L53,L49)-1)/(POWER(1+L53,L48)-1)),0,POWER(1+L53,L48-L49)*(POWER(1+L53,L49)-1)/(POWER(1+L53,L48)-1))</f>
        <v>0</v>
      </c>
      <c r="O59" s="2376" t="s">
        <v>2382</v>
      </c>
      <c r="P59" s="2377" t="s">
        <v>2413</v>
      </c>
      <c r="Q59" s="2378" t="e">
        <f ca="1">L61</f>
        <v>#DIV/0!</v>
      </c>
      <c r="R59" s="2381" t="s">
        <v>2415</v>
      </c>
    </row>
    <row r="60" spans="1:18" s="2058" customFormat="1" ht="29.25" thickBot="1">
      <c r="A60" s="2095"/>
      <c r="B60" s="2096"/>
      <c r="C60" s="2096"/>
      <c r="I60" s="3144" t="s">
        <v>2361</v>
      </c>
      <c r="J60" s="3145" t="str">
        <f ca="1">IF(OR(M48="住宅",J52&lt;L49,J57="是"),"——",ROUND(C30*J59,0))</f>
        <v>——</v>
      </c>
      <c r="K60" s="3102" t="s">
        <v>2366</v>
      </c>
      <c r="L60" s="1907">
        <f ca="1">IF(ISERROR(POWER(1+L53,L48-J52)*(POWER(1+L53,J52)-1)/(POWER(1+L53,L48)-1)),0,POWER(1+L53,L48-J52)*(POWER(1+L53,J52)-1)/(POWER(1+L53,L48)-1))</f>
        <v>0</v>
      </c>
      <c r="O60" s="2379" t="s">
        <v>2384</v>
      </c>
      <c r="P60" s="2377" t="s">
        <v>2414</v>
      </c>
      <c r="Q60" s="2378">
        <f>IF(L56="比较法",L50,IF(L56="基准地价",L51,0))</f>
        <v>0</v>
      </c>
      <c r="R60" s="2377" t="s">
        <v>2381</v>
      </c>
    </row>
    <row r="61" spans="1:18" s="2058" customFormat="1" ht="15.75" thickBot="1">
      <c r="A61" s="2095"/>
      <c r="B61" s="2096"/>
      <c r="C61" s="2096"/>
      <c r="I61" s="3146" t="s">
        <v>2362</v>
      </c>
      <c r="J61" s="3147" t="str">
        <f ca="1">IF(OR(M48="住宅",J52&lt;L49,J57="是"),"0",ROUND(J60/(1+J53)^J54,0))</f>
        <v>0</v>
      </c>
      <c r="K61" s="3148" t="s">
        <v>2367</v>
      </c>
      <c r="L61" s="3147" t="e">
        <f ca="1">IF(OR(M48="住宅",L49&lt;J52),0,ROUND(L58*(L59/L60-1),0))</f>
        <v>#DIV/0!</v>
      </c>
      <c r="O61" s="2379" t="s">
        <v>2385</v>
      </c>
      <c r="P61" s="2377" t="s">
        <v>2394</v>
      </c>
      <c r="Q61" s="2380">
        <f>L53</f>
        <v>0</v>
      </c>
      <c r="R61" s="2381"/>
    </row>
    <row r="62" spans="1:18" s="2058" customFormat="1" ht="20.25" thickBot="1">
      <c r="A62" s="2095"/>
      <c r="B62" s="2096"/>
      <c r="C62" s="2096"/>
      <c r="K62" s="2085"/>
      <c r="O62" s="2379" t="s">
        <v>2387</v>
      </c>
      <c r="P62" s="2377" t="s">
        <v>2395</v>
      </c>
      <c r="Q62" s="2378">
        <f ca="1">L59</f>
        <v>0</v>
      </c>
      <c r="R62" s="2381" t="s">
        <v>2396</v>
      </c>
    </row>
    <row r="63" spans="1:18" s="2058" customFormat="1" ht="20.25" thickBot="1">
      <c r="A63" s="2095"/>
      <c r="B63" s="2096"/>
      <c r="C63" s="2096"/>
      <c r="I63" s="3149" t="s">
        <v>2368</v>
      </c>
      <c r="J63" s="3150" t="s">
        <v>2369</v>
      </c>
      <c r="K63" s="3150" t="s">
        <v>2370</v>
      </c>
      <c r="L63" s="3150" t="s">
        <v>2351</v>
      </c>
      <c r="M63" s="3151" t="s">
        <v>2947</v>
      </c>
      <c r="O63" s="2379" t="s">
        <v>2389</v>
      </c>
      <c r="P63" s="2377" t="s">
        <v>2397</v>
      </c>
      <c r="Q63" s="2378">
        <f ca="1">L60</f>
        <v>0</v>
      </c>
      <c r="R63" s="2381" t="s">
        <v>2398</v>
      </c>
    </row>
    <row r="64" spans="1:18" s="2058" customFormat="1" ht="15.75" thickBot="1">
      <c r="A64" s="2095"/>
      <c r="B64" s="2096"/>
      <c r="C64" s="2096"/>
      <c r="I64" s="3149" t="s">
        <v>2371</v>
      </c>
      <c r="J64" s="3150">
        <v>70</v>
      </c>
      <c r="K64" s="3150">
        <v>50</v>
      </c>
      <c r="L64" s="3150">
        <v>80</v>
      </c>
      <c r="M64" s="3152">
        <v>0.02</v>
      </c>
      <c r="O64" s="2376" t="s">
        <v>2392</v>
      </c>
      <c r="P64" s="2377" t="s">
        <v>2409</v>
      </c>
      <c r="Q64" s="2378" t="e">
        <f ca="1">Q58+Q59</f>
        <v>#DIV/0!</v>
      </c>
      <c r="R64" s="2381" t="s">
        <v>2393</v>
      </c>
    </row>
    <row r="65" spans="1:18" s="2058" customFormat="1" ht="16.5" thickBot="1">
      <c r="A65" s="2095"/>
      <c r="B65" s="2096"/>
      <c r="C65" s="2096"/>
      <c r="I65" s="3149" t="s">
        <v>2372</v>
      </c>
      <c r="J65" s="3150">
        <v>50</v>
      </c>
      <c r="K65" s="3150">
        <v>35</v>
      </c>
      <c r="L65" s="3150">
        <v>60</v>
      </c>
      <c r="M65" s="846">
        <v>0</v>
      </c>
      <c r="O65" s="2382" t="s">
        <v>2416</v>
      </c>
      <c r="P65" s="1591"/>
      <c r="Q65" s="1603"/>
      <c r="R65" s="1591"/>
    </row>
    <row r="66" spans="1:18" s="2058" customFormat="1" ht="15.75" thickBot="1">
      <c r="A66" s="2095"/>
      <c r="B66" s="2096"/>
      <c r="C66" s="2096"/>
      <c r="I66" s="3149" t="s">
        <v>2373</v>
      </c>
      <c r="J66" s="3150">
        <v>40</v>
      </c>
      <c r="K66" s="3150">
        <v>30</v>
      </c>
      <c r="L66" s="3150">
        <v>50</v>
      </c>
      <c r="M66" s="3152">
        <v>0.02</v>
      </c>
      <c r="O66" s="2373" t="s">
        <v>2376</v>
      </c>
      <c r="P66" s="2374" t="s">
        <v>2377</v>
      </c>
      <c r="Q66" s="2375" t="s">
        <v>2378</v>
      </c>
      <c r="R66" s="2374" t="s">
        <v>2379</v>
      </c>
    </row>
    <row r="67" spans="1:18" s="2058" customFormat="1" ht="15.75" thickBot="1">
      <c r="A67" s="2095"/>
      <c r="B67" s="2096"/>
      <c r="C67" s="2096"/>
      <c r="K67" s="2085"/>
      <c r="O67" s="2376" t="s">
        <v>2380</v>
      </c>
      <c r="P67" s="2377" t="s">
        <v>2406</v>
      </c>
      <c r="Q67" s="2378">
        <f ca="1">C41+J31</f>
        <v>0</v>
      </c>
      <c r="R67" s="2377" t="s">
        <v>2381</v>
      </c>
    </row>
    <row r="68" spans="1:18" s="2058" customFormat="1" ht="20.25" thickBot="1">
      <c r="A68" s="2095"/>
      <c r="B68" s="2096"/>
      <c r="C68" s="2096"/>
      <c r="K68" s="2085"/>
      <c r="O68" s="2376" t="s">
        <v>2382</v>
      </c>
      <c r="P68" s="2377" t="s">
        <v>2413</v>
      </c>
      <c r="Q68" s="2378" t="e">
        <f ca="1">L61</f>
        <v>#DIV/0!</v>
      </c>
      <c r="R68" s="2381" t="s">
        <v>2415</v>
      </c>
    </row>
    <row r="69" spans="1:18" s="2058" customFormat="1" ht="21.75" thickBot="1">
      <c r="A69" s="2095"/>
      <c r="B69" s="2096"/>
      <c r="C69" s="2096"/>
      <c r="K69" s="2085"/>
      <c r="O69" s="2379" t="s">
        <v>2384</v>
      </c>
      <c r="P69" s="2377" t="s">
        <v>2414</v>
      </c>
      <c r="Q69" s="2383">
        <f ca="1">L52</f>
        <v>0</v>
      </c>
      <c r="R69" s="2384" t="s">
        <v>2417</v>
      </c>
    </row>
    <row r="70" spans="1:18" s="2058" customFormat="1" ht="20.25" thickBot="1">
      <c r="A70" s="2095"/>
      <c r="B70" s="2096"/>
      <c r="C70" s="2096"/>
      <c r="K70" s="2085"/>
      <c r="O70" s="2379" t="s">
        <v>2385</v>
      </c>
      <c r="P70" s="2385" t="s">
        <v>2399</v>
      </c>
      <c r="Q70" s="2378">
        <f ca="1">ROUND(Q71-Q72*Q73,0)</f>
        <v>0</v>
      </c>
      <c r="R70" s="2381"/>
    </row>
    <row r="71" spans="1:18" s="2058" customFormat="1" ht="15.75" thickBot="1">
      <c r="A71" s="2095"/>
      <c r="B71" s="2096"/>
      <c r="C71" s="2096"/>
      <c r="K71" s="2085"/>
      <c r="O71" s="2379" t="s">
        <v>2400</v>
      </c>
      <c r="P71" s="2385" t="s">
        <v>2401</v>
      </c>
      <c r="Q71" s="2378">
        <f ca="1">C42</f>
        <v>0</v>
      </c>
      <c r="R71" s="2377" t="s">
        <v>2381</v>
      </c>
    </row>
    <row r="72" spans="1:18" s="2058" customFormat="1" ht="15.75" thickBot="1">
      <c r="A72" s="2095"/>
      <c r="B72" s="2096"/>
      <c r="C72" s="2096"/>
      <c r="K72" s="2085"/>
      <c r="O72" s="2379" t="s">
        <v>2402</v>
      </c>
      <c r="P72" s="2385" t="s">
        <v>2403</v>
      </c>
      <c r="Q72" s="2378">
        <f ca="1">C15</f>
        <v>0</v>
      </c>
      <c r="R72" s="2377" t="s">
        <v>2381</v>
      </c>
    </row>
    <row r="73" spans="1:18" s="2058" customFormat="1" ht="15.75" thickBot="1">
      <c r="A73" s="2095"/>
      <c r="B73" s="2096"/>
      <c r="C73" s="2096"/>
      <c r="K73" s="2085"/>
      <c r="O73" s="2379" t="s">
        <v>2404</v>
      </c>
      <c r="P73" s="2385" t="s">
        <v>2405</v>
      </c>
      <c r="Q73" s="2380">
        <f ca="1">F43</f>
        <v>0</v>
      </c>
      <c r="R73" s="2381"/>
    </row>
    <row r="74" spans="1:18" s="2058" customFormat="1" ht="15.75" thickBot="1">
      <c r="A74" s="2095"/>
      <c r="B74" s="2096"/>
      <c r="C74" s="2096"/>
      <c r="K74" s="2085"/>
      <c r="O74" s="2379" t="s">
        <v>2387</v>
      </c>
      <c r="P74" s="2377" t="s">
        <v>2394</v>
      </c>
      <c r="Q74" s="2380">
        <f>L53</f>
        <v>0</v>
      </c>
      <c r="R74" s="2381"/>
    </row>
    <row r="75" spans="1:18" s="2058" customFormat="1" ht="20.25" thickBot="1">
      <c r="A75" s="2095"/>
      <c r="B75" s="2096"/>
      <c r="C75" s="2096"/>
      <c r="K75" s="2085"/>
      <c r="O75" s="2379" t="s">
        <v>2389</v>
      </c>
      <c r="P75" s="2377" t="s">
        <v>2395</v>
      </c>
      <c r="Q75" s="2378">
        <f ca="1">L59</f>
        <v>0</v>
      </c>
      <c r="R75" s="2381" t="s">
        <v>2396</v>
      </c>
    </row>
    <row r="76" spans="1:18" s="2058" customFormat="1" ht="20.25" thickBot="1">
      <c r="A76" s="2095"/>
      <c r="B76" s="2096"/>
      <c r="C76" s="2096"/>
      <c r="K76" s="2085"/>
      <c r="O76" s="2379" t="s">
        <v>2418</v>
      </c>
      <c r="P76" s="2377" t="s">
        <v>2397</v>
      </c>
      <c r="Q76" s="2378">
        <f ca="1">L60</f>
        <v>0</v>
      </c>
      <c r="R76" s="2381" t="s">
        <v>2398</v>
      </c>
    </row>
    <row r="77" spans="1:18" s="2058" customFormat="1" ht="15.75" thickBot="1">
      <c r="A77" s="2095"/>
      <c r="B77" s="2096"/>
      <c r="C77" s="2096"/>
      <c r="K77" s="2085"/>
      <c r="O77" s="2376" t="s">
        <v>2392</v>
      </c>
      <c r="P77" s="2377" t="s">
        <v>2409</v>
      </c>
      <c r="Q77" s="2378" t="e">
        <f ca="1">Q67+Q68</f>
        <v>#DIV/0!</v>
      </c>
      <c r="R77" s="2381"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2019年1月24日（评估专业人员勘察现场之日）</v>
      </c>
    </row>
    <row r="12" spans="1:4" ht="18.75">
      <c r="A12" s="1796" t="s">
        <v>2026</v>
      </c>
    </row>
    <row r="13" spans="1:4" ht="18.75">
      <c r="A13" s="1790" t="s">
        <v>2946</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18.75">
      <c r="A21" s="1790" t="s">
        <v>2075</v>
      </c>
    </row>
    <row r="22" spans="1:1" ht="93.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1月23日、商业2059年1月23日、办公2059年1月23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I39" sqref="I39"/>
    </sheetView>
  </sheetViews>
  <sheetFormatPr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1" customFormat="1">
      <c r="B1" s="3494" t="s">
        <v>2577</v>
      </c>
      <c r="C1" s="3494"/>
      <c r="D1" s="3494"/>
      <c r="E1" s="3494"/>
      <c r="F1" s="3494"/>
      <c r="G1" s="3493" t="s">
        <v>2578</v>
      </c>
      <c r="H1" s="3493"/>
      <c r="I1" s="3493"/>
      <c r="J1" s="3493"/>
      <c r="K1" s="3493"/>
      <c r="L1" s="3493"/>
      <c r="N1" s="3493" t="s">
        <v>2579</v>
      </c>
      <c r="O1" s="3493"/>
      <c r="P1" s="3493"/>
      <c r="Q1" s="3493"/>
      <c r="R1" s="2632"/>
      <c r="S1" s="3493" t="s">
        <v>2580</v>
      </c>
      <c r="T1" s="3493"/>
      <c r="U1" s="3493"/>
      <c r="V1" s="3493"/>
      <c r="X1" s="3492" t="s">
        <v>2640</v>
      </c>
      <c r="Y1" s="3493"/>
      <c r="Z1" s="3493"/>
      <c r="AA1" s="3493"/>
      <c r="AB1" s="3493"/>
      <c r="AD1" s="3492" t="s">
        <v>2644</v>
      </c>
      <c r="AE1" s="3493"/>
      <c r="AF1" s="3493"/>
      <c r="AG1" s="3493"/>
      <c r="AH1" s="3493"/>
    </row>
    <row r="2" spans="1:34" s="2734" customFormat="1" ht="14.25" thickBot="1">
      <c r="B2" s="2742" t="s">
        <v>2581</v>
      </c>
      <c r="C2" s="2742" t="s">
        <v>2642</v>
      </c>
      <c r="D2" s="2735" t="s">
        <v>1645</v>
      </c>
      <c r="E2" s="2735" t="s">
        <v>1950</v>
      </c>
      <c r="F2" s="2742" t="s">
        <v>2643</v>
      </c>
      <c r="G2" s="2738"/>
      <c r="H2" s="2737"/>
      <c r="I2" s="2742" t="s">
        <v>2961</v>
      </c>
      <c r="J2" s="2735" t="s">
        <v>2963</v>
      </c>
      <c r="K2" s="2735" t="s">
        <v>2964</v>
      </c>
      <c r="L2" s="2742" t="s">
        <v>2965</v>
      </c>
      <c r="N2" s="2742" t="s">
        <v>2581</v>
      </c>
      <c r="O2" s="2735" t="s">
        <v>2962</v>
      </c>
      <c r="P2" s="2735" t="s">
        <v>1950</v>
      </c>
      <c r="Q2" s="2742" t="s">
        <v>2643</v>
      </c>
      <c r="R2" s="2736"/>
      <c r="S2" s="2742" t="s">
        <v>2581</v>
      </c>
      <c r="T2" s="2735" t="s">
        <v>2962</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10" customFormat="1" ht="14.25">
      <c r="A3" s="3122" t="s">
        <v>2974</v>
      </c>
      <c r="B3" s="3111"/>
      <c r="C3" s="3111"/>
      <c r="D3" s="3112"/>
      <c r="E3" s="3112"/>
      <c r="F3" s="3111"/>
      <c r="G3" s="3113"/>
      <c r="H3" s="3114"/>
      <c r="I3" s="3121">
        <f>ROUND(AVERAGE($I4:$I24),2)</f>
        <v>2.19</v>
      </c>
      <c r="J3" s="3121">
        <f>ROUND(AVERAGE($J4:$J24),2)</f>
        <v>1.53</v>
      </c>
      <c r="K3" s="3121">
        <f>ROUND(AVERAGE($K4:$K24),2)</f>
        <v>2.41</v>
      </c>
      <c r="L3" s="3121">
        <f>ROUND(AVERAGE($L4:$L24),2)</f>
        <v>1.42</v>
      </c>
      <c r="N3" s="3113"/>
      <c r="O3" s="3115"/>
      <c r="P3" s="3115"/>
      <c r="Q3" s="3115"/>
      <c r="R3" s="3115"/>
      <c r="S3" s="3113"/>
      <c r="T3" s="3115"/>
      <c r="U3" s="3115"/>
      <c r="V3" s="3115"/>
      <c r="W3" s="3118"/>
      <c r="X3" s="3116">
        <f>ROUND(SUMPRODUCT(PRODUCT(1+N3:N$23)),4)</f>
        <v>1.4956</v>
      </c>
      <c r="Y3" s="3116">
        <f>ROUND(SUMPRODUCT(PRODUCT(1+O3:O$23)),4)</f>
        <v>1.3237000000000001</v>
      </c>
      <c r="Z3" s="3116">
        <f t="shared" ref="Z3:Z21" si="0">Y3</f>
        <v>1.3237000000000001</v>
      </c>
      <c r="AA3" s="3116">
        <f>ROUND(SUMPRODUCT(PRODUCT(1+P3:P$23)),4)</f>
        <v>1.554</v>
      </c>
      <c r="AB3" s="3116">
        <f>ROUND(SUMPRODUCT(PRODUCT(1+Q3:Q$23)),4)</f>
        <v>1.3087</v>
      </c>
      <c r="AD3" s="3117">
        <f>ROUND(AVERAGE(I3:I$24)/100,4)</f>
        <v>2.1899999999999999E-2</v>
      </c>
      <c r="AE3" s="3117">
        <f>ROUND(AVERAGE(J3:J$24)/100,4)</f>
        <v>1.5299999999999999E-2</v>
      </c>
      <c r="AF3" s="3117">
        <f t="shared" ref="AF3:AF22" si="1">AE3</f>
        <v>1.5299999999999999E-2</v>
      </c>
      <c r="AG3" s="3117">
        <f>ROUND(AVERAGE(K3:K$24)/100,4)</f>
        <v>2.41E-2</v>
      </c>
      <c r="AH3" s="3117">
        <f>ROUND(AVERAGE(L3:L$24)/100,4)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9"/>
      <c r="X4" s="2732"/>
      <c r="Y4" s="2732"/>
      <c r="Z4" s="2732"/>
      <c r="AA4" s="2732"/>
      <c r="AB4" s="2732"/>
      <c r="AD4" s="2652"/>
      <c r="AE4" s="2652"/>
      <c r="AF4" s="2652"/>
      <c r="AG4" s="2652"/>
      <c r="AH4" s="2652"/>
    </row>
    <row r="5" spans="1:34" s="3091" customFormat="1">
      <c r="A5" s="3089" t="s">
        <v>2986</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2018</v>
      </c>
      <c r="H5" s="3090">
        <v>4</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20" t="s">
        <v>2975</v>
      </c>
      <c r="X5" s="3094">
        <f>ROUND(SUMPRODUCT(PRODUCT(1+N5:N$23)),4)</f>
        <v>1.4956</v>
      </c>
      <c r="Y5" s="3094">
        <f>ROUND(SUMPRODUCT(PRODUCT(1+O5:O$23)),4)</f>
        <v>1.3237000000000001</v>
      </c>
      <c r="Z5" s="3094">
        <f t="shared" ref="Z5" si="10">Y5</f>
        <v>1.3237000000000001</v>
      </c>
      <c r="AA5" s="3094">
        <f>ROUND(SUMPRODUCT(PRODUCT(1+P5:P$23)),4)</f>
        <v>1.554</v>
      </c>
      <c r="AB5" s="3094">
        <f>ROUND(SUMPRODUCT(PRODUCT(1+Q5:Q$23)),4)</f>
        <v>1.3087</v>
      </c>
      <c r="AD5" s="3095">
        <f>ROUND(AVERAGE(I5:I$24)/100,4)</f>
        <v>2.1899999999999999E-2</v>
      </c>
      <c r="AE5" s="3095">
        <f>ROUND(AVERAGE(J5:J$24)/100,4)</f>
        <v>1.5299999999999999E-2</v>
      </c>
      <c r="AF5" s="3095">
        <f t="shared" ref="AF5" si="11">AE5</f>
        <v>1.5299999999999999E-2</v>
      </c>
      <c r="AG5" s="3095">
        <f>ROUND(AVERAGE(K5:K$24)/100,4)</f>
        <v>2.41E-2</v>
      </c>
      <c r="AH5" s="3095">
        <f>ROUND(AVERAGE(L5:L$24)/100,4)</f>
        <v>1.4200000000000001E-2</v>
      </c>
    </row>
    <row r="6" spans="1:34" s="2739" customFormat="1" ht="13.5" thickBot="1">
      <c r="A6" s="2633" t="s">
        <v>2984</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109"/>
      <c r="H6" s="2637">
        <v>3</v>
      </c>
      <c r="I6" s="2637">
        <v>1.51</v>
      </c>
      <c r="J6" s="2637">
        <v>1.41</v>
      </c>
      <c r="K6" s="2637">
        <v>1.52</v>
      </c>
      <c r="L6" s="2648">
        <v>1.74</v>
      </c>
      <c r="M6" s="2641"/>
      <c r="N6" s="2642">
        <f t="shared" ref="N6" si="16">I6/100</f>
        <v>1.5100000000000001E-2</v>
      </c>
      <c r="O6" s="2643">
        <f t="shared" ref="O6" si="17">J6/100</f>
        <v>1.41E-2</v>
      </c>
      <c r="P6" s="2643">
        <f t="shared" ref="P6" si="18">K6/100</f>
        <v>1.52E-2</v>
      </c>
      <c r="Q6" s="2643">
        <f t="shared" ref="Q6" si="19">L6/100</f>
        <v>1.7399999999999999E-2</v>
      </c>
      <c r="R6" s="2644"/>
      <c r="S6" s="2650"/>
      <c r="T6" s="2651"/>
      <c r="U6" s="2651"/>
      <c r="V6" s="2651"/>
      <c r="W6" s="2641"/>
      <c r="X6" s="2732">
        <f>ROUND(SUMPRODUCT(PRODUCT(1+N6:N$23)),4)</f>
        <v>1.4956</v>
      </c>
      <c r="Y6" s="2732">
        <f>ROUND(SUMPRODUCT(PRODUCT(1+O6:O$23)),4)</f>
        <v>1.3237000000000001</v>
      </c>
      <c r="Z6" s="2732">
        <f t="shared" ref="Z6" si="20">Y6</f>
        <v>1.3237000000000001</v>
      </c>
      <c r="AA6" s="2732">
        <f>ROUND(SUMPRODUCT(PRODUCT(1+P6:P$23)),4)</f>
        <v>1.554</v>
      </c>
      <c r="AB6" s="2732">
        <f>ROUND(SUMPRODUCT(PRODUCT(1+Q6:Q$23)),4)</f>
        <v>1.3087</v>
      </c>
      <c r="AC6" s="2641"/>
      <c r="AD6" s="2652">
        <f>ROUND(AVERAGE(I6:I$24)/100,4)</f>
        <v>2.3099999999999999E-2</v>
      </c>
      <c r="AE6" s="2652">
        <f>ROUND(AVERAGE(J6:J$24)/100,4)</f>
        <v>1.61E-2</v>
      </c>
      <c r="AF6" s="2652">
        <f t="shared" ref="AF6" si="21">AE6</f>
        <v>1.61E-2</v>
      </c>
      <c r="AG6" s="2652">
        <f>ROUND(AVERAGE(K6:K$24)/100,4)</f>
        <v>2.53E-2</v>
      </c>
      <c r="AH6" s="2652">
        <f>ROUND(AVERAGE(L6:L$24)/100,4)</f>
        <v>1.4999999999999999E-2</v>
      </c>
    </row>
    <row r="7" spans="1:34" s="2739" customFormat="1" ht="13.5" thickBot="1">
      <c r="A7" s="2633" t="s">
        <v>2985</v>
      </c>
      <c r="B7" s="2647">
        <f>B8*(1+N7)</f>
        <v>453.11529869999993</v>
      </c>
      <c r="C7" s="2647">
        <f t="shared" ref="C7" si="22">C8*(1+O7)</f>
        <v>336.47787264000004</v>
      </c>
      <c r="D7" s="2647">
        <f t="shared" ref="D7" si="23">C7</f>
        <v>336.47787264000004</v>
      </c>
      <c r="E7" s="2647">
        <f t="shared" ref="E7" si="24">E8*(1+P7)</f>
        <v>647.35186823999993</v>
      </c>
      <c r="F7" s="2647">
        <f t="shared" ref="F7" si="25">F8*(1+Q7)</f>
        <v>295.73229452000004</v>
      </c>
      <c r="G7" s="3109"/>
      <c r="H7" s="2637">
        <v>2</v>
      </c>
      <c r="I7" s="2637">
        <v>1.49</v>
      </c>
      <c r="J7" s="2637">
        <v>0.96</v>
      </c>
      <c r="K7" s="2637">
        <v>1.58</v>
      </c>
      <c r="L7" s="2648">
        <v>2.44</v>
      </c>
      <c r="M7" s="2641"/>
      <c r="N7" s="2642">
        <f t="shared" ref="N7" si="26">I7/100</f>
        <v>1.49E-2</v>
      </c>
      <c r="O7" s="2643">
        <f t="shared" ref="O7" si="27">J7/100</f>
        <v>9.5999999999999992E-3</v>
      </c>
      <c r="P7" s="2643">
        <f t="shared" ref="P7" si="28">K7/100</f>
        <v>1.5800000000000002E-2</v>
      </c>
      <c r="Q7" s="2643">
        <f t="shared" ref="Q7" si="29">L7/100</f>
        <v>2.4399999999999998E-2</v>
      </c>
      <c r="R7" s="2644"/>
      <c r="S7" s="2650"/>
      <c r="T7" s="2651"/>
      <c r="U7" s="2651"/>
      <c r="V7" s="2651"/>
      <c r="W7" s="2641"/>
      <c r="X7" s="2732">
        <f>ROUND(SUMPRODUCT(PRODUCT(1+N7:N$23)),4)</f>
        <v>1.4733000000000001</v>
      </c>
      <c r="Y7" s="2732">
        <f>ROUND(SUMPRODUCT(PRODUCT(1+O7:O$23)),4)</f>
        <v>1.3052999999999999</v>
      </c>
      <c r="Z7" s="2732">
        <f t="shared" ref="Z7" si="30">Y7</f>
        <v>1.3052999999999999</v>
      </c>
      <c r="AA7" s="2732">
        <f>ROUND(SUMPRODUCT(PRODUCT(1+P7:P$23)),4)</f>
        <v>1.5306999999999999</v>
      </c>
      <c r="AB7" s="2732">
        <f>ROUND(SUMPRODUCT(PRODUCT(1+Q7:Q$23)),4)</f>
        <v>1.2863</v>
      </c>
      <c r="AC7" s="2641"/>
      <c r="AD7" s="2652">
        <f>ROUND(AVERAGE(I7:I$24)/100,4)</f>
        <v>2.35E-2</v>
      </c>
      <c r="AE7" s="2652">
        <f>ROUND(AVERAGE(J7:J$24)/100,4)</f>
        <v>1.6199999999999999E-2</v>
      </c>
      <c r="AF7" s="2652">
        <f t="shared" ref="AF7" si="31">AE7</f>
        <v>1.6199999999999999E-2</v>
      </c>
      <c r="AG7" s="2652">
        <f>ROUND(AVERAGE(K7:K$24)/100,4)</f>
        <v>2.5899999999999999E-2</v>
      </c>
      <c r="AH7" s="2652">
        <f>ROUND(AVERAGE(L7:L$24)/100,4)</f>
        <v>1.49E-2</v>
      </c>
    </row>
    <row r="8" spans="1:34" s="2739" customFormat="1" ht="13.5" thickBot="1">
      <c r="A8" s="2633" t="s">
        <v>2981</v>
      </c>
      <c r="B8" s="2647">
        <f>B9*(1+N8)</f>
        <v>446.46299999999997</v>
      </c>
      <c r="C8" s="2647">
        <f t="shared" ref="C8" si="32">C9*(1+O8)</f>
        <v>333.27840000000003</v>
      </c>
      <c r="D8" s="2647">
        <f t="shared" ref="D8:D13" si="33">C8</f>
        <v>333.27840000000003</v>
      </c>
      <c r="E8" s="2647">
        <f t="shared" ref="E8" si="34">E9*(1+P8)</f>
        <v>637.28279999999995</v>
      </c>
      <c r="F8" s="2647">
        <f t="shared" ref="F8" si="35">F9*(1+Q8)</f>
        <v>288.68830000000003</v>
      </c>
      <c r="G8" s="3109"/>
      <c r="H8" s="2637">
        <v>1</v>
      </c>
      <c r="I8" s="2637">
        <v>1.7</v>
      </c>
      <c r="J8" s="2637">
        <v>1.92</v>
      </c>
      <c r="K8" s="2637">
        <v>1.64</v>
      </c>
      <c r="L8" s="2648">
        <v>2.0099999999999998</v>
      </c>
      <c r="M8" s="2641"/>
      <c r="N8" s="2642">
        <f t="shared" ref="N8:N13" si="36">I8/100</f>
        <v>1.7000000000000001E-2</v>
      </c>
      <c r="O8" s="2643">
        <f t="shared" ref="O8" si="37">J8/100</f>
        <v>1.9199999999999998E-2</v>
      </c>
      <c r="P8" s="2643">
        <f t="shared" ref="P8" si="38">K8/100</f>
        <v>1.6399999999999998E-2</v>
      </c>
      <c r="Q8" s="2643">
        <f t="shared" ref="Q8" si="39">L8/100</f>
        <v>2.0099999999999996E-2</v>
      </c>
      <c r="R8" s="2644"/>
      <c r="S8" s="2650">
        <f>B8/B9-1</f>
        <v>1.6999999999999904E-2</v>
      </c>
      <c r="T8" s="2651">
        <f>C8/C9-1</f>
        <v>1.9200000000000106E-2</v>
      </c>
      <c r="U8" s="2651">
        <f>E8/E9-1</f>
        <v>1.639999999999997E-2</v>
      </c>
      <c r="V8" s="2651">
        <f>F8/F9-1</f>
        <v>2.0100000000000007E-2</v>
      </c>
      <c r="W8" s="2641"/>
      <c r="X8" s="2732">
        <f>ROUND(SUMPRODUCT(PRODUCT(1+N8:N$23)),4)</f>
        <v>1.4517</v>
      </c>
      <c r="Y8" s="2732">
        <f>ROUND(SUMPRODUCT(PRODUCT(1+O8:O$23)),4)</f>
        <v>1.2928999999999999</v>
      </c>
      <c r="Z8" s="2732">
        <f t="shared" ref="Z8" si="40">Y8</f>
        <v>1.2928999999999999</v>
      </c>
      <c r="AA8" s="2732">
        <f>ROUND(SUMPRODUCT(PRODUCT(1+P8:P$23)),4)</f>
        <v>1.5068999999999999</v>
      </c>
      <c r="AB8" s="2732">
        <f>ROUND(SUMPRODUCT(PRODUCT(1+Q8:Q$23)),4)</f>
        <v>1.2557</v>
      </c>
      <c r="AC8" s="2641"/>
      <c r="AD8" s="2652">
        <f>ROUND(AVERAGE(I8:I$24)/100,4)</f>
        <v>2.4E-2</v>
      </c>
      <c r="AE8" s="2652">
        <f>ROUND(AVERAGE(J8:J$24)/100,4)</f>
        <v>1.66E-2</v>
      </c>
      <c r="AF8" s="2652">
        <f t="shared" ref="AF8" si="41">AE8</f>
        <v>1.66E-2</v>
      </c>
      <c r="AG8" s="2652">
        <f>ROUND(AVERAGE(K8:K$24)/100,4)</f>
        <v>2.6499999999999999E-2</v>
      </c>
      <c r="AH8" s="2652">
        <f>ROUND(AVERAGE(L8:L$24)/100,4)</f>
        <v>1.43E-2</v>
      </c>
    </row>
    <row r="9" spans="1:34">
      <c r="A9" s="2633" t="s">
        <v>2972</v>
      </c>
      <c r="B9" s="3124">
        <v>439</v>
      </c>
      <c r="C9" s="3124">
        <v>327</v>
      </c>
      <c r="D9" s="3124">
        <f t="shared" si="33"/>
        <v>327</v>
      </c>
      <c r="E9" s="3124">
        <v>627</v>
      </c>
      <c r="F9" s="3125">
        <v>283</v>
      </c>
      <c r="G9" s="3107">
        <v>2017</v>
      </c>
      <c r="H9" s="2634">
        <v>4</v>
      </c>
      <c r="I9" s="2634">
        <v>1.71</v>
      </c>
      <c r="J9" s="2634">
        <v>1.78</v>
      </c>
      <c r="K9" s="2634">
        <v>1.71</v>
      </c>
      <c r="L9" s="2635">
        <v>1.43</v>
      </c>
      <c r="N9" s="2655">
        <f t="shared" si="36"/>
        <v>1.7100000000000001E-2</v>
      </c>
      <c r="O9" s="2656">
        <f t="shared" ref="O9" si="42">J9/100</f>
        <v>1.78E-2</v>
      </c>
      <c r="P9" s="2656">
        <f t="shared" ref="P9" si="43">K9/100</f>
        <v>1.7100000000000001E-2</v>
      </c>
      <c r="Q9" s="2656">
        <f t="shared" ref="Q9" si="44">L9/100</f>
        <v>1.43E-2</v>
      </c>
      <c r="R9" s="2644"/>
      <c r="S9" s="2645"/>
      <c r="T9" s="2646"/>
      <c r="U9" s="2646"/>
      <c r="V9" s="2646"/>
      <c r="X9" s="2732">
        <f>ROUND(SUMPRODUCT(PRODUCT(1+N9:N$23)),4)</f>
        <v>1.4274</v>
      </c>
      <c r="Y9" s="2732">
        <f>ROUND(SUMPRODUCT(PRODUCT(1+O9:O$23)),4)</f>
        <v>1.2685</v>
      </c>
      <c r="Z9" s="2732">
        <f t="shared" si="0"/>
        <v>1.2685</v>
      </c>
      <c r="AA9" s="2732">
        <f>ROUND(SUMPRODUCT(PRODUCT(1+P9:P$23)),4)</f>
        <v>1.4825999999999999</v>
      </c>
      <c r="AB9" s="2732">
        <f>ROUND(SUMPRODUCT(PRODUCT(1+Q9:Q$23)),4)</f>
        <v>1.2309000000000001</v>
      </c>
      <c r="AD9" s="2652">
        <f>ROUND(AVERAGE(I9:I$24)/100,4)</f>
        <v>2.4500000000000001E-2</v>
      </c>
      <c r="AE9" s="2652">
        <f>ROUND(AVERAGE(J9:J$24)/100,4)</f>
        <v>1.6500000000000001E-2</v>
      </c>
      <c r="AF9" s="2652">
        <f t="shared" si="1"/>
        <v>1.6500000000000001E-2</v>
      </c>
      <c r="AG9" s="2652">
        <f>ROUND(AVERAGE(K9:K$24)/100,4)</f>
        <v>2.7099999999999999E-2</v>
      </c>
      <c r="AH9" s="2652">
        <f>ROUND(AVERAGE(L9:L$24)/100,4)</f>
        <v>1.3899999999999999E-2</v>
      </c>
    </row>
    <row r="10" spans="1:34" s="2739" customFormat="1" ht="13.5" thickBot="1">
      <c r="A10" s="2633" t="s">
        <v>2976</v>
      </c>
      <c r="B10" s="2647">
        <f t="shared" ref="B10:C12" si="45">B11*(1+N10)</f>
        <v>431.80730811680002</v>
      </c>
      <c r="C10" s="2647">
        <f t="shared" si="45"/>
        <v>320.57880516480003</v>
      </c>
      <c r="D10" s="2647">
        <f t="shared" si="33"/>
        <v>320.57880516480003</v>
      </c>
      <c r="E10" s="2647">
        <f t="shared" ref="E10:F12" si="46">E11*(1+P10)</f>
        <v>615.96110553196797</v>
      </c>
      <c r="F10" s="2647">
        <f t="shared" si="46"/>
        <v>279.46777300108801</v>
      </c>
      <c r="G10" s="3109"/>
      <c r="H10" s="2637">
        <v>3</v>
      </c>
      <c r="I10" s="2637">
        <v>2.98</v>
      </c>
      <c r="J10" s="2637">
        <v>2.11</v>
      </c>
      <c r="K10" s="2637">
        <v>3.24</v>
      </c>
      <c r="L10" s="2648">
        <v>1.72</v>
      </c>
      <c r="M10" s="2641"/>
      <c r="N10" s="2642">
        <f t="shared" si="36"/>
        <v>2.98E-2</v>
      </c>
      <c r="O10" s="2660">
        <f t="shared" ref="O10:O11" si="47">J10/100</f>
        <v>2.1099999999999997E-2</v>
      </c>
      <c r="P10" s="2660">
        <f t="shared" ref="P10:P11" si="48">K10/100</f>
        <v>3.2400000000000005E-2</v>
      </c>
      <c r="Q10" s="2660">
        <f t="shared" ref="Q10:Q11" si="49">L10/100</f>
        <v>1.72E-2</v>
      </c>
      <c r="R10" s="2644"/>
      <c r="S10" s="2650"/>
      <c r="T10" s="2651"/>
      <c r="U10" s="2651"/>
      <c r="V10" s="2651"/>
      <c r="W10" s="2641"/>
      <c r="X10" s="2732">
        <f>ROUND(SUMPRODUCT(PRODUCT(1+N10:N$23)),4)</f>
        <v>1.4034</v>
      </c>
      <c r="Y10" s="2732">
        <f>ROUND(SUMPRODUCT(PRODUCT(1+O10:O$23)),4)</f>
        <v>1.2463</v>
      </c>
      <c r="Z10" s="2732">
        <f t="shared" si="0"/>
        <v>1.2463</v>
      </c>
      <c r="AA10" s="2732">
        <f>ROUND(SUMPRODUCT(PRODUCT(1+P10:P$23)),4)</f>
        <v>1.4577</v>
      </c>
      <c r="AB10" s="2732">
        <f>ROUND(SUMPRODUCT(PRODUCT(1+Q10:Q$23)),4)</f>
        <v>1.2136</v>
      </c>
      <c r="AC10" s="2641"/>
      <c r="AD10" s="2652">
        <f>ROUND(AVERAGE(I10:I$24)/100,4)</f>
        <v>2.4899999999999999E-2</v>
      </c>
      <c r="AE10" s="2652">
        <f>ROUND(AVERAGE(J10:J$24)/100,4)</f>
        <v>1.6400000000000001E-2</v>
      </c>
      <c r="AF10" s="2652">
        <f t="shared" si="1"/>
        <v>1.6400000000000001E-2</v>
      </c>
      <c r="AG10" s="2652">
        <f>ROUND(AVERAGE(K10:K$24)/100,4)</f>
        <v>2.7799999999999998E-2</v>
      </c>
      <c r="AH10" s="2652">
        <f>ROUND(AVERAGE(L10:L$24)/100,4)</f>
        <v>1.3899999999999999E-2</v>
      </c>
    </row>
    <row r="11" spans="1:34" s="2631" customFormat="1">
      <c r="A11" s="2633" t="s">
        <v>2582</v>
      </c>
      <c r="B11" s="2647">
        <f t="shared" si="45"/>
        <v>419.31181600000002</v>
      </c>
      <c r="C11" s="2647">
        <f t="shared" si="45"/>
        <v>313.95436800000004</v>
      </c>
      <c r="D11" s="2647">
        <f t="shared" si="33"/>
        <v>313.95436800000004</v>
      </c>
      <c r="E11" s="2647">
        <f t="shared" si="46"/>
        <v>596.63028431999999</v>
      </c>
      <c r="F11" s="2647">
        <f t="shared" si="46"/>
        <v>274.74220703999998</v>
      </c>
      <c r="G11" s="3108"/>
      <c r="H11" s="2638">
        <v>2</v>
      </c>
      <c r="I11" s="2638">
        <v>3.4</v>
      </c>
      <c r="J11" s="2638">
        <v>2</v>
      </c>
      <c r="K11" s="2638">
        <v>3.82</v>
      </c>
      <c r="L11" s="2649">
        <v>1.68</v>
      </c>
      <c r="N11" s="2642">
        <f t="shared" si="36"/>
        <v>3.4000000000000002E-2</v>
      </c>
      <c r="O11" s="2660">
        <f t="shared" si="47"/>
        <v>0.02</v>
      </c>
      <c r="P11" s="2660">
        <f t="shared" si="48"/>
        <v>3.8199999999999998E-2</v>
      </c>
      <c r="Q11" s="2660">
        <f t="shared" si="49"/>
        <v>1.6799999999999999E-2</v>
      </c>
      <c r="R11" s="2632"/>
      <c r="S11" s="2636"/>
      <c r="T11" s="2632"/>
      <c r="U11" s="2632"/>
      <c r="V11" s="2632"/>
      <c r="X11" s="2732">
        <f>ROUND(SUMPRODUCT(PRODUCT(1+N11:N$23)),4)</f>
        <v>1.3628</v>
      </c>
      <c r="Y11" s="2732">
        <f>ROUND(SUMPRODUCT(PRODUCT(1+O11:O$23)),4)</f>
        <v>1.2205999999999999</v>
      </c>
      <c r="Z11" s="2732">
        <f t="shared" si="0"/>
        <v>1.2205999999999999</v>
      </c>
      <c r="AA11" s="2732">
        <f>ROUND(SUMPRODUCT(PRODUCT(1+P11:P$23)),4)</f>
        <v>1.4118999999999999</v>
      </c>
      <c r="AB11" s="2732">
        <f>ROUND(SUMPRODUCT(PRODUCT(1+Q11:Q$23)),4)</f>
        <v>1.1930000000000001</v>
      </c>
      <c r="AD11" s="2652">
        <f>ROUND(AVERAGE(I11:I$24)/100,4)</f>
        <v>2.46E-2</v>
      </c>
      <c r="AE11" s="2652">
        <f>ROUND(AVERAGE(J11:J$24)/100,4)</f>
        <v>1.6E-2</v>
      </c>
      <c r="AF11" s="2652">
        <f t="shared" si="1"/>
        <v>1.6E-2</v>
      </c>
      <c r="AG11" s="2652">
        <f>ROUND(AVERAGE(K11:K$24)/100,4)</f>
        <v>2.75E-2</v>
      </c>
      <c r="AH11" s="2652">
        <f>ROUND(AVERAGE(L11:L$24)/100,4)</f>
        <v>1.37E-2</v>
      </c>
    </row>
    <row r="12" spans="1:34" s="2739" customFormat="1" ht="13.5" thickBot="1">
      <c r="A12" s="2633" t="s">
        <v>2583</v>
      </c>
      <c r="B12" s="2647">
        <f t="shared" si="45"/>
        <v>405.524</v>
      </c>
      <c r="C12" s="2647">
        <f t="shared" si="45"/>
        <v>307.79840000000002</v>
      </c>
      <c r="D12" s="2647">
        <f t="shared" si="33"/>
        <v>307.79840000000002</v>
      </c>
      <c r="E12" s="2647">
        <f t="shared" si="46"/>
        <v>574.67759999999998</v>
      </c>
      <c r="F12" s="2647">
        <f t="shared" si="46"/>
        <v>270.20280000000002</v>
      </c>
      <c r="G12" s="3109"/>
      <c r="H12" s="2637">
        <v>1</v>
      </c>
      <c r="I12" s="2637">
        <v>3.45</v>
      </c>
      <c r="J12" s="2637">
        <v>1.92</v>
      </c>
      <c r="K12" s="2637">
        <v>3.92</v>
      </c>
      <c r="L12" s="2648">
        <v>1.58</v>
      </c>
      <c r="M12" s="2641"/>
      <c r="N12" s="2650">
        <f t="shared" si="36"/>
        <v>3.4500000000000003E-2</v>
      </c>
      <c r="O12" s="2651">
        <f t="shared" ref="O12" si="50">J12/100</f>
        <v>1.9199999999999998E-2</v>
      </c>
      <c r="P12" s="2651">
        <f t="shared" ref="P12" si="51">K12/100</f>
        <v>3.9199999999999999E-2</v>
      </c>
      <c r="Q12" s="2651">
        <f t="shared" ref="Q12" si="52">L12/100</f>
        <v>1.5800000000000002E-2</v>
      </c>
      <c r="R12" s="2644"/>
      <c r="S12" s="2650">
        <f>B12/B13-1</f>
        <v>3.4499999999999975E-2</v>
      </c>
      <c r="T12" s="2651">
        <f>C12/C13-1</f>
        <v>1.9200000000000106E-2</v>
      </c>
      <c r="U12" s="2651">
        <f>E12/E13-1</f>
        <v>3.9199999999999902E-2</v>
      </c>
      <c r="V12" s="2651">
        <f>F12/F13-1</f>
        <v>1.5800000000000036E-2</v>
      </c>
      <c r="W12" s="2641"/>
      <c r="X12" s="2732">
        <f>ROUND(SUMPRODUCT(PRODUCT(1+N12:N$23)),4)</f>
        <v>1.3180000000000001</v>
      </c>
      <c r="Y12" s="2732">
        <f>ROUND(SUMPRODUCT(PRODUCT(1+O12:O$23)),4)</f>
        <v>1.1966000000000001</v>
      </c>
      <c r="Z12" s="2732">
        <f t="shared" si="0"/>
        <v>1.1966000000000001</v>
      </c>
      <c r="AA12" s="2732">
        <f>ROUND(SUMPRODUCT(PRODUCT(1+P12:P$23)),4)</f>
        <v>1.36</v>
      </c>
      <c r="AB12" s="2732">
        <f>ROUND(SUMPRODUCT(PRODUCT(1+Q12:Q$23)),4)</f>
        <v>1.1733</v>
      </c>
      <c r="AC12" s="2641"/>
      <c r="AD12" s="2652">
        <f>ROUND(AVERAGE(I12:I$24)/100,4)</f>
        <v>2.3900000000000001E-2</v>
      </c>
      <c r="AE12" s="2652">
        <f>ROUND(AVERAGE(J12:J$24)/100,4)</f>
        <v>1.5699999999999999E-2</v>
      </c>
      <c r="AF12" s="2652">
        <f t="shared" si="1"/>
        <v>1.5699999999999999E-2</v>
      </c>
      <c r="AG12" s="2652">
        <f>ROUND(AVERAGE(K12:K$24)/100,4)</f>
        <v>2.6599999999999999E-2</v>
      </c>
      <c r="AH12" s="2652">
        <f>ROUND(AVERAGE(L12:L$24)/100,4)</f>
        <v>1.34E-2</v>
      </c>
    </row>
    <row r="13" spans="1:34">
      <c r="A13" s="2633" t="s">
        <v>971</v>
      </c>
      <c r="B13" s="2639">
        <v>392</v>
      </c>
      <c r="C13" s="2639">
        <v>302</v>
      </c>
      <c r="D13" s="2639">
        <f t="shared" si="33"/>
        <v>302</v>
      </c>
      <c r="E13" s="2639">
        <v>553</v>
      </c>
      <c r="F13" s="2640">
        <v>266</v>
      </c>
      <c r="G13" s="3491">
        <v>2016</v>
      </c>
      <c r="H13" s="2634">
        <v>4</v>
      </c>
      <c r="I13" s="2634">
        <v>4.5599999999999996</v>
      </c>
      <c r="J13" s="2634">
        <v>2.15</v>
      </c>
      <c r="K13" s="2634">
        <v>5.32</v>
      </c>
      <c r="L13" s="2635">
        <v>1.57</v>
      </c>
      <c r="N13" s="2642">
        <f t="shared" si="36"/>
        <v>4.5599999999999995E-2</v>
      </c>
      <c r="O13" s="2643">
        <f t="shared" ref="O13:Q28" si="53">J13/100</f>
        <v>2.1499999999999998E-2</v>
      </c>
      <c r="P13" s="2643">
        <f t="shared" si="53"/>
        <v>5.3200000000000004E-2</v>
      </c>
      <c r="Q13" s="2643">
        <f t="shared" si="53"/>
        <v>1.5700000000000002E-2</v>
      </c>
      <c r="R13" s="2644"/>
      <c r="S13" s="2645"/>
      <c r="T13" s="2646"/>
      <c r="U13" s="2646"/>
      <c r="V13" s="2646"/>
      <c r="X13" s="2732">
        <f>ROUND(SUMPRODUCT(PRODUCT(1+N13:N$23)),4)</f>
        <v>1.274</v>
      </c>
      <c r="Y13" s="2732">
        <f>ROUND(SUMPRODUCT(PRODUCT(1+O13:O$23)),4)</f>
        <v>1.1740999999999999</v>
      </c>
      <c r="Z13" s="2732">
        <f t="shared" si="0"/>
        <v>1.1740999999999999</v>
      </c>
      <c r="AA13" s="2732">
        <f>ROUND(SUMPRODUCT(PRODUCT(1+P13:P$23)),4)</f>
        <v>1.3087</v>
      </c>
      <c r="AB13" s="2732">
        <f>ROUND(SUMPRODUCT(PRODUCT(1+Q13:Q$23)),4)</f>
        <v>1.1551</v>
      </c>
      <c r="AD13" s="2652">
        <f>ROUND(AVERAGE(I13:I$24)/100,4)</f>
        <v>2.3E-2</v>
      </c>
      <c r="AE13" s="2652">
        <f>ROUND(AVERAGE(J13:J$24)/100,4)</f>
        <v>1.55E-2</v>
      </c>
      <c r="AF13" s="2652">
        <f t="shared" si="1"/>
        <v>1.55E-2</v>
      </c>
      <c r="AG13" s="2652">
        <f>ROUND(AVERAGE(K13:K$24)/100,4)</f>
        <v>2.5600000000000001E-2</v>
      </c>
      <c r="AH13" s="2652">
        <f>ROUND(AVERAGE(L13:L$24)/100,4)</f>
        <v>1.32E-2</v>
      </c>
    </row>
    <row r="14" spans="1:34">
      <c r="A14" s="2633" t="s">
        <v>970</v>
      </c>
      <c r="B14" s="2647">
        <f t="shared" ref="B14:C16" si="54">B13/(1+N13)</f>
        <v>374.90436113236416</v>
      </c>
      <c r="C14" s="2647">
        <f t="shared" si="54"/>
        <v>295.64366128242779</v>
      </c>
      <c r="D14" s="2647">
        <f t="shared" ref="D14:D73" si="55">C14</f>
        <v>295.64366128242779</v>
      </c>
      <c r="E14" s="2647">
        <f t="shared" ref="E14:F16" si="56">E13/(1+P13)</f>
        <v>525.06646410938095</v>
      </c>
      <c r="F14" s="2647">
        <f t="shared" si="56"/>
        <v>261.88835286009646</v>
      </c>
      <c r="G14" s="3489"/>
      <c r="H14" s="2637">
        <v>3</v>
      </c>
      <c r="I14" s="2637">
        <v>4.12</v>
      </c>
      <c r="J14" s="2637">
        <v>2</v>
      </c>
      <c r="K14" s="2637">
        <v>4.79</v>
      </c>
      <c r="L14" s="2648">
        <v>1.97</v>
      </c>
      <c r="N14" s="2642">
        <f t="shared" ref="N14:Q48" si="57">I14/100</f>
        <v>4.1200000000000001E-2</v>
      </c>
      <c r="O14" s="2643">
        <f t="shared" si="53"/>
        <v>0.02</v>
      </c>
      <c r="P14" s="2643">
        <f t="shared" si="53"/>
        <v>4.7899999999999998E-2</v>
      </c>
      <c r="Q14" s="2643">
        <f t="shared" si="53"/>
        <v>1.9699999999999999E-2</v>
      </c>
      <c r="R14" s="2644"/>
      <c r="S14" s="2642"/>
      <c r="T14" s="2643"/>
      <c r="U14" s="2643"/>
      <c r="V14" s="2643"/>
      <c r="X14" s="2732">
        <f>ROUND(SUMPRODUCT(PRODUCT(1+N14:N$23)),4)</f>
        <v>1.2184999999999999</v>
      </c>
      <c r="Y14" s="2732">
        <f>ROUND(SUMPRODUCT(PRODUCT(1+O14:O$23)),4)</f>
        <v>1.1494</v>
      </c>
      <c r="Z14" s="2732">
        <f t="shared" si="0"/>
        <v>1.1494</v>
      </c>
      <c r="AA14" s="2732">
        <f>ROUND(SUMPRODUCT(PRODUCT(1+P14:P$23)),4)</f>
        <v>1.2425999999999999</v>
      </c>
      <c r="AB14" s="2732">
        <f>ROUND(SUMPRODUCT(PRODUCT(1+Q14:Q$23)),4)</f>
        <v>1.1372</v>
      </c>
      <c r="AD14" s="2652">
        <f>ROUND(AVERAGE(I14:I$24)/100,4)</f>
        <v>2.0899999999999998E-2</v>
      </c>
      <c r="AE14" s="2652">
        <f>ROUND(AVERAGE(J14:J$24)/100,4)</f>
        <v>1.49E-2</v>
      </c>
      <c r="AF14" s="2652">
        <f t="shared" si="1"/>
        <v>1.49E-2</v>
      </c>
      <c r="AG14" s="2652">
        <f>ROUND(AVERAGE(K14:K$24)/100,4)</f>
        <v>2.3099999999999999E-2</v>
      </c>
      <c r="AH14" s="2652">
        <f>ROUND(AVERAGE(L14:L$24)/100,4)</f>
        <v>1.2999999999999999E-2</v>
      </c>
    </row>
    <row r="15" spans="1:34">
      <c r="A15" s="2633" t="s">
        <v>960</v>
      </c>
      <c r="B15" s="2647">
        <f t="shared" si="54"/>
        <v>360.06949782209392</v>
      </c>
      <c r="C15" s="2647">
        <f t="shared" si="54"/>
        <v>289.84672674747821</v>
      </c>
      <c r="D15" s="2647">
        <f t="shared" si="55"/>
        <v>289.84672674747821</v>
      </c>
      <c r="E15" s="2647">
        <f t="shared" si="56"/>
        <v>501.06543001181495</v>
      </c>
      <c r="F15" s="2647">
        <f t="shared" si="56"/>
        <v>256.82882500744967</v>
      </c>
      <c r="G15" s="3489"/>
      <c r="H15" s="2638">
        <v>2</v>
      </c>
      <c r="I15" s="2638">
        <v>3.85</v>
      </c>
      <c r="J15" s="2638">
        <v>1.95</v>
      </c>
      <c r="K15" s="2638">
        <v>4.4800000000000004</v>
      </c>
      <c r="L15" s="2649">
        <v>1.41</v>
      </c>
      <c r="N15" s="2642">
        <f t="shared" si="57"/>
        <v>3.85E-2</v>
      </c>
      <c r="O15" s="2643">
        <f t="shared" si="53"/>
        <v>1.95E-2</v>
      </c>
      <c r="P15" s="2643">
        <f t="shared" si="53"/>
        <v>4.4800000000000006E-2</v>
      </c>
      <c r="Q15" s="2643">
        <f t="shared" si="53"/>
        <v>1.41E-2</v>
      </c>
      <c r="R15" s="2644"/>
      <c r="S15" s="2642"/>
      <c r="T15" s="2643"/>
      <c r="U15" s="2643"/>
      <c r="V15" s="2643"/>
      <c r="X15" s="2732">
        <f>ROUND(SUMPRODUCT(PRODUCT(1+N15:N$23)),4)</f>
        <v>1.1702999999999999</v>
      </c>
      <c r="Y15" s="2732">
        <f>ROUND(SUMPRODUCT(PRODUCT(1+O15:O$23)),4)</f>
        <v>1.1269</v>
      </c>
      <c r="Z15" s="2732">
        <f t="shared" si="0"/>
        <v>1.1269</v>
      </c>
      <c r="AA15" s="2732">
        <f>ROUND(SUMPRODUCT(PRODUCT(1+P15:P$23)),4)</f>
        <v>1.1858</v>
      </c>
      <c r="AB15" s="2732">
        <f>ROUND(SUMPRODUCT(PRODUCT(1+Q15:Q$23)),4)</f>
        <v>1.1152</v>
      </c>
      <c r="AD15" s="2652">
        <f>ROUND(AVERAGE(I15:I$24)/100,4)</f>
        <v>1.89E-2</v>
      </c>
      <c r="AE15" s="2652">
        <f>ROUND(AVERAGE(J15:J$24)/100,4)</f>
        <v>1.44E-2</v>
      </c>
      <c r="AF15" s="2652">
        <f t="shared" si="1"/>
        <v>1.44E-2</v>
      </c>
      <c r="AG15" s="2652">
        <f>ROUND(AVERAGE(K15:K$24)/100,4)</f>
        <v>2.06E-2</v>
      </c>
      <c r="AH15" s="2652">
        <f>ROUND(AVERAGE(L15:L$24)/100,4)</f>
        <v>1.23E-2</v>
      </c>
    </row>
    <row r="16" spans="1:34" ht="13.5" thickBot="1">
      <c r="A16" s="2633" t="s">
        <v>969</v>
      </c>
      <c r="B16" s="2647">
        <f t="shared" si="54"/>
        <v>346.720748986128</v>
      </c>
      <c r="C16" s="2647">
        <f t="shared" si="54"/>
        <v>284.30282172386285</v>
      </c>
      <c r="D16" s="2647">
        <f t="shared" si="55"/>
        <v>284.30282172386285</v>
      </c>
      <c r="E16" s="2647">
        <f t="shared" si="56"/>
        <v>479.58023546306947</v>
      </c>
      <c r="F16" s="2647">
        <f t="shared" si="56"/>
        <v>253.25788877571213</v>
      </c>
      <c r="G16" s="3490"/>
      <c r="H16" s="2637">
        <v>1</v>
      </c>
      <c r="I16" s="2637">
        <v>4.09</v>
      </c>
      <c r="J16" s="2637">
        <v>2.93</v>
      </c>
      <c r="K16" s="2637">
        <v>4.54</v>
      </c>
      <c r="L16" s="2648">
        <v>1.48</v>
      </c>
      <c r="N16" s="2642">
        <f t="shared" si="57"/>
        <v>4.0899999999999999E-2</v>
      </c>
      <c r="O16" s="2643">
        <f t="shared" si="53"/>
        <v>2.9300000000000003E-2</v>
      </c>
      <c r="P16" s="2643">
        <f t="shared" si="53"/>
        <v>4.5400000000000003E-2</v>
      </c>
      <c r="Q16" s="2643">
        <f t="shared" si="53"/>
        <v>1.4800000000000001E-2</v>
      </c>
      <c r="R16" s="2644"/>
      <c r="S16" s="2650">
        <f>B16/B17-1</f>
        <v>4.1203450408792808E-2</v>
      </c>
      <c r="T16" s="2651">
        <f>C16/C17-1</f>
        <v>2.6363977342465095E-2</v>
      </c>
      <c r="U16" s="2651">
        <f>E16/E17-1</f>
        <v>4.4837114298626357E-2</v>
      </c>
      <c r="V16" s="2651">
        <f>F16/F17-1</f>
        <v>1.7099954922538574E-2</v>
      </c>
      <c r="X16" s="2732">
        <f>ROUND(SUMPRODUCT(PRODUCT(1+N16:N$23)),4)</f>
        <v>1.1269</v>
      </c>
      <c r="Y16" s="2732">
        <f>ROUND(SUMPRODUCT(PRODUCT(1+O16:O$23)),4)</f>
        <v>1.1052999999999999</v>
      </c>
      <c r="Z16" s="2732">
        <f t="shared" si="0"/>
        <v>1.1052999999999999</v>
      </c>
      <c r="AA16" s="2732">
        <f>ROUND(SUMPRODUCT(PRODUCT(1+P16:P$23)),4)</f>
        <v>1.1349</v>
      </c>
      <c r="AB16" s="2732">
        <f>ROUND(SUMPRODUCT(PRODUCT(1+Q16:Q$23)),4)</f>
        <v>1.0996999999999999</v>
      </c>
      <c r="AD16" s="2652">
        <f>ROUND(AVERAGE(I16:I$24)/100,4)</f>
        <v>1.67E-2</v>
      </c>
      <c r="AE16" s="2652">
        <f>ROUND(AVERAGE(J16:J$24)/100,4)</f>
        <v>1.38E-2</v>
      </c>
      <c r="AF16" s="2652">
        <f t="shared" si="1"/>
        <v>1.38E-2</v>
      </c>
      <c r="AG16" s="2652">
        <f>ROUND(AVERAGE(K16:K$24)/100,4)</f>
        <v>1.7899999999999999E-2</v>
      </c>
      <c r="AH16" s="2652">
        <f>ROUND(AVERAGE(L16:L$24)/100,4)</f>
        <v>1.21E-2</v>
      </c>
    </row>
    <row r="17" spans="1:34" ht="13.5" thickBot="1">
      <c r="A17" s="2633" t="s">
        <v>968</v>
      </c>
      <c r="B17" s="2639">
        <v>333</v>
      </c>
      <c r="C17" s="2639">
        <v>277</v>
      </c>
      <c r="D17" s="2639">
        <f t="shared" si="55"/>
        <v>277</v>
      </c>
      <c r="E17" s="2639">
        <v>459</v>
      </c>
      <c r="F17" s="2640">
        <v>249</v>
      </c>
      <c r="G17" s="3488">
        <v>2015</v>
      </c>
      <c r="H17" s="2653">
        <v>4</v>
      </c>
      <c r="I17" s="2653">
        <v>1.63</v>
      </c>
      <c r="J17" s="2653">
        <v>1.1100000000000001</v>
      </c>
      <c r="K17" s="2653">
        <v>1.77</v>
      </c>
      <c r="L17" s="2654">
        <v>1.89</v>
      </c>
      <c r="N17" s="2655">
        <f t="shared" si="57"/>
        <v>1.6299999999999999E-2</v>
      </c>
      <c r="O17" s="2656">
        <f t="shared" si="53"/>
        <v>1.11E-2</v>
      </c>
      <c r="P17" s="2656">
        <f t="shared" si="53"/>
        <v>1.77E-2</v>
      </c>
      <c r="Q17" s="2656">
        <f t="shared" si="53"/>
        <v>1.89E-2</v>
      </c>
      <c r="R17" s="2644"/>
      <c r="X17" s="2732">
        <f>ROUND(SUMPRODUCT(PRODUCT(1+N17:N$23)),4)</f>
        <v>1.0826</v>
      </c>
      <c r="Y17" s="2732">
        <f>ROUND(SUMPRODUCT(PRODUCT(1+O17:O$23)),4)</f>
        <v>1.0738000000000001</v>
      </c>
      <c r="Z17" s="2732">
        <f t="shared" si="0"/>
        <v>1.0738000000000001</v>
      </c>
      <c r="AA17" s="2732">
        <f>ROUND(SUMPRODUCT(PRODUCT(1+P17:P$23)),4)</f>
        <v>1.0855999999999999</v>
      </c>
      <c r="AB17" s="2732">
        <f>ROUND(SUMPRODUCT(PRODUCT(1+Q17:Q$23)),4)</f>
        <v>1.0837000000000001</v>
      </c>
      <c r="AD17" s="2652">
        <f>ROUND(AVERAGE(I17:I$24)/100,4)</f>
        <v>1.37E-2</v>
      </c>
      <c r="AE17" s="2652">
        <f>ROUND(AVERAGE(J17:J$24)/100,4)</f>
        <v>1.1900000000000001E-2</v>
      </c>
      <c r="AF17" s="2652">
        <f t="shared" si="1"/>
        <v>1.1900000000000001E-2</v>
      </c>
      <c r="AG17" s="2652">
        <f>ROUND(AVERAGE(K17:K$24)/100,4)</f>
        <v>1.4500000000000001E-2</v>
      </c>
      <c r="AH17" s="2652">
        <f>ROUND(AVERAGE(L17:L$24)/100,4)</f>
        <v>1.18E-2</v>
      </c>
    </row>
    <row r="18" spans="1:34">
      <c r="A18" s="2633" t="s">
        <v>967</v>
      </c>
      <c r="B18" s="2647">
        <f t="shared" ref="B18:C20" si="58">B17/(1+N17)</f>
        <v>327.65915576109415</v>
      </c>
      <c r="C18" s="2647">
        <f t="shared" si="58"/>
        <v>273.95905449510434</v>
      </c>
      <c r="D18" s="2647">
        <f t="shared" si="55"/>
        <v>273.95905449510434</v>
      </c>
      <c r="E18" s="2647">
        <f t="shared" ref="E18:F20" si="59">E17/(1+P17)</f>
        <v>451.01699911565294</v>
      </c>
      <c r="F18" s="2647">
        <f t="shared" si="59"/>
        <v>244.38119540681129</v>
      </c>
      <c r="G18" s="3489"/>
      <c r="H18" s="2658">
        <v>3</v>
      </c>
      <c r="I18" s="2658">
        <v>1.65</v>
      </c>
      <c r="J18" s="2658">
        <v>0.92</v>
      </c>
      <c r="K18" s="2658">
        <v>1.88</v>
      </c>
      <c r="L18" s="2659">
        <v>1.26</v>
      </c>
      <c r="N18" s="2642">
        <f t="shared" si="57"/>
        <v>1.6500000000000001E-2</v>
      </c>
      <c r="O18" s="2660">
        <f t="shared" si="53"/>
        <v>9.1999999999999998E-3</v>
      </c>
      <c r="P18" s="2660">
        <f t="shared" si="53"/>
        <v>1.8799999999999997E-2</v>
      </c>
      <c r="Q18" s="2660">
        <f t="shared" si="53"/>
        <v>1.26E-2</v>
      </c>
      <c r="R18" s="2644"/>
      <c r="S18" s="2642"/>
      <c r="T18" s="2643"/>
      <c r="U18" s="2643"/>
      <c r="V18" s="2643"/>
      <c r="X18" s="2732">
        <f>ROUND(SUMPRODUCT(PRODUCT(1+N18:N$23)),4)</f>
        <v>1.0651999999999999</v>
      </c>
      <c r="Y18" s="2732">
        <f>ROUND(SUMPRODUCT(PRODUCT(1+O18:O$23)),4)</f>
        <v>1.0621</v>
      </c>
      <c r="Z18" s="2732">
        <f t="shared" si="0"/>
        <v>1.0621</v>
      </c>
      <c r="AA18" s="2732">
        <f>ROUND(SUMPRODUCT(PRODUCT(1+P18:P$23)),4)</f>
        <v>1.0668</v>
      </c>
      <c r="AB18" s="2732">
        <f>ROUND(SUMPRODUCT(PRODUCT(1+Q18:Q$23)),4)</f>
        <v>1.0636000000000001</v>
      </c>
      <c r="AD18" s="2652">
        <f>ROUND(AVERAGE(I18:I$24)/100,4)</f>
        <v>1.3299999999999999E-2</v>
      </c>
      <c r="AE18" s="2652">
        <f>ROUND(AVERAGE(J18:J$24)/100,4)</f>
        <v>1.2E-2</v>
      </c>
      <c r="AF18" s="2652">
        <f t="shared" si="1"/>
        <v>1.2E-2</v>
      </c>
      <c r="AG18" s="2652">
        <f>ROUND(AVERAGE(K18:K$24)/100,4)</f>
        <v>1.4E-2</v>
      </c>
      <c r="AH18" s="2652">
        <f>ROUND(AVERAGE(L18:L$24)/100,4)</f>
        <v>1.0800000000000001E-2</v>
      </c>
    </row>
    <row r="19" spans="1:34">
      <c r="A19" s="2633" t="s">
        <v>966</v>
      </c>
      <c r="B19" s="2647">
        <f t="shared" si="58"/>
        <v>322.34053690220776</v>
      </c>
      <c r="C19" s="2647">
        <f t="shared" si="58"/>
        <v>271.46160770422546</v>
      </c>
      <c r="D19" s="2647">
        <f t="shared" si="55"/>
        <v>271.46160770422546</v>
      </c>
      <c r="E19" s="2647">
        <f t="shared" si="59"/>
        <v>442.69434542172456</v>
      </c>
      <c r="F19" s="2647">
        <f t="shared" si="59"/>
        <v>241.34030753190925</v>
      </c>
      <c r="G19" s="3489"/>
      <c r="H19" s="2638">
        <v>2</v>
      </c>
      <c r="I19" s="2638">
        <v>0.77</v>
      </c>
      <c r="J19" s="2638">
        <v>0.69</v>
      </c>
      <c r="K19" s="2638">
        <v>0.8</v>
      </c>
      <c r="L19" s="2649">
        <v>0.88</v>
      </c>
      <c r="N19" s="2642">
        <f t="shared" si="57"/>
        <v>7.7000000000000002E-3</v>
      </c>
      <c r="O19" s="2660">
        <f t="shared" si="53"/>
        <v>6.8999999999999999E-3</v>
      </c>
      <c r="P19" s="2660">
        <f t="shared" si="53"/>
        <v>8.0000000000000002E-3</v>
      </c>
      <c r="Q19" s="2660">
        <f t="shared" si="53"/>
        <v>8.8000000000000005E-3</v>
      </c>
      <c r="R19" s="2644"/>
      <c r="S19" s="2642"/>
      <c r="T19" s="2643"/>
      <c r="U19" s="2643"/>
      <c r="V19" s="2643"/>
      <c r="X19" s="2732">
        <f>ROUND(SUMPRODUCT(PRODUCT(1+N19:N$23)),4)</f>
        <v>1.048</v>
      </c>
      <c r="Y19" s="2732">
        <f>ROUND(SUMPRODUCT(PRODUCT(1+O19:O$23)),4)</f>
        <v>1.0524</v>
      </c>
      <c r="Z19" s="2732">
        <f t="shared" si="0"/>
        <v>1.0524</v>
      </c>
      <c r="AA19" s="2732">
        <f>ROUND(SUMPRODUCT(PRODUCT(1+P19:P$23)),4)</f>
        <v>1.0470999999999999</v>
      </c>
      <c r="AB19" s="2732">
        <f>ROUND(SUMPRODUCT(PRODUCT(1+Q19:Q$23)),4)</f>
        <v>1.0504</v>
      </c>
      <c r="AD19" s="2652">
        <f>ROUND(AVERAGE(I19:I$24)/100,4)</f>
        <v>1.2800000000000001E-2</v>
      </c>
      <c r="AE19" s="2652">
        <f>ROUND(AVERAGE(J19:J$24)/100,4)</f>
        <v>1.2500000000000001E-2</v>
      </c>
      <c r="AF19" s="2652">
        <f t="shared" si="1"/>
        <v>1.2500000000000001E-2</v>
      </c>
      <c r="AG19" s="2652">
        <f>ROUND(AVERAGE(K19:K$24)/100,4)</f>
        <v>1.32E-2</v>
      </c>
      <c r="AH19" s="2652">
        <f>ROUND(AVERAGE(L19:L$24)/100,4)</f>
        <v>1.0500000000000001E-2</v>
      </c>
    </row>
    <row r="20" spans="1:34">
      <c r="A20" s="2633" t="s">
        <v>965</v>
      </c>
      <c r="B20" s="2647">
        <f t="shared" si="58"/>
        <v>319.87748030386797</v>
      </c>
      <c r="C20" s="2647">
        <f t="shared" si="58"/>
        <v>269.60135833173649</v>
      </c>
      <c r="D20" s="2647">
        <f t="shared" si="55"/>
        <v>269.60135833173649</v>
      </c>
      <c r="E20" s="2647">
        <f t="shared" si="59"/>
        <v>439.18089823583784</v>
      </c>
      <c r="F20" s="2647">
        <f t="shared" si="59"/>
        <v>239.23503918706311</v>
      </c>
      <c r="G20" s="3490"/>
      <c r="H20" s="2637">
        <v>1</v>
      </c>
      <c r="I20" s="2637">
        <v>0.51</v>
      </c>
      <c r="J20" s="2637">
        <v>0.54</v>
      </c>
      <c r="K20" s="2637">
        <v>0.48</v>
      </c>
      <c r="L20" s="2648">
        <v>0.93</v>
      </c>
      <c r="N20" s="2650">
        <f t="shared" si="57"/>
        <v>5.1000000000000004E-3</v>
      </c>
      <c r="O20" s="2651">
        <f t="shared" si="53"/>
        <v>5.4000000000000003E-3</v>
      </c>
      <c r="P20" s="2651">
        <f t="shared" si="53"/>
        <v>4.7999999999999996E-3</v>
      </c>
      <c r="Q20" s="2651">
        <f t="shared" si="53"/>
        <v>9.300000000000001E-3</v>
      </c>
      <c r="R20" s="2644"/>
      <c r="S20" s="2650">
        <f>B20/B21-1</f>
        <v>5.9040261127922822E-3</v>
      </c>
      <c r="T20" s="2651">
        <f>C20/C21-1</f>
        <v>5.9752176557332781E-3</v>
      </c>
      <c r="U20" s="2651">
        <f>E20/E21-1</f>
        <v>4.9906138119859556E-3</v>
      </c>
      <c r="V20" s="2651">
        <f>F20/F21-1</f>
        <v>9.4305450930933787E-3</v>
      </c>
      <c r="X20" s="2732">
        <f>ROUND(SUMPRODUCT(PRODUCT(1+N20:N$23)),4)</f>
        <v>1.0399</v>
      </c>
      <c r="Y20" s="2732">
        <f>ROUND(SUMPRODUCT(PRODUCT(1+O20:O$23)),4)</f>
        <v>1.0451999999999999</v>
      </c>
      <c r="Z20" s="2732">
        <f t="shared" si="0"/>
        <v>1.0451999999999999</v>
      </c>
      <c r="AA20" s="2732">
        <f>ROUND(SUMPRODUCT(PRODUCT(1+P20:P$23)),4)</f>
        <v>1.0387999999999999</v>
      </c>
      <c r="AB20" s="2732">
        <f>ROUND(SUMPRODUCT(PRODUCT(1+Q20:Q$23)),4)</f>
        <v>1.0411999999999999</v>
      </c>
      <c r="AD20" s="2652">
        <f>ROUND(AVERAGE(I20:I$24)/100,4)</f>
        <v>1.38E-2</v>
      </c>
      <c r="AE20" s="2652">
        <f>ROUND(AVERAGE(J20:J$24)/100,4)</f>
        <v>1.3599999999999999E-2</v>
      </c>
      <c r="AF20" s="2652">
        <f t="shared" si="1"/>
        <v>1.3599999999999999E-2</v>
      </c>
      <c r="AG20" s="2652">
        <f>ROUND(AVERAGE(K20:K$24)/100,4)</f>
        <v>1.4200000000000001E-2</v>
      </c>
      <c r="AH20" s="2652">
        <f>ROUND(AVERAGE(L20:L$24)/100,4)</f>
        <v>1.0800000000000001E-2</v>
      </c>
    </row>
    <row r="21" spans="1:34" ht="13.5" thickBot="1">
      <c r="A21" s="2633" t="s">
        <v>964</v>
      </c>
      <c r="B21" s="2661">
        <v>318</v>
      </c>
      <c r="C21" s="2661">
        <v>268</v>
      </c>
      <c r="D21" s="2661">
        <f t="shared" si="55"/>
        <v>268</v>
      </c>
      <c r="E21" s="2661">
        <v>437</v>
      </c>
      <c r="F21" s="2662">
        <v>237</v>
      </c>
      <c r="G21" s="3488">
        <v>2014</v>
      </c>
      <c r="H21" s="2653">
        <v>4</v>
      </c>
      <c r="I21" s="2653">
        <v>0.21</v>
      </c>
      <c r="J21" s="2653">
        <v>0.41</v>
      </c>
      <c r="K21" s="2653">
        <v>0.12</v>
      </c>
      <c r="L21" s="2654">
        <v>0.89</v>
      </c>
      <c r="N21" s="2642">
        <f t="shared" si="57"/>
        <v>2.0999999999999999E-3</v>
      </c>
      <c r="O21" s="2643">
        <f t="shared" si="53"/>
        <v>4.0999999999999995E-3</v>
      </c>
      <c r="P21" s="2643">
        <f t="shared" si="53"/>
        <v>1.1999999999999999E-3</v>
      </c>
      <c r="Q21" s="2643">
        <f t="shared" si="53"/>
        <v>8.8999999999999999E-3</v>
      </c>
      <c r="R21" s="2644"/>
      <c r="S21" s="2645"/>
      <c r="T21" s="2646"/>
      <c r="U21" s="2646"/>
      <c r="V21" s="2646"/>
      <c r="X21" s="2732">
        <f>ROUND(SUMPRODUCT(PRODUCT(1+N21:N$23)),4)</f>
        <v>1.0347</v>
      </c>
      <c r="Y21" s="2732">
        <f>ROUND(SUMPRODUCT(PRODUCT(1+O21:O$23)),4)</f>
        <v>1.0395000000000001</v>
      </c>
      <c r="Z21" s="2732">
        <f t="shared" si="0"/>
        <v>1.0395000000000001</v>
      </c>
      <c r="AA21" s="2732">
        <f>ROUND(SUMPRODUCT(PRODUCT(1+P21:P$23)),4)</f>
        <v>1.0338000000000001</v>
      </c>
      <c r="AB21" s="2732">
        <f>ROUND(SUMPRODUCT(PRODUCT(1+Q21:Q$23)),4)</f>
        <v>1.0316000000000001</v>
      </c>
      <c r="AD21" s="2652">
        <f>ROUND(AVERAGE(I21:I$24)/100,4)</f>
        <v>1.6E-2</v>
      </c>
      <c r="AE21" s="2652">
        <f>ROUND(AVERAGE(J21:J$24)/100,4)</f>
        <v>1.5599999999999999E-2</v>
      </c>
      <c r="AF21" s="2652">
        <f t="shared" si="1"/>
        <v>1.5599999999999999E-2</v>
      </c>
      <c r="AG21" s="2652">
        <f>ROUND(AVERAGE(K21:K$24)/100,4)</f>
        <v>1.66E-2</v>
      </c>
      <c r="AH21" s="2652">
        <f>ROUND(AVERAGE(L21:L$24)/100,4)</f>
        <v>1.12E-2</v>
      </c>
    </row>
    <row r="22" spans="1:34">
      <c r="A22" s="2633" t="s">
        <v>963</v>
      </c>
      <c r="B22" s="2647">
        <f t="shared" ref="B22:C24" si="60">B21/(1+N21)</f>
        <v>317.33359944117353</v>
      </c>
      <c r="C22" s="2647">
        <f t="shared" si="60"/>
        <v>266.90568668459315</v>
      </c>
      <c r="D22" s="2647">
        <f t="shared" si="55"/>
        <v>266.90568668459315</v>
      </c>
      <c r="E22" s="2647">
        <f t="shared" ref="E22:F24" si="61">E21/(1+P21)</f>
        <v>436.47622852576905</v>
      </c>
      <c r="F22" s="2647">
        <f t="shared" si="61"/>
        <v>234.90930716622066</v>
      </c>
      <c r="G22" s="3489"/>
      <c r="H22" s="2663">
        <v>3</v>
      </c>
      <c r="I22" s="2663">
        <v>0.83</v>
      </c>
      <c r="J22" s="2663">
        <v>1.47</v>
      </c>
      <c r="K22" s="2663">
        <v>0.65</v>
      </c>
      <c r="L22" s="2664">
        <v>0.72</v>
      </c>
      <c r="N22" s="2642">
        <f t="shared" si="57"/>
        <v>8.3000000000000001E-3</v>
      </c>
      <c r="O22" s="2643">
        <f t="shared" si="53"/>
        <v>1.47E-2</v>
      </c>
      <c r="P22" s="2643">
        <f t="shared" si="53"/>
        <v>6.5000000000000006E-3</v>
      </c>
      <c r="Q22" s="2643">
        <f t="shared" si="53"/>
        <v>7.1999999999999998E-3</v>
      </c>
      <c r="R22" s="2644"/>
      <c r="S22" s="2642"/>
      <c r="T22" s="2643"/>
      <c r="U22" s="2643"/>
      <c r="V22" s="2643"/>
      <c r="X22" s="2732">
        <f>ROUND(SUMPRODUCT(PRODUCT(1+N22:N$23)),4)</f>
        <v>1.0325</v>
      </c>
      <c r="Y22" s="2732">
        <f>ROUND(SUMPRODUCT(PRODUCT(1+O22:O$23)),4)</f>
        <v>1.0353000000000001</v>
      </c>
      <c r="Z22" s="2732">
        <f t="shared" ref="Z22:Z23" si="62">Y22</f>
        <v>1.0353000000000001</v>
      </c>
      <c r="AA22" s="2732">
        <f>ROUND(SUMPRODUCT(PRODUCT(1+P22:P$23)),4)</f>
        <v>1.0326</v>
      </c>
      <c r="AB22" s="2732">
        <f>ROUND(SUMPRODUCT(PRODUCT(1+Q22:Q$23)),4)</f>
        <v>1.0225</v>
      </c>
      <c r="AD22" s="2652">
        <f>ROUND(AVERAGE(I22:I$24)/100,4)</f>
        <v>2.07E-2</v>
      </c>
      <c r="AE22" s="2652">
        <f>ROUND(AVERAGE(J22:J$24)/100,4)</f>
        <v>1.95E-2</v>
      </c>
      <c r="AF22" s="2652">
        <f t="shared" si="1"/>
        <v>1.95E-2</v>
      </c>
      <c r="AG22" s="2652">
        <f>ROUND(AVERAGE(K22:K$24)/100,4)</f>
        <v>2.1700000000000001E-2</v>
      </c>
      <c r="AH22" s="2652">
        <f>ROUND(AVERAGE(L22:L$24)/100,4)</f>
        <v>1.2E-2</v>
      </c>
    </row>
    <row r="23" spans="1:34" ht="13.5" thickBot="1">
      <c r="A23" s="2633" t="s">
        <v>962</v>
      </c>
      <c r="B23" s="2647">
        <f t="shared" si="60"/>
        <v>314.72141172386546</v>
      </c>
      <c r="C23" s="2647">
        <f t="shared" si="60"/>
        <v>263.03901319069001</v>
      </c>
      <c r="D23" s="2647">
        <f t="shared" si="55"/>
        <v>263.03901319069001</v>
      </c>
      <c r="E23" s="2647">
        <f t="shared" si="61"/>
        <v>433.65745506782821</v>
      </c>
      <c r="F23" s="2647">
        <f t="shared" si="61"/>
        <v>233.23005080045735</v>
      </c>
      <c r="G23" s="3489"/>
      <c r="H23" s="2653">
        <v>2</v>
      </c>
      <c r="I23" s="2653">
        <v>2.4</v>
      </c>
      <c r="J23" s="2653">
        <v>2.0299999999999998</v>
      </c>
      <c r="K23" s="2653">
        <v>2.59</v>
      </c>
      <c r="L23" s="2654">
        <v>1.52</v>
      </c>
      <c r="N23" s="2642">
        <f t="shared" si="57"/>
        <v>2.4E-2</v>
      </c>
      <c r="O23" s="2643">
        <f t="shared" si="53"/>
        <v>2.0299999999999999E-2</v>
      </c>
      <c r="P23" s="2643">
        <f t="shared" si="53"/>
        <v>2.5899999999999999E-2</v>
      </c>
      <c r="Q23" s="2643">
        <f t="shared" si="53"/>
        <v>1.52E-2</v>
      </c>
      <c r="R23" s="2644"/>
      <c r="S23" s="2642"/>
      <c r="T23" s="2643"/>
      <c r="U23" s="2643"/>
      <c r="V23" s="2643"/>
      <c r="X23" s="2732">
        <f>1+N23</f>
        <v>1.024</v>
      </c>
      <c r="Y23" s="2732">
        <f>1+O23</f>
        <v>1.0203</v>
      </c>
      <c r="Z23" s="2732">
        <f t="shared" si="62"/>
        <v>1.0203</v>
      </c>
      <c r="AA23" s="2732">
        <f>1+P23</f>
        <v>1.0259</v>
      </c>
      <c r="AB23" s="2732">
        <f>1+Q23</f>
        <v>1.0152000000000001</v>
      </c>
      <c r="AD23" s="2652">
        <f>ROUND(AVERAGE(I23:I$24)/100,4)</f>
        <v>2.69E-2</v>
      </c>
      <c r="AE23" s="2652">
        <f>ROUND(AVERAGE(J23:J$24)/100,4)</f>
        <v>2.1899999999999999E-2</v>
      </c>
      <c r="AF23" s="2652">
        <f t="shared" ref="AF23" si="63">AE23</f>
        <v>2.1899999999999999E-2</v>
      </c>
      <c r="AG23" s="2652">
        <f>ROUND(AVERAGE(K23:K$24)/100,4)</f>
        <v>2.9399999999999999E-2</v>
      </c>
      <c r="AH23" s="2652">
        <f>ROUND(AVERAGE(L23:L$24)/100,4)</f>
        <v>1.44E-2</v>
      </c>
    </row>
    <row r="24" spans="1:34" s="2669" customFormat="1" ht="13.5" thickBot="1">
      <c r="A24" s="2665" t="s">
        <v>961</v>
      </c>
      <c r="B24" s="2666">
        <f t="shared" si="60"/>
        <v>307.34512863658733</v>
      </c>
      <c r="C24" s="2666">
        <f t="shared" si="60"/>
        <v>257.80556031626975</v>
      </c>
      <c r="D24" s="2666">
        <f t="shared" si="55"/>
        <v>257.80556031626975</v>
      </c>
      <c r="E24" s="2666">
        <f t="shared" si="61"/>
        <v>422.70928459677179</v>
      </c>
      <c r="F24" s="2666">
        <f t="shared" si="61"/>
        <v>229.73803270336617</v>
      </c>
      <c r="G24" s="3490"/>
      <c r="H24" s="2667">
        <v>1</v>
      </c>
      <c r="I24" s="2667">
        <v>2.97</v>
      </c>
      <c r="J24" s="2667">
        <v>2.34</v>
      </c>
      <c r="K24" s="2667">
        <v>3.28</v>
      </c>
      <c r="L24" s="2668">
        <v>1.36</v>
      </c>
      <c r="N24" s="2670">
        <f t="shared" si="57"/>
        <v>2.9700000000000001E-2</v>
      </c>
      <c r="O24" s="2671">
        <f t="shared" si="53"/>
        <v>2.3399999999999997E-2</v>
      </c>
      <c r="P24" s="2671">
        <f t="shared" si="53"/>
        <v>3.2799999999999996E-2</v>
      </c>
      <c r="Q24" s="2671">
        <f t="shared" si="53"/>
        <v>1.3600000000000001E-2</v>
      </c>
      <c r="R24" s="2672"/>
      <c r="S24" s="2673">
        <f>B24/B25-1</f>
        <v>2.7910129219355539E-2</v>
      </c>
      <c r="T24" s="2674">
        <f>C24/C25-1</f>
        <v>2.3037937762975247E-2</v>
      </c>
      <c r="U24" s="2674">
        <f>E24/E25-1</f>
        <v>3.3519033243940788E-2</v>
      </c>
      <c r="V24" s="2674">
        <f>F24/F25-1</f>
        <v>1.2061818076502862E-2</v>
      </c>
      <c r="W24" s="2741" t="s">
        <v>2641</v>
      </c>
      <c r="X24" s="2743">
        <v>1</v>
      </c>
      <c r="Y24" s="2743">
        <v>1</v>
      </c>
      <c r="Z24" s="2743">
        <v>1</v>
      </c>
      <c r="AA24" s="2743">
        <v>1</v>
      </c>
      <c r="AB24" s="2743">
        <v>1</v>
      </c>
      <c r="AD24" s="2984">
        <f>I24/100</f>
        <v>2.9700000000000001E-2</v>
      </c>
      <c r="AE24" s="2984">
        <f>J24/100</f>
        <v>2.3399999999999997E-2</v>
      </c>
      <c r="AF24" s="2984">
        <f>AE24</f>
        <v>2.3399999999999997E-2</v>
      </c>
      <c r="AG24" s="2984">
        <f>K24/100</f>
        <v>3.2799999999999996E-2</v>
      </c>
      <c r="AH24" s="2984">
        <f>L24/100</f>
        <v>1.3600000000000001E-2</v>
      </c>
    </row>
    <row r="25" spans="1:34" ht="13.5" thickBot="1">
      <c r="A25" s="2633" t="s">
        <v>2584</v>
      </c>
      <c r="B25" s="2639">
        <v>299</v>
      </c>
      <c r="C25" s="2639">
        <v>252</v>
      </c>
      <c r="D25" s="2639">
        <f t="shared" si="55"/>
        <v>252</v>
      </c>
      <c r="E25" s="2639">
        <v>409</v>
      </c>
      <c r="F25" s="2640">
        <v>227</v>
      </c>
      <c r="G25" s="3495">
        <v>2013</v>
      </c>
      <c r="H25" s="2675">
        <v>4</v>
      </c>
      <c r="I25" s="2675">
        <v>1.83</v>
      </c>
      <c r="J25" s="2675">
        <v>1.68</v>
      </c>
      <c r="K25" s="2675">
        <v>1.97</v>
      </c>
      <c r="L25" s="2676">
        <v>0.87</v>
      </c>
      <c r="N25" s="2655">
        <f t="shared" si="57"/>
        <v>1.83E-2</v>
      </c>
      <c r="O25" s="2656">
        <f t="shared" si="53"/>
        <v>1.6799999999999999E-2</v>
      </c>
      <c r="P25" s="2656">
        <f t="shared" si="53"/>
        <v>1.9699999999999999E-2</v>
      </c>
      <c r="Q25" s="2656">
        <f t="shared" si="53"/>
        <v>8.6999999999999994E-3</v>
      </c>
      <c r="R25" s="2644"/>
      <c r="S25" s="2645"/>
      <c r="T25" s="2646"/>
      <c r="U25" s="2646"/>
      <c r="V25" s="2646"/>
      <c r="X25" s="2646"/>
      <c r="Y25" s="2646"/>
      <c r="Z25" s="2646"/>
    </row>
    <row r="26" spans="1:34">
      <c r="A26" s="2633" t="s">
        <v>2585</v>
      </c>
      <c r="B26" s="2647">
        <f t="shared" ref="B26:C28" si="64">B25/(1+N25)</f>
        <v>293.62663262299913</v>
      </c>
      <c r="C26" s="2647">
        <f t="shared" si="64"/>
        <v>247.83634933123525</v>
      </c>
      <c r="D26" s="2647">
        <f t="shared" si="55"/>
        <v>247.83634933123525</v>
      </c>
      <c r="E26" s="2647">
        <f t="shared" ref="E26:F28" si="65">E25/(1+P25)</f>
        <v>401.09836226341076</v>
      </c>
      <c r="F26" s="2647">
        <f t="shared" si="65"/>
        <v>225.04213343908003</v>
      </c>
      <c r="G26" s="3496"/>
      <c r="H26" s="2658">
        <v>3</v>
      </c>
      <c r="I26" s="2658">
        <v>1.86</v>
      </c>
      <c r="J26" s="2658">
        <v>1.72</v>
      </c>
      <c r="K26" s="2658">
        <v>1.98</v>
      </c>
      <c r="L26" s="2659">
        <v>0.88</v>
      </c>
      <c r="N26" s="2642">
        <f t="shared" si="57"/>
        <v>1.8600000000000002E-2</v>
      </c>
      <c r="O26" s="2660">
        <f t="shared" si="53"/>
        <v>1.72E-2</v>
      </c>
      <c r="P26" s="2660">
        <f t="shared" si="53"/>
        <v>1.9799999999999998E-2</v>
      </c>
      <c r="Q26" s="2660">
        <f t="shared" si="53"/>
        <v>8.8000000000000005E-3</v>
      </c>
      <c r="R26" s="2644"/>
      <c r="S26" s="2642"/>
      <c r="T26" s="2643"/>
      <c r="U26" s="2643"/>
      <c r="V26" s="2643"/>
    </row>
    <row r="27" spans="1:34">
      <c r="A27" s="2633" t="s">
        <v>2586</v>
      </c>
      <c r="B27" s="2647">
        <f t="shared" si="64"/>
        <v>288.2649053828776</v>
      </c>
      <c r="C27" s="2647">
        <f t="shared" si="64"/>
        <v>243.64564425013293</v>
      </c>
      <c r="D27" s="2647">
        <f t="shared" si="55"/>
        <v>243.64564425013293</v>
      </c>
      <c r="E27" s="2647">
        <f t="shared" si="65"/>
        <v>393.31080825986544</v>
      </c>
      <c r="F27" s="2647">
        <f t="shared" si="65"/>
        <v>223.07903790551154</v>
      </c>
      <c r="G27" s="3496"/>
      <c r="H27" s="2638">
        <v>2</v>
      </c>
      <c r="I27" s="2638">
        <v>2.04</v>
      </c>
      <c r="J27" s="2638">
        <v>2.33</v>
      </c>
      <c r="K27" s="2638">
        <v>2.0699999999999998</v>
      </c>
      <c r="L27" s="2649">
        <v>0.69</v>
      </c>
      <c r="N27" s="2642">
        <f t="shared" si="57"/>
        <v>2.0400000000000001E-2</v>
      </c>
      <c r="O27" s="2660">
        <f t="shared" si="53"/>
        <v>2.3300000000000001E-2</v>
      </c>
      <c r="P27" s="2660">
        <f t="shared" si="53"/>
        <v>2.07E-2</v>
      </c>
      <c r="Q27" s="2660">
        <f t="shared" si="53"/>
        <v>6.8999999999999999E-3</v>
      </c>
      <c r="R27" s="2644"/>
      <c r="S27" s="2642"/>
      <c r="T27" s="2643"/>
      <c r="U27" s="2643"/>
      <c r="V27" s="2643"/>
      <c r="X27" s="2744"/>
      <c r="Y27" s="2746"/>
    </row>
    <row r="28" spans="1:34">
      <c r="A28" s="2633" t="s">
        <v>2587</v>
      </c>
      <c r="B28" s="2647">
        <f t="shared" si="64"/>
        <v>282.50186729015837</v>
      </c>
      <c r="C28" s="2647">
        <f t="shared" si="64"/>
        <v>238.09796174155468</v>
      </c>
      <c r="D28" s="2647">
        <f t="shared" si="55"/>
        <v>238.09796174155468</v>
      </c>
      <c r="E28" s="2647">
        <f t="shared" si="65"/>
        <v>385.33438646014054</v>
      </c>
      <c r="F28" s="2647">
        <f t="shared" si="65"/>
        <v>221.55034055567739</v>
      </c>
      <c r="G28" s="3497"/>
      <c r="H28" s="2637">
        <v>1</v>
      </c>
      <c r="I28" s="2637">
        <v>1.67</v>
      </c>
      <c r="J28" s="2637">
        <v>1.31</v>
      </c>
      <c r="K28" s="2637">
        <v>1.85</v>
      </c>
      <c r="L28" s="2648">
        <v>0.96</v>
      </c>
      <c r="N28" s="2650">
        <f t="shared" si="57"/>
        <v>1.67E-2</v>
      </c>
      <c r="O28" s="2651">
        <f t="shared" si="53"/>
        <v>1.3100000000000001E-2</v>
      </c>
      <c r="P28" s="2651">
        <f t="shared" si="53"/>
        <v>1.8500000000000003E-2</v>
      </c>
      <c r="Q28" s="2651">
        <f t="shared" si="53"/>
        <v>9.5999999999999992E-3</v>
      </c>
      <c r="R28" s="2644"/>
      <c r="S28" s="2650">
        <f>B28/B29-1</f>
        <v>1.6193767230785472E-2</v>
      </c>
      <c r="T28" s="2651">
        <f>C28/C29-1</f>
        <v>1.7512657015190891E-2</v>
      </c>
      <c r="U28" s="2651">
        <f>E28/E29-1</f>
        <v>1.6713420739157048E-2</v>
      </c>
      <c r="V28" s="2651">
        <f>F28/F29-1</f>
        <v>7.0470025258062563E-3</v>
      </c>
      <c r="X28" s="2745"/>
      <c r="Y28" s="2652"/>
      <c r="Z28" s="2652"/>
    </row>
    <row r="29" spans="1:34" ht="13.5" thickBot="1">
      <c r="A29" s="2633" t="s">
        <v>2588</v>
      </c>
      <c r="B29" s="2677">
        <v>278</v>
      </c>
      <c r="C29" s="2677">
        <v>234</v>
      </c>
      <c r="D29" s="2677">
        <f t="shared" si="55"/>
        <v>234</v>
      </c>
      <c r="E29" s="2677">
        <v>379</v>
      </c>
      <c r="F29" s="2678">
        <v>220</v>
      </c>
      <c r="G29" s="3488">
        <v>2012</v>
      </c>
      <c r="H29" s="2653">
        <v>4</v>
      </c>
      <c r="I29" s="2653">
        <v>0.91</v>
      </c>
      <c r="J29" s="2653">
        <v>0.68</v>
      </c>
      <c r="K29" s="2653">
        <v>0.98</v>
      </c>
      <c r="L29" s="2654">
        <v>0.9</v>
      </c>
      <c r="N29" s="2642">
        <f t="shared" si="57"/>
        <v>9.1000000000000004E-3</v>
      </c>
      <c r="O29" s="2643">
        <f t="shared" si="57"/>
        <v>6.8000000000000005E-3</v>
      </c>
      <c r="P29" s="2643">
        <f t="shared" si="57"/>
        <v>9.7999999999999997E-3</v>
      </c>
      <c r="Q29" s="2643">
        <f t="shared" si="57"/>
        <v>9.0000000000000011E-3</v>
      </c>
      <c r="R29" s="2644"/>
      <c r="S29" s="2645"/>
      <c r="T29" s="2646"/>
      <c r="U29" s="2646"/>
      <c r="V29" s="2646"/>
      <c r="X29" s="2646"/>
      <c r="Y29" s="2646"/>
      <c r="Z29" s="2646"/>
    </row>
    <row r="30" spans="1:34">
      <c r="A30" s="2633" t="s">
        <v>2589</v>
      </c>
      <c r="B30" s="2647">
        <f>B29/(1+N29)</f>
        <v>275.49301357645425</v>
      </c>
      <c r="C30" s="2647">
        <f>C29/(1+O29)</f>
        <v>232.41954707985698</v>
      </c>
      <c r="D30" s="2647">
        <f t="shared" si="55"/>
        <v>232.41954707985698</v>
      </c>
      <c r="E30" s="2647">
        <f t="shared" ref="E30:F32" si="66">E29/(1+P29)</f>
        <v>375.32184591008121</v>
      </c>
      <c r="F30" s="2647">
        <f t="shared" si="66"/>
        <v>218.03766105054513</v>
      </c>
      <c r="G30" s="3489"/>
      <c r="H30" s="2658">
        <v>3</v>
      </c>
      <c r="I30" s="2658">
        <v>0.09</v>
      </c>
      <c r="J30" s="2658">
        <v>0.28999999999999998</v>
      </c>
      <c r="K30" s="2658">
        <v>-0.01</v>
      </c>
      <c r="L30" s="2659">
        <v>0.57999999999999996</v>
      </c>
      <c r="N30" s="2642">
        <f t="shared" si="57"/>
        <v>8.9999999999999998E-4</v>
      </c>
      <c r="O30" s="2643">
        <f t="shared" si="57"/>
        <v>2.8999999999999998E-3</v>
      </c>
      <c r="P30" s="2643">
        <f t="shared" si="57"/>
        <v>-1E-4</v>
      </c>
      <c r="Q30" s="2643">
        <f t="shared" si="57"/>
        <v>5.7999999999999996E-3</v>
      </c>
      <c r="R30" s="2644"/>
      <c r="S30" s="2642"/>
      <c r="T30" s="2643"/>
      <c r="U30" s="2643"/>
      <c r="V30" s="2643"/>
    </row>
    <row r="31" spans="1:34">
      <c r="A31" s="2633" t="s">
        <v>2590</v>
      </c>
      <c r="B31" s="2647">
        <f>B30/(1+N30)</f>
        <v>275.24529281292263</v>
      </c>
      <c r="C31" s="2647">
        <f>C30/(1+O30)</f>
        <v>231.74747938962707</v>
      </c>
      <c r="D31" s="2647">
        <f t="shared" si="55"/>
        <v>231.74747938962707</v>
      </c>
      <c r="E31" s="2647">
        <f t="shared" si="66"/>
        <v>375.35938184826603</v>
      </c>
      <c r="F31" s="2647">
        <f t="shared" si="66"/>
        <v>216.78033510692495</v>
      </c>
      <c r="G31" s="3489"/>
      <c r="H31" s="2638">
        <v>2</v>
      </c>
      <c r="I31" s="2638">
        <v>0.02</v>
      </c>
      <c r="J31" s="2638">
        <v>0.12</v>
      </c>
      <c r="K31" s="2638">
        <v>-0.08</v>
      </c>
      <c r="L31" s="2649">
        <v>1.24</v>
      </c>
      <c r="N31" s="2642">
        <f t="shared" si="57"/>
        <v>2.0000000000000001E-4</v>
      </c>
      <c r="O31" s="2643">
        <f t="shared" si="57"/>
        <v>1.1999999999999999E-3</v>
      </c>
      <c r="P31" s="2643">
        <f t="shared" si="57"/>
        <v>-8.0000000000000004E-4</v>
      </c>
      <c r="Q31" s="2643">
        <f t="shared" si="57"/>
        <v>1.24E-2</v>
      </c>
      <c r="R31" s="2644"/>
      <c r="S31" s="2642"/>
      <c r="T31" s="2643"/>
      <c r="U31" s="2643"/>
      <c r="V31" s="2643"/>
    </row>
    <row r="32" spans="1:34" ht="13.5" thickBot="1">
      <c r="A32" s="2633" t="s">
        <v>2591</v>
      </c>
      <c r="B32" s="2647">
        <f>B31/(1+N31)</f>
        <v>275.19025476197027</v>
      </c>
      <c r="C32" s="2679">
        <v>232</v>
      </c>
      <c r="D32" s="2679">
        <f t="shared" si="55"/>
        <v>232</v>
      </c>
      <c r="E32" s="2647">
        <f t="shared" si="66"/>
        <v>375.65990977608692</v>
      </c>
      <c r="F32" s="2647">
        <f t="shared" si="66"/>
        <v>214.12518283971252</v>
      </c>
      <c r="G32" s="3490"/>
      <c r="H32" s="2637">
        <v>1</v>
      </c>
      <c r="I32" s="2637">
        <v>0.02</v>
      </c>
      <c r="J32" s="2637">
        <v>0.13</v>
      </c>
      <c r="K32" s="2637">
        <v>-0.04</v>
      </c>
      <c r="L32" s="2648">
        <v>0.46</v>
      </c>
      <c r="N32" s="2642">
        <f t="shared" si="57"/>
        <v>2.0000000000000001E-4</v>
      </c>
      <c r="O32" s="2643">
        <f t="shared" si="57"/>
        <v>1.2999999999999999E-3</v>
      </c>
      <c r="P32" s="2643">
        <f t="shared" si="57"/>
        <v>-4.0000000000000002E-4</v>
      </c>
      <c r="Q32" s="2643">
        <f t="shared" si="57"/>
        <v>4.5999999999999999E-3</v>
      </c>
      <c r="R32" s="2644"/>
      <c r="S32" s="2650">
        <f>B32/B33-1</f>
        <v>6.9183549807361189E-4</v>
      </c>
      <c r="T32" s="2651">
        <f>C32/C33-1</f>
        <v>0</v>
      </c>
      <c r="U32" s="2651">
        <f>E32/E33-1</f>
        <v>-9.0449527636460303E-4</v>
      </c>
      <c r="V32" s="2651">
        <f>F32/F33-1</f>
        <v>5.2825485432512753E-3</v>
      </c>
      <c r="X32" s="2652"/>
      <c r="Y32" s="2652"/>
      <c r="Z32" s="2652"/>
    </row>
    <row r="33" spans="1:26" ht="13.5" thickBot="1">
      <c r="A33" s="2633" t="s">
        <v>2592</v>
      </c>
      <c r="B33" s="2639">
        <v>275</v>
      </c>
      <c r="C33" s="2639">
        <v>232</v>
      </c>
      <c r="D33" s="2639">
        <f t="shared" si="55"/>
        <v>232</v>
      </c>
      <c r="E33" s="2639">
        <v>376</v>
      </c>
      <c r="F33" s="2640">
        <v>213</v>
      </c>
      <c r="G33" s="3488">
        <v>2011</v>
      </c>
      <c r="H33" s="2653">
        <v>4</v>
      </c>
      <c r="I33" s="2653">
        <v>-0.2</v>
      </c>
      <c r="J33" s="2653">
        <v>0.04</v>
      </c>
      <c r="K33" s="2653">
        <v>-0.34</v>
      </c>
      <c r="L33" s="2654">
        <v>0.46</v>
      </c>
      <c r="N33" s="2655">
        <f t="shared" si="57"/>
        <v>-2E-3</v>
      </c>
      <c r="O33" s="2656">
        <f t="shared" si="57"/>
        <v>4.0000000000000002E-4</v>
      </c>
      <c r="P33" s="2656">
        <f t="shared" si="57"/>
        <v>-3.4000000000000002E-3</v>
      </c>
      <c r="Q33" s="2656">
        <f t="shared" si="57"/>
        <v>4.5999999999999999E-3</v>
      </c>
      <c r="R33" s="2644"/>
      <c r="S33" s="2645"/>
      <c r="T33" s="2646"/>
      <c r="U33" s="2646"/>
      <c r="V33" s="2646"/>
      <c r="X33" s="2646"/>
      <c r="Y33" s="2646"/>
      <c r="Z33" s="2646"/>
    </row>
    <row r="34" spans="1:26">
      <c r="A34" s="2633" t="s">
        <v>2593</v>
      </c>
      <c r="B34" s="2647">
        <f t="shared" ref="B34:C36" si="67">B33/(1+N33)</f>
        <v>275.55110220440883</v>
      </c>
      <c r="C34" s="2647">
        <f t="shared" si="67"/>
        <v>231.90723710515795</v>
      </c>
      <c r="D34" s="2647">
        <f t="shared" si="55"/>
        <v>231.90723710515795</v>
      </c>
      <c r="E34" s="2647">
        <f t="shared" ref="E34:F36" si="68">E33/(1+P33)</f>
        <v>377.28276138872161</v>
      </c>
      <c r="F34" s="2647">
        <f t="shared" si="68"/>
        <v>212.02468644236512</v>
      </c>
      <c r="G34" s="3489">
        <v>2011</v>
      </c>
      <c r="H34" s="2658">
        <v>3</v>
      </c>
      <c r="I34" s="2658">
        <v>0.13</v>
      </c>
      <c r="J34" s="2658">
        <v>0.75</v>
      </c>
      <c r="K34" s="2658">
        <v>-0.08</v>
      </c>
      <c r="L34" s="2659">
        <v>0.53</v>
      </c>
      <c r="N34" s="2642">
        <f t="shared" si="57"/>
        <v>1.2999999999999999E-3</v>
      </c>
      <c r="O34" s="2660">
        <f t="shared" si="57"/>
        <v>7.4999999999999997E-3</v>
      </c>
      <c r="P34" s="2660">
        <f t="shared" si="57"/>
        <v>-8.0000000000000004E-4</v>
      </c>
      <c r="Q34" s="2660">
        <f t="shared" si="57"/>
        <v>5.3E-3</v>
      </c>
      <c r="R34" s="2644"/>
      <c r="S34" s="2642"/>
      <c r="T34" s="2643"/>
      <c r="U34" s="2643"/>
      <c r="V34" s="2643"/>
    </row>
    <row r="35" spans="1:26">
      <c r="A35" s="2633" t="s">
        <v>2594</v>
      </c>
      <c r="B35" s="2647">
        <f t="shared" si="67"/>
        <v>275.19335084830601</v>
      </c>
      <c r="C35" s="2647">
        <f t="shared" si="67"/>
        <v>230.18088050139744</v>
      </c>
      <c r="D35" s="2647">
        <f t="shared" si="55"/>
        <v>230.18088050139744</v>
      </c>
      <c r="E35" s="2647">
        <f t="shared" si="68"/>
        <v>377.58482925212331</v>
      </c>
      <c r="F35" s="2647">
        <f t="shared" si="68"/>
        <v>210.90687997847917</v>
      </c>
      <c r="G35" s="3489">
        <v>2011</v>
      </c>
      <c r="H35" s="2638">
        <v>2</v>
      </c>
      <c r="I35" s="2638">
        <v>-0.4</v>
      </c>
      <c r="J35" s="2638">
        <v>0.17</v>
      </c>
      <c r="K35" s="2638">
        <v>-0.57999999999999996</v>
      </c>
      <c r="L35" s="2649">
        <v>-0.2</v>
      </c>
      <c r="N35" s="2642">
        <f t="shared" si="57"/>
        <v>-4.0000000000000001E-3</v>
      </c>
      <c r="O35" s="2660">
        <f t="shared" si="57"/>
        <v>1.7000000000000001E-3</v>
      </c>
      <c r="P35" s="2660">
        <f t="shared" si="57"/>
        <v>-5.7999999999999996E-3</v>
      </c>
      <c r="Q35" s="2660">
        <f t="shared" si="57"/>
        <v>-2E-3</v>
      </c>
      <c r="R35" s="2644"/>
      <c r="S35" s="2642"/>
      <c r="T35" s="2643"/>
      <c r="U35" s="2643"/>
      <c r="V35" s="2643"/>
    </row>
    <row r="36" spans="1:26" ht="13.5" thickBot="1">
      <c r="A36" s="2633" t="s">
        <v>2595</v>
      </c>
      <c r="B36" s="2647">
        <f t="shared" si="67"/>
        <v>276.29854502841971</v>
      </c>
      <c r="C36" s="2647">
        <f t="shared" si="67"/>
        <v>229.79023709833027</v>
      </c>
      <c r="D36" s="2647">
        <f t="shared" si="55"/>
        <v>229.79023709833027</v>
      </c>
      <c r="E36" s="2647">
        <f t="shared" si="68"/>
        <v>379.78759731655936</v>
      </c>
      <c r="F36" s="2647">
        <f t="shared" si="68"/>
        <v>211.32953905659235</v>
      </c>
      <c r="G36" s="3490">
        <v>2011</v>
      </c>
      <c r="H36" s="2637">
        <v>1</v>
      </c>
      <c r="I36" s="2637">
        <v>2.65</v>
      </c>
      <c r="J36" s="2637">
        <v>3.76</v>
      </c>
      <c r="K36" s="2637">
        <v>1.89</v>
      </c>
      <c r="L36" s="2648">
        <v>7.95</v>
      </c>
      <c r="N36" s="2650">
        <f t="shared" si="57"/>
        <v>2.6499999999999999E-2</v>
      </c>
      <c r="O36" s="2651">
        <f t="shared" si="57"/>
        <v>3.7599999999999995E-2</v>
      </c>
      <c r="P36" s="2651">
        <f t="shared" si="57"/>
        <v>1.89E-2</v>
      </c>
      <c r="Q36" s="2651">
        <f t="shared" si="57"/>
        <v>7.9500000000000001E-2</v>
      </c>
      <c r="R36" s="2644"/>
      <c r="S36" s="2650">
        <f>B36/B37-1</f>
        <v>2.713213765211786E-2</v>
      </c>
      <c r="T36" s="2651">
        <f>C36/C37-1</f>
        <v>3.9774828499231862E-2</v>
      </c>
      <c r="U36" s="2651">
        <f>E36/E37-1</f>
        <v>1.8197311840641772E-2</v>
      </c>
      <c r="V36" s="2651">
        <f>F36/F37-1</f>
        <v>7.8211933962205826E-2</v>
      </c>
      <c r="X36" s="2652"/>
      <c r="Y36" s="2652"/>
      <c r="Z36" s="2652"/>
    </row>
    <row r="37" spans="1:26" ht="13.5" thickBot="1">
      <c r="A37" s="2633" t="s">
        <v>2596</v>
      </c>
      <c r="B37" s="2639">
        <v>269</v>
      </c>
      <c r="C37" s="2639">
        <v>221</v>
      </c>
      <c r="D37" s="2639">
        <f t="shared" si="55"/>
        <v>221</v>
      </c>
      <c r="E37" s="2639">
        <v>373</v>
      </c>
      <c r="F37" s="2640">
        <v>196</v>
      </c>
      <c r="G37" s="3488">
        <v>2010</v>
      </c>
      <c r="H37" s="2653">
        <v>4</v>
      </c>
      <c r="I37" s="2653">
        <v>5.72</v>
      </c>
      <c r="J37" s="2653">
        <v>6.57</v>
      </c>
      <c r="K37" s="2653">
        <v>5.72</v>
      </c>
      <c r="L37" s="2654">
        <v>2.72</v>
      </c>
      <c r="N37" s="2642">
        <f t="shared" si="57"/>
        <v>5.7200000000000001E-2</v>
      </c>
      <c r="O37" s="2643">
        <f t="shared" si="57"/>
        <v>6.5700000000000008E-2</v>
      </c>
      <c r="P37" s="2643">
        <f t="shared" si="57"/>
        <v>5.7200000000000001E-2</v>
      </c>
      <c r="Q37" s="2643">
        <f t="shared" si="57"/>
        <v>2.7200000000000002E-2</v>
      </c>
      <c r="R37" s="2644"/>
      <c r="S37" s="2645"/>
      <c r="T37" s="2646"/>
      <c r="U37" s="2646"/>
      <c r="V37" s="2646"/>
      <c r="X37" s="2646"/>
      <c r="Y37" s="2646"/>
      <c r="Z37" s="2646"/>
    </row>
    <row r="38" spans="1:26">
      <c r="A38" s="2633" t="s">
        <v>2597</v>
      </c>
      <c r="B38" s="2647">
        <f t="shared" ref="B38:C40" si="69">B37/(1+N37)</f>
        <v>254.44570563753314</v>
      </c>
      <c r="C38" s="2647">
        <f t="shared" si="69"/>
        <v>207.37543398705074</v>
      </c>
      <c r="D38" s="2647">
        <f t="shared" si="55"/>
        <v>207.37543398705074</v>
      </c>
      <c r="E38" s="2647">
        <f t="shared" ref="E38:F40" si="70">E37/(1+P37)</f>
        <v>352.81876655315932</v>
      </c>
      <c r="F38" s="2647">
        <f t="shared" si="70"/>
        <v>190.809968847352</v>
      </c>
      <c r="G38" s="3489">
        <v>2010</v>
      </c>
      <c r="H38" s="2658">
        <v>3</v>
      </c>
      <c r="I38" s="2658">
        <v>4.7300000000000004</v>
      </c>
      <c r="J38" s="2658">
        <v>3.9</v>
      </c>
      <c r="K38" s="2658">
        <v>5.03</v>
      </c>
      <c r="L38" s="2659">
        <v>4.21</v>
      </c>
      <c r="N38" s="2642">
        <f t="shared" si="57"/>
        <v>4.7300000000000002E-2</v>
      </c>
      <c r="O38" s="2643">
        <f t="shared" si="57"/>
        <v>3.9E-2</v>
      </c>
      <c r="P38" s="2643">
        <f t="shared" si="57"/>
        <v>5.0300000000000004E-2</v>
      </c>
      <c r="Q38" s="2643">
        <f t="shared" si="57"/>
        <v>4.2099999999999999E-2</v>
      </c>
      <c r="R38" s="2644"/>
      <c r="S38" s="2642"/>
      <c r="T38" s="2643"/>
      <c r="U38" s="2643"/>
      <c r="V38" s="2643"/>
    </row>
    <row r="39" spans="1:26">
      <c r="A39" s="2633" t="s">
        <v>2598</v>
      </c>
      <c r="B39" s="2647">
        <f t="shared" si="69"/>
        <v>242.95398227588385</v>
      </c>
      <c r="C39" s="2647">
        <f t="shared" si="69"/>
        <v>199.59137053614126</v>
      </c>
      <c r="D39" s="2647">
        <f t="shared" si="55"/>
        <v>199.59137053614126</v>
      </c>
      <c r="E39" s="2647">
        <f t="shared" si="70"/>
        <v>335.92189522342125</v>
      </c>
      <c r="F39" s="2647">
        <f t="shared" si="70"/>
        <v>183.10139991109489</v>
      </c>
      <c r="G39" s="3489">
        <v>2010</v>
      </c>
      <c r="H39" s="2638">
        <v>2</v>
      </c>
      <c r="I39" s="2638">
        <v>4.6900000000000004</v>
      </c>
      <c r="J39" s="2638">
        <v>3.55</v>
      </c>
      <c r="K39" s="2638">
        <v>5.07</v>
      </c>
      <c r="L39" s="2649">
        <v>4.2300000000000004</v>
      </c>
      <c r="N39" s="2642">
        <f t="shared" si="57"/>
        <v>4.6900000000000004E-2</v>
      </c>
      <c r="O39" s="2643">
        <f t="shared" si="57"/>
        <v>3.5499999999999997E-2</v>
      </c>
      <c r="P39" s="2643">
        <f t="shared" si="57"/>
        <v>5.0700000000000002E-2</v>
      </c>
      <c r="Q39" s="2643">
        <f t="shared" si="57"/>
        <v>4.2300000000000004E-2</v>
      </c>
      <c r="R39" s="2644"/>
      <c r="S39" s="2642"/>
      <c r="T39" s="2643"/>
      <c r="U39" s="2643"/>
      <c r="V39" s="2643"/>
    </row>
    <row r="40" spans="1:26" ht="13.5" thickBot="1">
      <c r="A40" s="2633" t="s">
        <v>2599</v>
      </c>
      <c r="B40" s="2647">
        <f t="shared" si="69"/>
        <v>232.06990378821649</v>
      </c>
      <c r="C40" s="2647">
        <f t="shared" si="69"/>
        <v>192.74878854286936</v>
      </c>
      <c r="D40" s="2647">
        <f t="shared" si="55"/>
        <v>192.74878854286936</v>
      </c>
      <c r="E40" s="2647">
        <f t="shared" si="70"/>
        <v>319.71247284992984</v>
      </c>
      <c r="F40" s="2647">
        <f t="shared" si="70"/>
        <v>175.67053622862409</v>
      </c>
      <c r="G40" s="3490">
        <v>2010</v>
      </c>
      <c r="H40" s="2637">
        <v>1</v>
      </c>
      <c r="I40" s="2637">
        <v>5.4</v>
      </c>
      <c r="J40" s="2637">
        <v>3.2</v>
      </c>
      <c r="K40" s="2637">
        <v>6.16</v>
      </c>
      <c r="L40" s="2648">
        <v>4.51</v>
      </c>
      <c r="N40" s="2642">
        <f t="shared" si="57"/>
        <v>5.4000000000000006E-2</v>
      </c>
      <c r="O40" s="2643">
        <f t="shared" si="57"/>
        <v>3.2000000000000001E-2</v>
      </c>
      <c r="P40" s="2643">
        <f t="shared" si="57"/>
        <v>6.1600000000000002E-2</v>
      </c>
      <c r="Q40" s="2643">
        <f t="shared" si="57"/>
        <v>4.5100000000000001E-2</v>
      </c>
      <c r="R40" s="2644"/>
      <c r="S40" s="2650">
        <f>B40/B41-1</f>
        <v>5.4863199037347599E-2</v>
      </c>
      <c r="T40" s="2651">
        <f>C40/C41-1</f>
        <v>3.0742184721226584E-2</v>
      </c>
      <c r="U40" s="2651">
        <f>E40/E41-1</f>
        <v>6.2167683886810154E-2</v>
      </c>
      <c r="V40" s="2651">
        <f>F40/F41-1</f>
        <v>4.5657953741810031E-2</v>
      </c>
      <c r="X40" s="2652"/>
      <c r="Y40" s="2652"/>
      <c r="Z40" s="2652"/>
    </row>
    <row r="41" spans="1:26" ht="13.5" thickBot="1">
      <c r="A41" s="2633" t="s">
        <v>2600</v>
      </c>
      <c r="B41" s="2639">
        <v>220</v>
      </c>
      <c r="C41" s="2639">
        <v>187</v>
      </c>
      <c r="D41" s="2639">
        <f t="shared" si="55"/>
        <v>187</v>
      </c>
      <c r="E41" s="2639">
        <v>301</v>
      </c>
      <c r="F41" s="2640">
        <v>168</v>
      </c>
      <c r="G41" s="3488">
        <v>2009</v>
      </c>
      <c r="H41" s="2653">
        <v>4</v>
      </c>
      <c r="I41" s="2653">
        <v>2.2999999999999998</v>
      </c>
      <c r="J41" s="2653">
        <v>1.04</v>
      </c>
      <c r="K41" s="2653">
        <v>2.84</v>
      </c>
      <c r="L41" s="2654">
        <v>0.67</v>
      </c>
      <c r="N41" s="2655">
        <f t="shared" si="57"/>
        <v>2.3E-2</v>
      </c>
      <c r="O41" s="2656">
        <f t="shared" si="57"/>
        <v>1.04E-2</v>
      </c>
      <c r="P41" s="2656">
        <f t="shared" si="57"/>
        <v>2.8399999999999998E-2</v>
      </c>
      <c r="Q41" s="2656">
        <f t="shared" si="57"/>
        <v>6.7000000000000002E-3</v>
      </c>
      <c r="R41" s="2644"/>
      <c r="S41" s="2645"/>
      <c r="T41" s="2646"/>
      <c r="U41" s="2646"/>
      <c r="V41" s="2646"/>
      <c r="X41" s="2646"/>
      <c r="Y41" s="2646"/>
      <c r="Z41" s="2646"/>
    </row>
    <row r="42" spans="1:26">
      <c r="A42" s="2633" t="s">
        <v>2601</v>
      </c>
      <c r="B42" s="2647">
        <f t="shared" ref="B42:C44" si="71">B41/(1+N41)</f>
        <v>215.05376344086022</v>
      </c>
      <c r="C42" s="2647">
        <f t="shared" si="71"/>
        <v>185.0752177355503</v>
      </c>
      <c r="D42" s="2647">
        <f t="shared" si="55"/>
        <v>185.0752177355503</v>
      </c>
      <c r="E42" s="2647">
        <f t="shared" ref="E42:F44" si="72">E41/(1+P41)</f>
        <v>292.68767016725008</v>
      </c>
      <c r="F42" s="2647">
        <f t="shared" si="72"/>
        <v>166.88189132810174</v>
      </c>
      <c r="G42" s="3489">
        <v>2009</v>
      </c>
      <c r="H42" s="2658">
        <v>3</v>
      </c>
      <c r="I42" s="2658">
        <v>2.1</v>
      </c>
      <c r="J42" s="2658">
        <v>1.86</v>
      </c>
      <c r="K42" s="2658">
        <v>2.29</v>
      </c>
      <c r="L42" s="2659">
        <v>0.85</v>
      </c>
      <c r="N42" s="2642">
        <f t="shared" si="57"/>
        <v>2.1000000000000001E-2</v>
      </c>
      <c r="O42" s="2660">
        <f t="shared" si="57"/>
        <v>1.8600000000000002E-2</v>
      </c>
      <c r="P42" s="2660">
        <f t="shared" si="57"/>
        <v>2.29E-2</v>
      </c>
      <c r="Q42" s="2660">
        <f t="shared" si="57"/>
        <v>8.5000000000000006E-3</v>
      </c>
      <c r="R42" s="2644"/>
      <c r="S42" s="2642"/>
      <c r="T42" s="2643"/>
      <c r="U42" s="2643"/>
      <c r="V42" s="2643"/>
    </row>
    <row r="43" spans="1:26">
      <c r="A43" s="2633" t="s">
        <v>2602</v>
      </c>
      <c r="B43" s="2647">
        <f t="shared" si="71"/>
        <v>210.630522469011</v>
      </c>
      <c r="C43" s="2647">
        <f t="shared" si="71"/>
        <v>181.69567812247232</v>
      </c>
      <c r="D43" s="2647">
        <f t="shared" si="55"/>
        <v>181.69567812247232</v>
      </c>
      <c r="E43" s="2647">
        <f t="shared" si="72"/>
        <v>286.13517466736738</v>
      </c>
      <c r="F43" s="2647">
        <f t="shared" si="72"/>
        <v>165.47535084591149</v>
      </c>
      <c r="G43" s="3489">
        <v>2009</v>
      </c>
      <c r="H43" s="2638">
        <v>2</v>
      </c>
      <c r="I43" s="2638">
        <v>0.86</v>
      </c>
      <c r="J43" s="2638">
        <v>-1.1299999999999999</v>
      </c>
      <c r="K43" s="2638">
        <v>1.79</v>
      </c>
      <c r="L43" s="2649">
        <v>-2.0699999999999998</v>
      </c>
      <c r="N43" s="2642">
        <f t="shared" si="57"/>
        <v>8.6E-3</v>
      </c>
      <c r="O43" s="2660">
        <f t="shared" si="57"/>
        <v>-1.1299999999999999E-2</v>
      </c>
      <c r="P43" s="2660">
        <f t="shared" si="57"/>
        <v>1.7899999999999999E-2</v>
      </c>
      <c r="Q43" s="2660">
        <f t="shared" si="57"/>
        <v>-2.07E-2</v>
      </c>
      <c r="R43" s="2644"/>
      <c r="S43" s="2642"/>
      <c r="T43" s="2643"/>
      <c r="U43" s="2643"/>
      <c r="V43" s="2643"/>
    </row>
    <row r="44" spans="1:26">
      <c r="A44" s="2633" t="s">
        <v>2603</v>
      </c>
      <c r="B44" s="2647">
        <f t="shared" si="71"/>
        <v>208.83454537875372</v>
      </c>
      <c r="C44" s="2647">
        <f t="shared" si="71"/>
        <v>183.77230517090351</v>
      </c>
      <c r="D44" s="2647">
        <f t="shared" si="55"/>
        <v>183.77230517090351</v>
      </c>
      <c r="E44" s="2647">
        <f t="shared" si="72"/>
        <v>281.10342338870947</v>
      </c>
      <c r="F44" s="2647">
        <f t="shared" si="72"/>
        <v>168.97309388942256</v>
      </c>
      <c r="G44" s="3490">
        <v>2009</v>
      </c>
      <c r="H44" s="2637">
        <v>1</v>
      </c>
      <c r="I44" s="2637">
        <v>-2.64</v>
      </c>
      <c r="J44" s="2637">
        <v>-2.5299999999999998</v>
      </c>
      <c r="K44" s="2637">
        <v>-3.02</v>
      </c>
      <c r="L44" s="2648">
        <v>1.52</v>
      </c>
      <c r="N44" s="2650">
        <f t="shared" si="57"/>
        <v>-2.64E-2</v>
      </c>
      <c r="O44" s="2651">
        <f t="shared" si="57"/>
        <v>-2.53E-2</v>
      </c>
      <c r="P44" s="2651">
        <f t="shared" si="57"/>
        <v>-3.0200000000000001E-2</v>
      </c>
      <c r="Q44" s="2651">
        <f t="shared" si="57"/>
        <v>1.52E-2</v>
      </c>
      <c r="R44" s="2644"/>
      <c r="S44" s="2650">
        <f>B44/B45-1</f>
        <v>-2.4137638417038754E-2</v>
      </c>
      <c r="T44" s="2651">
        <f>C44/C45-1</f>
        <v>-2.248773845264096E-2</v>
      </c>
      <c r="U44" s="2651">
        <f>E44/E45-1</f>
        <v>-2.7323794502735366E-2</v>
      </c>
      <c r="V44" s="2651">
        <f>F44/F45-1</f>
        <v>1.7910204153148035E-2</v>
      </c>
      <c r="X44" s="2652"/>
      <c r="Y44" s="2652"/>
      <c r="Z44" s="2652"/>
    </row>
    <row r="45" spans="1:26" ht="13.5" thickBot="1">
      <c r="A45" s="2633" t="s">
        <v>2604</v>
      </c>
      <c r="B45" s="2677">
        <v>214</v>
      </c>
      <c r="C45" s="2677">
        <v>188</v>
      </c>
      <c r="D45" s="2677">
        <f t="shared" si="55"/>
        <v>188</v>
      </c>
      <c r="E45" s="2677">
        <v>289</v>
      </c>
      <c r="F45" s="2678">
        <v>166</v>
      </c>
      <c r="G45" s="3488">
        <v>2008</v>
      </c>
      <c r="H45" s="2653">
        <v>4</v>
      </c>
      <c r="I45" s="2653">
        <v>1.73</v>
      </c>
      <c r="J45" s="2653">
        <v>0.03</v>
      </c>
      <c r="K45" s="2653">
        <v>2.59</v>
      </c>
      <c r="L45" s="2654">
        <v>-1.66</v>
      </c>
      <c r="N45" s="2642">
        <f t="shared" si="57"/>
        <v>1.7299999999999999E-2</v>
      </c>
      <c r="O45" s="2643">
        <f t="shared" si="57"/>
        <v>2.9999999999999997E-4</v>
      </c>
      <c r="P45" s="2643">
        <f t="shared" si="57"/>
        <v>2.5899999999999999E-2</v>
      </c>
      <c r="Q45" s="2643">
        <f t="shared" si="57"/>
        <v>-1.66E-2</v>
      </c>
      <c r="R45" s="2644"/>
      <c r="S45" s="2645"/>
      <c r="T45" s="2646"/>
      <c r="U45" s="2646"/>
      <c r="V45" s="2646"/>
      <c r="X45" s="2646"/>
      <c r="Y45" s="2646"/>
      <c r="Z45" s="2646"/>
    </row>
    <row r="46" spans="1:26">
      <c r="A46" s="2633" t="s">
        <v>2605</v>
      </c>
      <c r="B46" s="2647">
        <f t="shared" ref="B46:C48" si="73">B45/(1+N45)</f>
        <v>210.36075887152265</v>
      </c>
      <c r="C46" s="2647">
        <f t="shared" si="73"/>
        <v>187.94361691492554</v>
      </c>
      <c r="D46" s="2647">
        <f t="shared" si="55"/>
        <v>187.94361691492554</v>
      </c>
      <c r="E46" s="2647">
        <f t="shared" ref="E46:F48" si="74">E45/(1+P45)</f>
        <v>281.70386977288234</v>
      </c>
      <c r="F46" s="2647">
        <f t="shared" si="74"/>
        <v>168.80211511083994</v>
      </c>
      <c r="G46" s="3489">
        <v>2008</v>
      </c>
      <c r="H46" s="2658">
        <v>3</v>
      </c>
      <c r="I46" s="2658">
        <v>1.96</v>
      </c>
      <c r="J46" s="2658">
        <v>2.36</v>
      </c>
      <c r="K46" s="2658">
        <v>1.82</v>
      </c>
      <c r="L46" s="2659">
        <v>2.2200000000000002</v>
      </c>
      <c r="N46" s="2642">
        <f t="shared" si="57"/>
        <v>1.9599999999999999E-2</v>
      </c>
      <c r="O46" s="2643">
        <f t="shared" si="57"/>
        <v>2.3599999999999999E-2</v>
      </c>
      <c r="P46" s="2643">
        <f t="shared" si="57"/>
        <v>1.8200000000000001E-2</v>
      </c>
      <c r="Q46" s="2643">
        <f t="shared" si="57"/>
        <v>2.2200000000000001E-2</v>
      </c>
      <c r="R46" s="2644"/>
      <c r="S46" s="2642"/>
      <c r="T46" s="2643"/>
      <c r="U46" s="2643"/>
      <c r="V46" s="2643"/>
    </row>
    <row r="47" spans="1:26">
      <c r="A47" s="2633" t="s">
        <v>2606</v>
      </c>
      <c r="B47" s="2647">
        <f t="shared" si="73"/>
        <v>206.31694671589116</v>
      </c>
      <c r="C47" s="2647">
        <f t="shared" si="73"/>
        <v>183.61041121036101</v>
      </c>
      <c r="D47" s="2647">
        <f t="shared" si="55"/>
        <v>183.61041121036101</v>
      </c>
      <c r="E47" s="2647">
        <f t="shared" si="74"/>
        <v>276.66850301795557</v>
      </c>
      <c r="F47" s="2647">
        <f t="shared" si="74"/>
        <v>165.1360938278614</v>
      </c>
      <c r="G47" s="3489">
        <v>2008</v>
      </c>
      <c r="H47" s="2638">
        <v>2</v>
      </c>
      <c r="I47" s="2638">
        <v>4.93</v>
      </c>
      <c r="J47" s="2638">
        <v>7.38</v>
      </c>
      <c r="K47" s="2638">
        <v>3.98</v>
      </c>
      <c r="L47" s="2649">
        <v>6.86</v>
      </c>
      <c r="N47" s="2642">
        <f t="shared" si="57"/>
        <v>4.9299999999999997E-2</v>
      </c>
      <c r="O47" s="2643">
        <f t="shared" si="57"/>
        <v>7.3800000000000004E-2</v>
      </c>
      <c r="P47" s="2643">
        <f t="shared" si="57"/>
        <v>3.9800000000000002E-2</v>
      </c>
      <c r="Q47" s="2643">
        <f t="shared" si="57"/>
        <v>6.8600000000000008E-2</v>
      </c>
      <c r="R47" s="2644"/>
      <c r="S47" s="2642"/>
      <c r="T47" s="2643"/>
      <c r="U47" s="2643"/>
      <c r="V47" s="2643"/>
    </row>
    <row r="48" spans="1:26" s="2683" customFormat="1" ht="13.5" thickBot="1">
      <c r="A48" s="2633" t="s">
        <v>2607</v>
      </c>
      <c r="B48" s="2680">
        <f t="shared" si="73"/>
        <v>196.62341248059772</v>
      </c>
      <c r="C48" s="2680">
        <f t="shared" si="73"/>
        <v>170.99125648199012</v>
      </c>
      <c r="D48" s="2680">
        <f t="shared" si="55"/>
        <v>170.99125648199012</v>
      </c>
      <c r="E48" s="2680">
        <f t="shared" si="74"/>
        <v>266.07857570490052</v>
      </c>
      <c r="F48" s="2680">
        <f t="shared" si="74"/>
        <v>154.53499328828505</v>
      </c>
      <c r="G48" s="3490">
        <v>2008</v>
      </c>
      <c r="H48" s="2681">
        <v>1</v>
      </c>
      <c r="I48" s="2681">
        <v>4.1399999999999997</v>
      </c>
      <c r="J48" s="2681">
        <v>3.45</v>
      </c>
      <c r="K48" s="2681">
        <v>4.95</v>
      </c>
      <c r="L48" s="2682">
        <v>4.82</v>
      </c>
      <c r="N48" s="2684">
        <f t="shared" si="57"/>
        <v>4.1399999999999999E-2</v>
      </c>
      <c r="O48" s="2685">
        <f t="shared" si="57"/>
        <v>3.4500000000000003E-2</v>
      </c>
      <c r="P48" s="2685">
        <f t="shared" si="57"/>
        <v>4.9500000000000002E-2</v>
      </c>
      <c r="Q48" s="2685">
        <f t="shared" si="57"/>
        <v>4.82E-2</v>
      </c>
      <c r="R48" s="2686"/>
      <c r="S48" s="2684">
        <f>B48/B49-1</f>
        <v>4.5869215322328349E-2</v>
      </c>
      <c r="T48" s="2685">
        <f>C48/C49-1</f>
        <v>3.6310645345394743E-2</v>
      </c>
      <c r="U48" s="2685">
        <f>E48/E49-1</f>
        <v>4.7553447657088688E-2</v>
      </c>
      <c r="V48" s="2685">
        <f>F48/F49-1</f>
        <v>4.4155360055980086E-2</v>
      </c>
      <c r="X48" s="2687"/>
      <c r="Y48" s="2687"/>
      <c r="Z48" s="2687"/>
    </row>
    <row r="49" spans="1:26" ht="13.5" thickBot="1">
      <c r="A49" s="2633" t="s">
        <v>2608</v>
      </c>
      <c r="B49" s="2639">
        <v>188</v>
      </c>
      <c r="C49" s="2639">
        <v>165</v>
      </c>
      <c r="D49" s="2639">
        <f t="shared" si="55"/>
        <v>165</v>
      </c>
      <c r="E49" s="2639">
        <v>254</v>
      </c>
      <c r="F49" s="2640">
        <v>148</v>
      </c>
      <c r="G49" s="3488">
        <v>2007</v>
      </c>
      <c r="H49" s="2688">
        <v>4</v>
      </c>
      <c r="I49" s="2688">
        <v>5.51</v>
      </c>
      <c r="J49" s="2688">
        <v>4.8899999999999997</v>
      </c>
      <c r="K49" s="2688">
        <v>6.43</v>
      </c>
      <c r="L49" s="2689">
        <v>5.36</v>
      </c>
      <c r="N49" s="2690">
        <f t="shared" ref="N49:O52" si="75">B49/B50-1</f>
        <v>4.1339718365245526E-2</v>
      </c>
      <c r="O49" s="2691">
        <f t="shared" si="75"/>
        <v>4.0324492593776018E-2</v>
      </c>
      <c r="P49" s="2691">
        <f t="shared" ref="P49:Q52" si="76">E49/E50-1</f>
        <v>6.1625555347990968E-2</v>
      </c>
      <c r="Q49" s="2691">
        <f t="shared" si="76"/>
        <v>4.6757569250590603E-2</v>
      </c>
      <c r="R49" s="2644"/>
      <c r="S49" s="2645"/>
      <c r="T49" s="2646"/>
      <c r="U49" s="2646"/>
      <c r="V49" s="2646"/>
      <c r="X49" s="2646"/>
      <c r="Y49" s="2646"/>
      <c r="Z49" s="2646"/>
    </row>
    <row r="50" spans="1:26">
      <c r="A50" s="2633" t="s">
        <v>2609</v>
      </c>
      <c r="B50" s="2647">
        <f t="shared" ref="B50:C52" si="77">B51+(B$49-B$53)*I50/SUM(I$49:I$52)</f>
        <v>180.5366651097618</v>
      </c>
      <c r="C50" s="2647">
        <f t="shared" si="77"/>
        <v>158.60435967302453</v>
      </c>
      <c r="D50" s="2647">
        <f t="shared" si="55"/>
        <v>158.60435967302453</v>
      </c>
      <c r="E50" s="2647">
        <f t="shared" ref="E50:F52" si="78">E51+(E$49-E$53)*K50/SUM(K$49:K$52)</f>
        <v>239.25573260785075</v>
      </c>
      <c r="F50" s="2647">
        <f t="shared" si="78"/>
        <v>141.38899430740037</v>
      </c>
      <c r="G50" s="3489">
        <v>2007</v>
      </c>
      <c r="H50" s="2658">
        <v>3</v>
      </c>
      <c r="I50" s="2658">
        <v>8.65</v>
      </c>
      <c r="J50" s="2658">
        <v>8.06</v>
      </c>
      <c r="K50" s="2658">
        <v>9.94</v>
      </c>
      <c r="L50" s="2659">
        <v>5.8</v>
      </c>
      <c r="N50" s="2690">
        <f t="shared" si="75"/>
        <v>6.940217571740015E-2</v>
      </c>
      <c r="O50" s="2691">
        <f t="shared" si="75"/>
        <v>7.1197482471153428E-2</v>
      </c>
      <c r="P50" s="2691">
        <f t="shared" si="76"/>
        <v>0.10529679922579582</v>
      </c>
      <c r="Q50" s="2691">
        <f t="shared" si="76"/>
        <v>5.3292245059512133E-2</v>
      </c>
      <c r="R50" s="2644"/>
      <c r="S50" s="2642"/>
      <c r="T50" s="2643"/>
      <c r="U50" s="2643"/>
      <c r="V50" s="2643"/>
      <c r="X50" s="2692"/>
      <c r="Y50" s="2692"/>
      <c r="Z50" s="2692"/>
    </row>
    <row r="51" spans="1:26">
      <c r="A51" s="2633" t="s">
        <v>2610</v>
      </c>
      <c r="B51" s="2647">
        <f t="shared" si="77"/>
        <v>168.82017748715555</v>
      </c>
      <c r="C51" s="2647">
        <f t="shared" si="77"/>
        <v>148.06267029972753</v>
      </c>
      <c r="D51" s="2647">
        <f t="shared" si="55"/>
        <v>148.06267029972753</v>
      </c>
      <c r="E51" s="2647">
        <f t="shared" si="78"/>
        <v>216.46288379323747</v>
      </c>
      <c r="F51" s="2647">
        <f t="shared" si="78"/>
        <v>134.23529411764704</v>
      </c>
      <c r="G51" s="3489">
        <v>2007</v>
      </c>
      <c r="H51" s="2638">
        <v>2</v>
      </c>
      <c r="I51" s="2638">
        <v>3.67</v>
      </c>
      <c r="J51" s="2638">
        <v>2.3199999999999998</v>
      </c>
      <c r="K51" s="2638">
        <v>5.0199999999999996</v>
      </c>
      <c r="L51" s="2649">
        <v>6.71</v>
      </c>
      <c r="N51" s="2690">
        <f t="shared" si="75"/>
        <v>3.0339138143848032E-2</v>
      </c>
      <c r="O51" s="2691">
        <f t="shared" si="75"/>
        <v>2.0922341588790472E-2</v>
      </c>
      <c r="P51" s="2691">
        <f t="shared" si="76"/>
        <v>5.6164796592717003E-2</v>
      </c>
      <c r="Q51" s="2691">
        <f t="shared" si="76"/>
        <v>6.5704536723887319E-2</v>
      </c>
      <c r="R51" s="2644"/>
      <c r="S51" s="2642"/>
      <c r="T51" s="2643"/>
      <c r="U51" s="2643"/>
      <c r="V51" s="2643"/>
      <c r="X51" s="2692"/>
      <c r="Y51" s="2692"/>
      <c r="Z51" s="2692"/>
    </row>
    <row r="52" spans="1:26">
      <c r="A52" s="2633" t="s">
        <v>2611</v>
      </c>
      <c r="B52" s="2647">
        <f t="shared" si="77"/>
        <v>163.84913591779542</v>
      </c>
      <c r="C52" s="2647">
        <f t="shared" si="77"/>
        <v>145.0283378746594</v>
      </c>
      <c r="D52" s="2647">
        <f t="shared" si="55"/>
        <v>145.0283378746594</v>
      </c>
      <c r="E52" s="2647">
        <f t="shared" si="78"/>
        <v>204.95180722891567</v>
      </c>
      <c r="F52" s="2647">
        <f t="shared" si="78"/>
        <v>125.95920303605313</v>
      </c>
      <c r="G52" s="3490">
        <v>2007</v>
      </c>
      <c r="H52" s="2637">
        <v>1</v>
      </c>
      <c r="I52" s="2637">
        <v>3.58</v>
      </c>
      <c r="J52" s="2637">
        <v>3.08</v>
      </c>
      <c r="K52" s="2637">
        <v>4.34</v>
      </c>
      <c r="L52" s="2648">
        <v>3.21</v>
      </c>
      <c r="N52" s="2693">
        <f t="shared" si="75"/>
        <v>3.0497710174814063E-2</v>
      </c>
      <c r="O52" s="2694">
        <f t="shared" si="75"/>
        <v>2.8569772160704998E-2</v>
      </c>
      <c r="P52" s="2694">
        <f t="shared" si="76"/>
        <v>5.1034908866234296E-2</v>
      </c>
      <c r="Q52" s="2694">
        <f t="shared" si="76"/>
        <v>3.245248390207478E-2</v>
      </c>
      <c r="R52" s="2644"/>
      <c r="S52" s="2650">
        <f>B52/B53-1</f>
        <v>3.0497710174814063E-2</v>
      </c>
      <c r="T52" s="2651">
        <f>C52/C53-1</f>
        <v>2.8569772160704998E-2</v>
      </c>
      <c r="U52" s="2651">
        <f>E52/E53-1</f>
        <v>5.1034908866234296E-2</v>
      </c>
      <c r="V52" s="2651">
        <f>F52/F53-1</f>
        <v>3.245248390207478E-2</v>
      </c>
      <c r="X52" s="2692"/>
      <c r="Y52" s="2692"/>
      <c r="Z52" s="2692"/>
    </row>
    <row r="53" spans="1:26" ht="13.5" thickBot="1">
      <c r="A53" s="2633" t="s">
        <v>2612</v>
      </c>
      <c r="B53" s="2661">
        <v>159</v>
      </c>
      <c r="C53" s="2661">
        <v>141</v>
      </c>
      <c r="D53" s="2661">
        <f t="shared" si="55"/>
        <v>141</v>
      </c>
      <c r="E53" s="2661">
        <v>195</v>
      </c>
      <c r="F53" s="2662">
        <v>122</v>
      </c>
      <c r="G53" s="3488">
        <v>2006</v>
      </c>
      <c r="H53" s="2653">
        <v>4</v>
      </c>
      <c r="I53" s="2653">
        <v>3.79</v>
      </c>
      <c r="J53" s="2653">
        <v>2.21</v>
      </c>
      <c r="K53" s="2653">
        <v>5.65</v>
      </c>
      <c r="L53" s="2654">
        <v>5.41</v>
      </c>
      <c r="N53" s="2690">
        <f t="shared" ref="N53:O56" si="79">I53/SUM(I$53:I$56)*(B$53/B$57-1)</f>
        <v>7.245466462748526E-2</v>
      </c>
      <c r="O53" s="2691">
        <f t="shared" si="79"/>
        <v>2.3237230038062766E-2</v>
      </c>
      <c r="P53" s="2691">
        <f t="shared" ref="P53:Q56" si="80">K53/SUM(K$53:K$56)*(E$53/E$57-1)</f>
        <v>0.16146893866323722</v>
      </c>
      <c r="Q53" s="2691">
        <f t="shared" si="80"/>
        <v>5.0755230321793784E-2</v>
      </c>
      <c r="R53" s="2644"/>
      <c r="S53" s="2645"/>
      <c r="T53" s="2646"/>
      <c r="U53" s="2646"/>
      <c r="V53" s="2646"/>
      <c r="X53" s="2692"/>
      <c r="Y53" s="2692"/>
      <c r="Z53" s="2692"/>
    </row>
    <row r="54" spans="1:26">
      <c r="A54" s="2633" t="s">
        <v>2613</v>
      </c>
      <c r="B54" s="2647">
        <f t="shared" ref="B54:C56" si="81">B55+(B$53-B$57)*I54/SUM(I$53:I$56)</f>
        <v>149.00125628140702</v>
      </c>
      <c r="C54" s="2647">
        <f t="shared" si="81"/>
        <v>137.95592286501378</v>
      </c>
      <c r="D54" s="2647">
        <f t="shared" si="55"/>
        <v>137.95592286501378</v>
      </c>
      <c r="E54" s="2647">
        <f t="shared" ref="E54:F56" si="82">E55+(E$53-E$57)*K54/SUM(K$53:K$56)</f>
        <v>169.97231450719823</v>
      </c>
      <c r="F54" s="2647">
        <f t="shared" si="82"/>
        <v>116.21390374331551</v>
      </c>
      <c r="G54" s="3489">
        <v>2006</v>
      </c>
      <c r="H54" s="2658">
        <v>3</v>
      </c>
      <c r="I54" s="2658">
        <v>0.92</v>
      </c>
      <c r="J54" s="2658">
        <v>1.08</v>
      </c>
      <c r="K54" s="2658">
        <v>0.73</v>
      </c>
      <c r="L54" s="2659">
        <v>1.08</v>
      </c>
      <c r="N54" s="2690">
        <f t="shared" si="79"/>
        <v>1.7587939698492462E-2</v>
      </c>
      <c r="O54" s="2691">
        <f t="shared" si="79"/>
        <v>1.1355750425840628E-2</v>
      </c>
      <c r="P54" s="2691">
        <f t="shared" si="80"/>
        <v>2.0862358446754544E-2</v>
      </c>
      <c r="Q54" s="2691">
        <f t="shared" si="80"/>
        <v>1.0132282578103011E-2</v>
      </c>
      <c r="R54" s="2644"/>
      <c r="S54" s="2642"/>
      <c r="T54" s="2643"/>
      <c r="U54" s="2643"/>
      <c r="V54" s="2643"/>
      <c r="X54" s="2692"/>
      <c r="Y54" s="2692"/>
      <c r="Z54" s="2692"/>
    </row>
    <row r="55" spans="1:26">
      <c r="A55" s="2633" t="s">
        <v>2614</v>
      </c>
      <c r="B55" s="2647">
        <f t="shared" si="81"/>
        <v>146.57412060301507</v>
      </c>
      <c r="C55" s="2647">
        <f t="shared" si="81"/>
        <v>136.46831955922866</v>
      </c>
      <c r="D55" s="2647">
        <f t="shared" si="55"/>
        <v>136.46831955922866</v>
      </c>
      <c r="E55" s="2647">
        <f t="shared" si="82"/>
        <v>166.73864894795128</v>
      </c>
      <c r="F55" s="2647">
        <f t="shared" si="82"/>
        <v>115.05882352941177</v>
      </c>
      <c r="G55" s="3489">
        <v>2006</v>
      </c>
      <c r="H55" s="2638">
        <v>2</v>
      </c>
      <c r="I55" s="2638">
        <v>0.96</v>
      </c>
      <c r="J55" s="2638">
        <v>0.25</v>
      </c>
      <c r="K55" s="2638">
        <v>1.9</v>
      </c>
      <c r="L55" s="2649">
        <v>0.95</v>
      </c>
      <c r="N55" s="2690">
        <f t="shared" si="79"/>
        <v>1.8352632728861701E-2</v>
      </c>
      <c r="O55" s="2691">
        <f t="shared" si="79"/>
        <v>2.6286459319075526E-3</v>
      </c>
      <c r="P55" s="2691">
        <f t="shared" si="80"/>
        <v>5.4299289107991269E-2</v>
      </c>
      <c r="Q55" s="2691">
        <f t="shared" si="80"/>
        <v>8.9126559714794995E-3</v>
      </c>
      <c r="R55" s="2644"/>
      <c r="S55" s="2642"/>
      <c r="T55" s="2643"/>
      <c r="U55" s="2643"/>
      <c r="V55" s="2643"/>
      <c r="X55" s="2692"/>
      <c r="Y55" s="2692"/>
      <c r="Z55" s="2692"/>
    </row>
    <row r="56" spans="1:26">
      <c r="A56" s="2633" t="s">
        <v>2615</v>
      </c>
      <c r="B56" s="2647">
        <f t="shared" si="81"/>
        <v>144.04145728643215</v>
      </c>
      <c r="C56" s="2647">
        <f t="shared" si="81"/>
        <v>136.12396694214877</v>
      </c>
      <c r="D56" s="2647">
        <f t="shared" si="55"/>
        <v>136.12396694214877</v>
      </c>
      <c r="E56" s="2647">
        <f t="shared" si="82"/>
        <v>158.32225913621264</v>
      </c>
      <c r="F56" s="2647">
        <f t="shared" si="82"/>
        <v>114.04278074866311</v>
      </c>
      <c r="G56" s="3490">
        <v>2006</v>
      </c>
      <c r="H56" s="2637">
        <v>1</v>
      </c>
      <c r="I56" s="2637">
        <v>2.29</v>
      </c>
      <c r="J56" s="2637">
        <v>3.72</v>
      </c>
      <c r="K56" s="2637">
        <v>0.75</v>
      </c>
      <c r="L56" s="2648">
        <v>0.04</v>
      </c>
      <c r="N56" s="2693">
        <f t="shared" si="79"/>
        <v>4.3778675988638847E-2</v>
      </c>
      <c r="O56" s="2694">
        <f t="shared" si="79"/>
        <v>3.9114251466784385E-2</v>
      </c>
      <c r="P56" s="2694">
        <f t="shared" si="80"/>
        <v>2.1433929911049188E-2</v>
      </c>
      <c r="Q56" s="2694">
        <f t="shared" si="80"/>
        <v>3.7526972511492629E-4</v>
      </c>
      <c r="R56" s="2644"/>
      <c r="S56" s="2650">
        <f>B56/B57-1</f>
        <v>4.3778675988638716E-2</v>
      </c>
      <c r="T56" s="2651">
        <f>C56/C57-1</f>
        <v>3.91142514667846E-2</v>
      </c>
      <c r="U56" s="2651">
        <f>E56/E57-1</f>
        <v>2.143392991104931E-2</v>
      </c>
      <c r="V56" s="2651">
        <f>F56/F57-1</f>
        <v>3.7526972511492396E-4</v>
      </c>
      <c r="X56" s="2692"/>
      <c r="Y56" s="2692"/>
      <c r="Z56" s="2692"/>
    </row>
    <row r="57" spans="1:26" ht="13.5" thickBot="1">
      <c r="A57" s="2633" t="s">
        <v>2616</v>
      </c>
      <c r="B57" s="2661">
        <v>138</v>
      </c>
      <c r="C57" s="2661">
        <v>131</v>
      </c>
      <c r="D57" s="2661">
        <f t="shared" si="55"/>
        <v>131</v>
      </c>
      <c r="E57" s="2661">
        <v>155</v>
      </c>
      <c r="F57" s="2662">
        <v>114</v>
      </c>
      <c r="G57" s="3488">
        <v>2005</v>
      </c>
      <c r="H57" s="2653">
        <v>4</v>
      </c>
      <c r="I57" s="2653">
        <v>3.29</v>
      </c>
      <c r="J57" s="2653">
        <v>1.44</v>
      </c>
      <c r="K57" s="2653">
        <v>0.66</v>
      </c>
      <c r="L57" s="2654">
        <v>7.78</v>
      </c>
      <c r="N57" s="2690">
        <f t="shared" ref="N57:O60" si="83">I57/SUM(I$57:I$60)*(B$57/B$61-1)</f>
        <v>9.9404603216919935E-2</v>
      </c>
      <c r="O57" s="2691">
        <f t="shared" si="83"/>
        <v>4.7636550760861554E-2</v>
      </c>
      <c r="P57" s="2691">
        <f t="shared" ref="P57:Q60" si="84">K57/SUM(K$57:K$60)*(E$57/E$61-1)</f>
        <v>8.3756345177664976E-2</v>
      </c>
      <c r="Q57" s="2691">
        <f t="shared" si="84"/>
        <v>5.2148766661559584E-2</v>
      </c>
      <c r="R57" s="2644"/>
      <c r="S57" s="2645"/>
      <c r="T57" s="2646"/>
      <c r="U57" s="2646"/>
      <c r="V57" s="2646"/>
      <c r="X57" s="2692"/>
      <c r="Y57" s="2692"/>
      <c r="Z57" s="2692"/>
    </row>
    <row r="58" spans="1:26">
      <c r="A58" s="2633" t="s">
        <v>2617</v>
      </c>
      <c r="B58" s="2647">
        <f t="shared" ref="B58:C60" si="85">B59+(B$57-B$61)*I58/SUM(I$57:I$60)</f>
        <v>125.9720430107527</v>
      </c>
      <c r="C58" s="2647">
        <f t="shared" si="85"/>
        <v>125.1883408071749</v>
      </c>
      <c r="D58" s="2647">
        <f t="shared" si="55"/>
        <v>125.1883408071749</v>
      </c>
      <c r="E58" s="2647">
        <f t="shared" ref="E58:F60" si="86">E59+(E$57-E$61)*K58/SUM(K$57:K$60)</f>
        <v>144.61421319796952</v>
      </c>
      <c r="F58" s="2647">
        <f t="shared" si="86"/>
        <v>108.42008196721311</v>
      </c>
      <c r="G58" s="3489">
        <v>2005</v>
      </c>
      <c r="H58" s="2658">
        <v>3</v>
      </c>
      <c r="I58" s="2658">
        <v>0.46</v>
      </c>
      <c r="J58" s="2658">
        <v>0.32</v>
      </c>
      <c r="K58" s="2658">
        <v>0.42</v>
      </c>
      <c r="L58" s="2659">
        <v>0.64</v>
      </c>
      <c r="N58" s="2690">
        <f t="shared" si="83"/>
        <v>1.3898515951301874E-2</v>
      </c>
      <c r="O58" s="2691">
        <f t="shared" si="83"/>
        <v>1.0585900169080346E-2</v>
      </c>
      <c r="P58" s="2691">
        <f t="shared" si="84"/>
        <v>5.3299492385786795E-2</v>
      </c>
      <c r="Q58" s="2691">
        <f t="shared" si="84"/>
        <v>4.2898728359123568E-3</v>
      </c>
      <c r="R58" s="2644"/>
      <c r="S58" s="2642"/>
      <c r="T58" s="2643"/>
      <c r="U58" s="2643"/>
      <c r="V58" s="2643"/>
      <c r="X58" s="2692"/>
      <c r="Y58" s="2692"/>
      <c r="Z58" s="2692"/>
    </row>
    <row r="59" spans="1:26">
      <c r="A59" s="2633" t="s">
        <v>2618</v>
      </c>
      <c r="B59" s="2647">
        <f t="shared" si="85"/>
        <v>124.29032258064517</v>
      </c>
      <c r="C59" s="2647">
        <f t="shared" si="85"/>
        <v>123.8968609865471</v>
      </c>
      <c r="D59" s="2647">
        <f t="shared" si="55"/>
        <v>123.8968609865471</v>
      </c>
      <c r="E59" s="2647">
        <f t="shared" si="86"/>
        <v>138.00507614213197</v>
      </c>
      <c r="F59" s="2647">
        <f t="shared" si="86"/>
        <v>107.96106557377048</v>
      </c>
      <c r="G59" s="3489">
        <v>2005</v>
      </c>
      <c r="H59" s="2638">
        <v>2</v>
      </c>
      <c r="I59" s="2638">
        <v>0.47</v>
      </c>
      <c r="J59" s="2638">
        <v>0.1</v>
      </c>
      <c r="K59" s="2638">
        <v>0.52</v>
      </c>
      <c r="L59" s="2649">
        <v>0.79</v>
      </c>
      <c r="N59" s="2690">
        <f t="shared" si="83"/>
        <v>1.420065760241713E-2</v>
      </c>
      <c r="O59" s="2691">
        <f t="shared" si="83"/>
        <v>3.3080938028376083E-3</v>
      </c>
      <c r="P59" s="2691">
        <f t="shared" si="84"/>
        <v>6.598984771573603E-2</v>
      </c>
      <c r="Q59" s="2691">
        <f t="shared" si="84"/>
        <v>5.2953117818293153E-3</v>
      </c>
      <c r="R59" s="2644"/>
      <c r="S59" s="2642"/>
      <c r="T59" s="2643"/>
      <c r="U59" s="2643"/>
      <c r="V59" s="2643"/>
      <c r="X59" s="2692"/>
      <c r="Y59" s="2692"/>
      <c r="Z59" s="2692"/>
    </row>
    <row r="60" spans="1:26">
      <c r="A60" s="2633" t="s">
        <v>2619</v>
      </c>
      <c r="B60" s="2647">
        <f t="shared" si="85"/>
        <v>122.57204301075269</v>
      </c>
      <c r="C60" s="2647">
        <f t="shared" si="85"/>
        <v>123.4932735426009</v>
      </c>
      <c r="D60" s="2647">
        <f t="shared" si="55"/>
        <v>123.4932735426009</v>
      </c>
      <c r="E60" s="2647">
        <f t="shared" si="86"/>
        <v>129.82233502538071</v>
      </c>
      <c r="F60" s="2647">
        <f t="shared" si="86"/>
        <v>107.39446721311475</v>
      </c>
      <c r="G60" s="3490">
        <v>2005</v>
      </c>
      <c r="H60" s="2637">
        <v>1</v>
      </c>
      <c r="I60" s="2637">
        <v>0.43</v>
      </c>
      <c r="J60" s="2637">
        <v>0.37</v>
      </c>
      <c r="K60" s="2637">
        <v>0.37</v>
      </c>
      <c r="L60" s="2648">
        <v>0.55000000000000004</v>
      </c>
      <c r="N60" s="2693">
        <f t="shared" si="83"/>
        <v>1.2992090997956099E-2</v>
      </c>
      <c r="O60" s="2694">
        <f t="shared" si="83"/>
        <v>1.2239947070499151E-2</v>
      </c>
      <c r="P60" s="2694">
        <f t="shared" si="84"/>
        <v>4.6954314720812178E-2</v>
      </c>
      <c r="Q60" s="2694">
        <f t="shared" si="84"/>
        <v>3.6866094683621815E-3</v>
      </c>
      <c r="R60" s="2644"/>
      <c r="S60" s="2650">
        <f>B60/B61-1</f>
        <v>1.2992090997956174E-2</v>
      </c>
      <c r="T60" s="2651">
        <f>C60/C61-1</f>
        <v>1.2239947070499246E-2</v>
      </c>
      <c r="U60" s="2651">
        <f>E60/E61-1</f>
        <v>4.695431472081224E-2</v>
      </c>
      <c r="V60" s="2651">
        <f>F60/F61-1</f>
        <v>3.6866094683620787E-3</v>
      </c>
      <c r="X60" s="2692"/>
      <c r="Y60" s="2692"/>
      <c r="Z60" s="2692"/>
    </row>
    <row r="61" spans="1:26" ht="13.5" thickBot="1">
      <c r="A61" s="2633" t="s">
        <v>2620</v>
      </c>
      <c r="B61" s="2677">
        <v>121</v>
      </c>
      <c r="C61" s="2677">
        <v>122</v>
      </c>
      <c r="D61" s="2677">
        <f t="shared" si="55"/>
        <v>122</v>
      </c>
      <c r="E61" s="2677">
        <v>124</v>
      </c>
      <c r="F61" s="2678">
        <v>107</v>
      </c>
      <c r="G61" s="3488">
        <v>2004</v>
      </c>
      <c r="H61" s="2653">
        <v>4</v>
      </c>
      <c r="I61" s="2653">
        <v>0.33</v>
      </c>
      <c r="J61" s="2653">
        <v>0.5</v>
      </c>
      <c r="K61" s="2653">
        <v>0.5</v>
      </c>
      <c r="L61" s="2654">
        <v>0</v>
      </c>
      <c r="N61" s="2690">
        <f t="shared" ref="N61:O64" si="87">I61/SUM(I$61:I$64)*(B$61/B$65-1)</f>
        <v>1.3391770148526898E-2</v>
      </c>
      <c r="O61" s="2691">
        <f t="shared" si="87"/>
        <v>1.063264221158958E-2</v>
      </c>
      <c r="P61" s="2691">
        <f t="shared" ref="P61:Q64" si="88">K61/SUM(K$61:K$64)*(E$61/E$65-1)</f>
        <v>2.2244466688911134E-2</v>
      </c>
      <c r="Q61" s="2691">
        <f t="shared" si="88"/>
        <v>0</v>
      </c>
      <c r="R61" s="2644"/>
      <c r="S61" s="2645"/>
      <c r="T61" s="2646"/>
      <c r="U61" s="2646"/>
      <c r="V61" s="2646"/>
      <c r="X61" s="2692"/>
      <c r="Y61" s="2692"/>
      <c r="Z61" s="2692"/>
    </row>
    <row r="62" spans="1:26">
      <c r="A62" s="2633" t="s">
        <v>2621</v>
      </c>
      <c r="B62" s="2647">
        <f t="shared" ref="B62:C64" si="89">B63+(B$61-B$65)*I62/SUM(I$61:I$64)</f>
        <v>119.51351351351352</v>
      </c>
      <c r="C62" s="2647">
        <f t="shared" si="89"/>
        <v>120.7878787878788</v>
      </c>
      <c r="D62" s="2647">
        <f t="shared" si="55"/>
        <v>120.7878787878788</v>
      </c>
      <c r="E62" s="2647">
        <f t="shared" ref="E62:F64" si="90">E63+(E$61-E$65)*K62/SUM(K$61:K$64)</f>
        <v>121.5975975975976</v>
      </c>
      <c r="F62" s="2647">
        <f t="shared" si="90"/>
        <v>107</v>
      </c>
      <c r="G62" s="3489">
        <v>2004</v>
      </c>
      <c r="H62" s="2658">
        <v>3</v>
      </c>
      <c r="I62" s="2658">
        <v>0.56000000000000005</v>
      </c>
      <c r="J62" s="2658">
        <v>0.8</v>
      </c>
      <c r="K62" s="2658">
        <v>0.83</v>
      </c>
      <c r="L62" s="2659">
        <v>0.06</v>
      </c>
      <c r="N62" s="2690">
        <f t="shared" si="87"/>
        <v>2.2725428130833527E-2</v>
      </c>
      <c r="O62" s="2691">
        <f t="shared" si="87"/>
        <v>1.7012227538543329E-2</v>
      </c>
      <c r="P62" s="2691">
        <f t="shared" si="88"/>
        <v>3.6925814703592477E-2</v>
      </c>
      <c r="Q62" s="2691">
        <f t="shared" si="88"/>
        <v>2.8846153846153744E-2</v>
      </c>
      <c r="R62" s="2644"/>
      <c r="S62" s="2642"/>
      <c r="T62" s="2643"/>
      <c r="U62" s="2643"/>
      <c r="V62" s="2643"/>
      <c r="X62" s="2692"/>
      <c r="Y62" s="2692"/>
      <c r="Z62" s="2692"/>
    </row>
    <row r="63" spans="1:26">
      <c r="A63" s="2633" t="s">
        <v>2622</v>
      </c>
      <c r="B63" s="2647">
        <f t="shared" si="89"/>
        <v>116.99099099099099</v>
      </c>
      <c r="C63" s="2647">
        <f t="shared" si="89"/>
        <v>118.84848484848486</v>
      </c>
      <c r="D63" s="2647">
        <f t="shared" si="55"/>
        <v>118.84848484848486</v>
      </c>
      <c r="E63" s="2647">
        <f t="shared" si="90"/>
        <v>117.60960960960961</v>
      </c>
      <c r="F63" s="2647">
        <f t="shared" si="90"/>
        <v>104</v>
      </c>
      <c r="G63" s="3489">
        <v>2004</v>
      </c>
      <c r="H63" s="2638">
        <v>2</v>
      </c>
      <c r="I63" s="2638">
        <v>1</v>
      </c>
      <c r="J63" s="2638">
        <v>1.5</v>
      </c>
      <c r="K63" s="2638">
        <v>1.5</v>
      </c>
      <c r="L63" s="2649">
        <v>0</v>
      </c>
      <c r="N63" s="2690">
        <f t="shared" si="87"/>
        <v>4.0581121662202721E-2</v>
      </c>
      <c r="O63" s="2691">
        <f t="shared" si="87"/>
        <v>3.1897926634768738E-2</v>
      </c>
      <c r="P63" s="2691">
        <f t="shared" si="88"/>
        <v>6.6733400066733395E-2</v>
      </c>
      <c r="Q63" s="2691">
        <f t="shared" si="88"/>
        <v>0</v>
      </c>
      <c r="R63" s="2644"/>
      <c r="S63" s="2642"/>
      <c r="T63" s="2643"/>
      <c r="U63" s="2643"/>
      <c r="V63" s="2643"/>
      <c r="X63" s="2692"/>
      <c r="Y63" s="2692"/>
      <c r="Z63" s="2692"/>
    </row>
    <row r="64" spans="1:26" s="2683" customFormat="1" ht="13.5" thickBot="1">
      <c r="A64" s="2633" t="s">
        <v>2623</v>
      </c>
      <c r="B64" s="2680">
        <f t="shared" si="89"/>
        <v>112.48648648648648</v>
      </c>
      <c r="C64" s="2680">
        <f t="shared" si="89"/>
        <v>115.21212121212122</v>
      </c>
      <c r="D64" s="2680">
        <f t="shared" si="55"/>
        <v>115.21212121212122</v>
      </c>
      <c r="E64" s="2680">
        <f t="shared" si="90"/>
        <v>110.4024024024024</v>
      </c>
      <c r="F64" s="2680">
        <f t="shared" si="90"/>
        <v>104</v>
      </c>
      <c r="G64" s="3490">
        <v>2004</v>
      </c>
      <c r="H64" s="2681">
        <v>1</v>
      </c>
      <c r="I64" s="2681">
        <v>0.33</v>
      </c>
      <c r="J64" s="2681">
        <v>0.5</v>
      </c>
      <c r="K64" s="2681">
        <v>0.5</v>
      </c>
      <c r="L64" s="2682">
        <v>0</v>
      </c>
      <c r="N64" s="2695">
        <f t="shared" si="87"/>
        <v>1.3391770148526898E-2</v>
      </c>
      <c r="O64" s="2696">
        <f t="shared" si="87"/>
        <v>1.063264221158958E-2</v>
      </c>
      <c r="P64" s="2696">
        <f t="shared" si="88"/>
        <v>2.2244466688911134E-2</v>
      </c>
      <c r="Q64" s="2696">
        <f t="shared" si="88"/>
        <v>0</v>
      </c>
      <c r="R64" s="2686"/>
      <c r="S64" s="2684">
        <f>B64/B65-1</f>
        <v>1.3391770148526883E-2</v>
      </c>
      <c r="T64" s="2685">
        <f>C64/C65-1</f>
        <v>1.063264221158966E-2</v>
      </c>
      <c r="U64" s="2685">
        <f>E64/E65-1</f>
        <v>2.2244466688911224E-2</v>
      </c>
      <c r="V64" s="2685">
        <f>F64/F65-1</f>
        <v>0</v>
      </c>
      <c r="X64" s="2697"/>
      <c r="Y64" s="2697"/>
      <c r="Z64" s="2697"/>
    </row>
    <row r="65" spans="1:26" ht="13.5" thickBot="1">
      <c r="A65" s="2633" t="s">
        <v>2624</v>
      </c>
      <c r="B65" s="2698">
        <v>111</v>
      </c>
      <c r="C65" s="2698">
        <v>114</v>
      </c>
      <c r="D65" s="2698">
        <f t="shared" si="55"/>
        <v>114</v>
      </c>
      <c r="E65" s="2698">
        <v>108</v>
      </c>
      <c r="F65" s="2699">
        <v>104</v>
      </c>
      <c r="G65" s="3488">
        <v>2003</v>
      </c>
      <c r="H65" s="2688">
        <v>4</v>
      </c>
      <c r="I65" s="2700"/>
      <c r="J65" s="2700"/>
      <c r="K65" s="2700"/>
      <c r="L65" s="2700"/>
      <c r="N65" s="2701"/>
      <c r="O65" s="2700"/>
      <c r="P65" s="2700"/>
      <c r="Q65" s="2700"/>
      <c r="S65" s="2701"/>
      <c r="T65" s="2700"/>
      <c r="U65" s="2700"/>
      <c r="V65" s="2700"/>
      <c r="X65" s="2692"/>
      <c r="Y65" s="2692"/>
      <c r="Z65" s="2692"/>
    </row>
    <row r="66" spans="1:26">
      <c r="A66" s="2633" t="s">
        <v>2625</v>
      </c>
      <c r="B66" s="2702">
        <f t="shared" ref="B66:C68" si="91">B67+(B$65-B$69)/4</f>
        <v>109.75</v>
      </c>
      <c r="C66" s="2702">
        <f t="shared" si="91"/>
        <v>112.25</v>
      </c>
      <c r="D66" s="2702">
        <f t="shared" si="55"/>
        <v>112.25</v>
      </c>
      <c r="E66" s="2702">
        <f t="shared" ref="E66:F68" si="92">E67+(E$65-E$69)/4</f>
        <v>107.25</v>
      </c>
      <c r="F66" s="2702">
        <f t="shared" si="92"/>
        <v>103.5</v>
      </c>
      <c r="G66" s="3489">
        <v>2003</v>
      </c>
      <c r="H66" s="2658">
        <v>3</v>
      </c>
      <c r="I66" s="2700"/>
      <c r="J66" s="2700"/>
      <c r="K66" s="2700"/>
      <c r="L66" s="2700"/>
      <c r="X66" s="2692"/>
      <c r="Y66" s="2692"/>
      <c r="Z66" s="2692"/>
    </row>
    <row r="67" spans="1:26">
      <c r="A67" s="2633" t="s">
        <v>2626</v>
      </c>
      <c r="B67" s="2702">
        <f t="shared" si="91"/>
        <v>108.5</v>
      </c>
      <c r="C67" s="2702">
        <f t="shared" si="91"/>
        <v>110.5</v>
      </c>
      <c r="D67" s="2702">
        <f t="shared" si="55"/>
        <v>110.5</v>
      </c>
      <c r="E67" s="2702">
        <f t="shared" si="92"/>
        <v>106.5</v>
      </c>
      <c r="F67" s="2702">
        <f t="shared" si="92"/>
        <v>103</v>
      </c>
      <c r="G67" s="3489">
        <v>2003</v>
      </c>
      <c r="H67" s="2638">
        <v>2</v>
      </c>
      <c r="I67" s="2700"/>
      <c r="J67" s="2700"/>
      <c r="K67" s="2700"/>
      <c r="L67" s="2700"/>
      <c r="X67" s="2692"/>
      <c r="Y67" s="2692"/>
      <c r="Z67" s="2692"/>
    </row>
    <row r="68" spans="1:26" ht="13.5" thickBot="1">
      <c r="A68" s="2633" t="s">
        <v>2627</v>
      </c>
      <c r="B68" s="2702">
        <f t="shared" si="91"/>
        <v>107.25</v>
      </c>
      <c r="C68" s="2702">
        <f t="shared" si="91"/>
        <v>108.75</v>
      </c>
      <c r="D68" s="2702">
        <f t="shared" si="55"/>
        <v>108.75</v>
      </c>
      <c r="E68" s="2702">
        <f t="shared" si="92"/>
        <v>105.75</v>
      </c>
      <c r="F68" s="2702">
        <f t="shared" si="92"/>
        <v>102.5</v>
      </c>
      <c r="G68" s="3490">
        <v>2003</v>
      </c>
      <c r="H68" s="2703">
        <v>1</v>
      </c>
      <c r="I68" s="2700"/>
      <c r="J68" s="2700"/>
      <c r="K68" s="2700"/>
      <c r="L68" s="2700"/>
      <c r="S68" s="2642"/>
      <c r="T68" s="2643"/>
      <c r="U68" s="2643"/>
      <c r="X68" s="2692"/>
      <c r="Y68" s="2692"/>
      <c r="Z68" s="2692"/>
    </row>
    <row r="69" spans="1:26" ht="13.5" thickBot="1">
      <c r="A69" s="2633" t="s">
        <v>2628</v>
      </c>
      <c r="B69" s="2704">
        <v>106</v>
      </c>
      <c r="C69" s="2704">
        <v>107</v>
      </c>
      <c r="D69" s="2704">
        <f t="shared" si="55"/>
        <v>107</v>
      </c>
      <c r="E69" s="2704">
        <v>105</v>
      </c>
      <c r="F69" s="2705">
        <v>102</v>
      </c>
      <c r="G69" s="3488">
        <v>2002</v>
      </c>
      <c r="H69" s="2653">
        <v>4</v>
      </c>
      <c r="I69" s="2700"/>
      <c r="J69" s="2700"/>
      <c r="K69" s="2700"/>
      <c r="L69" s="2700"/>
      <c r="N69" s="2701"/>
      <c r="O69" s="2700"/>
      <c r="P69" s="2700"/>
      <c r="Q69" s="2700"/>
      <c r="S69" s="2701"/>
      <c r="T69" s="2700"/>
      <c r="U69" s="2700"/>
      <c r="V69" s="2700"/>
      <c r="X69" s="2692"/>
      <c r="Y69" s="2692"/>
      <c r="Z69" s="2692"/>
    </row>
    <row r="70" spans="1:26">
      <c r="A70" s="2633" t="s">
        <v>2629</v>
      </c>
      <c r="B70" s="2702">
        <f t="shared" ref="B70:C72" si="93">B71+(B$69-B$73)/4</f>
        <v>105</v>
      </c>
      <c r="C70" s="2702">
        <f t="shared" si="93"/>
        <v>106</v>
      </c>
      <c r="D70" s="2702">
        <f t="shared" si="55"/>
        <v>106</v>
      </c>
      <c r="E70" s="2702">
        <f t="shared" ref="E70:F72" si="94">E71+(E$69-E$73)/4</f>
        <v>104.5</v>
      </c>
      <c r="F70" s="2702">
        <f t="shared" si="94"/>
        <v>101.5</v>
      </c>
      <c r="G70" s="3489">
        <v>2002</v>
      </c>
      <c r="H70" s="2658">
        <v>3</v>
      </c>
      <c r="I70" s="2700"/>
      <c r="J70" s="2700"/>
      <c r="K70" s="2700"/>
      <c r="L70" s="2700"/>
      <c r="X70" s="2692"/>
      <c r="Y70" s="2692"/>
      <c r="Z70" s="2692"/>
    </row>
    <row r="71" spans="1:26">
      <c r="A71" s="2633" t="s">
        <v>2630</v>
      </c>
      <c r="B71" s="2702">
        <f t="shared" si="93"/>
        <v>104</v>
      </c>
      <c r="C71" s="2702">
        <f t="shared" si="93"/>
        <v>105</v>
      </c>
      <c r="D71" s="2702">
        <f t="shared" si="55"/>
        <v>105</v>
      </c>
      <c r="E71" s="2702">
        <f t="shared" si="94"/>
        <v>104</v>
      </c>
      <c r="F71" s="2702">
        <f t="shared" si="94"/>
        <v>101</v>
      </c>
      <c r="G71" s="3489">
        <v>2002</v>
      </c>
      <c r="H71" s="2638">
        <v>2</v>
      </c>
      <c r="I71" s="2700"/>
      <c r="J71" s="2700"/>
      <c r="K71" s="2700"/>
      <c r="L71" s="2700"/>
      <c r="X71" s="2692"/>
      <c r="Y71" s="2692"/>
      <c r="Z71" s="2692"/>
    </row>
    <row r="72" spans="1:26" s="2669" customFormat="1" ht="13.5" thickBot="1">
      <c r="A72" s="2665" t="s">
        <v>2631</v>
      </c>
      <c r="B72" s="2706">
        <f t="shared" si="93"/>
        <v>103</v>
      </c>
      <c r="C72" s="2706">
        <f t="shared" si="93"/>
        <v>104</v>
      </c>
      <c r="D72" s="2706">
        <f t="shared" si="55"/>
        <v>104</v>
      </c>
      <c r="E72" s="2706">
        <f t="shared" si="94"/>
        <v>103.5</v>
      </c>
      <c r="F72" s="2706">
        <f t="shared" si="94"/>
        <v>100.5</v>
      </c>
      <c r="G72" s="3490">
        <v>2002</v>
      </c>
      <c r="H72" s="2707">
        <v>1</v>
      </c>
      <c r="I72" s="2708"/>
      <c r="J72" s="2708"/>
      <c r="K72" s="2708"/>
      <c r="L72" s="2708"/>
      <c r="N72" s="2709"/>
      <c r="S72" s="2709"/>
      <c r="X72" s="2710"/>
      <c r="Y72" s="2710"/>
      <c r="Z72" s="2710"/>
    </row>
    <row r="73" spans="1:26" ht="13.5" thickBot="1">
      <c r="B73" s="2711">
        <v>102</v>
      </c>
      <c r="C73" s="2712">
        <v>103</v>
      </c>
      <c r="D73" s="2712">
        <f t="shared" si="55"/>
        <v>103</v>
      </c>
      <c r="E73" s="2712">
        <v>103</v>
      </c>
      <c r="F73" s="2713">
        <v>100</v>
      </c>
      <c r="I73" s="2700"/>
      <c r="J73" s="2700"/>
      <c r="K73" s="2700"/>
      <c r="L73" s="2700"/>
      <c r="N73" s="2701"/>
      <c r="O73" s="2700"/>
      <c r="P73" s="2700"/>
      <c r="Q73" s="2700"/>
      <c r="S73" s="2701"/>
      <c r="T73" s="2700"/>
      <c r="U73" s="2700"/>
      <c r="V73" s="2700"/>
      <c r="X73" s="2646"/>
      <c r="Y73" s="2646"/>
      <c r="Z73" s="2646"/>
    </row>
    <row r="75" spans="1:26" s="2715" customFormat="1">
      <c r="A75" s="2714" t="s">
        <v>2632</v>
      </c>
      <c r="G75" s="2716"/>
      <c r="N75" s="2716"/>
      <c r="S75" s="2716"/>
    </row>
    <row r="76" spans="1:26" s="2715" customFormat="1">
      <c r="A76" s="2715" t="s">
        <v>2633</v>
      </c>
      <c r="G76" s="2716"/>
      <c r="N76" s="2716"/>
      <c r="S76" s="2716"/>
    </row>
    <row r="77" spans="1:26" s="2715" customFormat="1">
      <c r="A77" s="2715" t="s">
        <v>2634</v>
      </c>
      <c r="G77" s="2716"/>
      <c r="I77" s="2717"/>
      <c r="J77" s="2717"/>
      <c r="K77" s="2717"/>
      <c r="L77" s="2717"/>
      <c r="N77" s="2718"/>
      <c r="O77" s="2717"/>
      <c r="P77" s="2717"/>
      <c r="Q77" s="2717"/>
      <c r="S77" s="2718"/>
      <c r="T77" s="2717"/>
      <c r="U77" s="2717"/>
      <c r="V77" s="2717"/>
    </row>
    <row r="78" spans="1:26" s="2715" customFormat="1">
      <c r="A78" s="2715" t="s">
        <v>2635</v>
      </c>
      <c r="G78" s="2716"/>
      <c r="N78" s="2716"/>
      <c r="S78" s="2716"/>
    </row>
    <row r="85" spans="7:22" ht="13.5" thickBot="1"/>
    <row r="86" spans="7:22">
      <c r="G86" s="2641"/>
      <c r="S86" s="2719" t="s">
        <v>2636</v>
      </c>
      <c r="T86" s="2720" t="s">
        <v>2637</v>
      </c>
      <c r="U86" s="2720" t="s">
        <v>2638</v>
      </c>
      <c r="V86" s="2720" t="s">
        <v>2639</v>
      </c>
    </row>
    <row r="87" spans="7:22">
      <c r="G87" s="2641"/>
      <c r="N87" s="2645"/>
      <c r="O87" s="2646"/>
      <c r="P87" s="2646"/>
      <c r="Q87" s="2646"/>
      <c r="S87" s="2721">
        <v>2006</v>
      </c>
      <c r="T87" s="2722">
        <v>15.1</v>
      </c>
      <c r="U87" s="2722">
        <v>7.43</v>
      </c>
      <c r="V87" s="2722">
        <v>26.26</v>
      </c>
    </row>
    <row r="88" spans="7:22">
      <c r="G88" s="2641"/>
      <c r="N88" s="2645"/>
      <c r="O88" s="2646"/>
      <c r="P88" s="2646"/>
      <c r="Q88" s="2646"/>
      <c r="S88" s="2724">
        <v>2005</v>
      </c>
      <c r="T88" s="2723">
        <v>13.9</v>
      </c>
      <c r="U88" s="2723">
        <v>7.49</v>
      </c>
      <c r="V88" s="2723">
        <v>24.92</v>
      </c>
    </row>
    <row r="89" spans="7:22">
      <c r="G89" s="2641"/>
      <c r="N89" s="2645"/>
      <c r="O89" s="2646"/>
      <c r="P89" s="2646"/>
      <c r="Q89" s="2646"/>
      <c r="S89" s="2721">
        <v>2004</v>
      </c>
      <c r="T89" s="2722">
        <v>9.48</v>
      </c>
      <c r="U89" s="2722">
        <v>7.2</v>
      </c>
      <c r="V89" s="2722">
        <v>14.68</v>
      </c>
    </row>
    <row r="90" spans="7:22">
      <c r="G90" s="2641"/>
      <c r="N90" s="2645"/>
      <c r="O90" s="2646"/>
      <c r="P90" s="2646"/>
      <c r="Q90" s="2646"/>
      <c r="S90" s="2724">
        <v>2003</v>
      </c>
      <c r="T90" s="2723">
        <v>4.5</v>
      </c>
      <c r="U90" s="2723">
        <v>6.12</v>
      </c>
      <c r="V90" s="2723">
        <v>2.34</v>
      </c>
    </row>
    <row r="91" spans="7:22" ht="13.5" thickBot="1">
      <c r="G91" s="2641"/>
      <c r="N91" s="2645"/>
      <c r="O91" s="2646"/>
      <c r="P91" s="2646"/>
      <c r="Q91" s="2646"/>
      <c r="S91" s="2725">
        <v>2002</v>
      </c>
      <c r="T91" s="2726">
        <v>3.59</v>
      </c>
      <c r="U91" s="2726">
        <v>4.54</v>
      </c>
      <c r="V91" s="2726">
        <v>2.5499999999999998</v>
      </c>
    </row>
    <row r="92" spans="7:22">
      <c r="G92" s="2641"/>
      <c r="N92" s="2645"/>
      <c r="O92" s="2646"/>
      <c r="P92" s="2646"/>
      <c r="Q92" s="2646"/>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c r="S102" s="2641"/>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G130" sqref="G13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923</v>
      </c>
      <c r="E1" s="2604"/>
      <c r="F1" s="2785" t="s">
        <v>3151</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00">
        <f>ROUND(B3*D3/10000,0)</f>
        <v>587636</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46427</v>
      </c>
      <c r="C3" s="852" t="s">
        <v>722</v>
      </c>
      <c r="D3" s="851">
        <f>SUMIF('数据-汇总表'!$C19:$C33,D1,'数据-汇总表'!$E19:$E33)</f>
        <v>126572</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415" t="s">
        <v>522</v>
      </c>
      <c r="D4" s="3416"/>
      <c r="E4" s="3449" t="s">
        <v>523</v>
      </c>
      <c r="F4" s="3450"/>
      <c r="G4" s="3415" t="s">
        <v>524</v>
      </c>
      <c r="H4" s="3416"/>
      <c r="I4" s="3415" t="s">
        <v>525</v>
      </c>
      <c r="J4" s="3416"/>
      <c r="K4" s="853" t="s">
        <v>526</v>
      </c>
      <c r="L4" s="2132"/>
      <c r="M4" s="2133"/>
      <c r="N4" s="2133"/>
      <c r="O4" s="2133"/>
      <c r="P4" s="3417" t="s">
        <v>527</v>
      </c>
      <c r="Q4" s="3418"/>
      <c r="R4" s="3423" t="s">
        <v>523</v>
      </c>
      <c r="S4" s="3424"/>
      <c r="T4" s="3423" t="s">
        <v>524</v>
      </c>
      <c r="U4" s="3424"/>
      <c r="V4" s="3410" t="s">
        <v>525</v>
      </c>
      <c r="W4" s="3410"/>
      <c r="X4" s="1566"/>
      <c r="Y4" s="3423" t="s">
        <v>527</v>
      </c>
      <c r="Z4" s="3424"/>
      <c r="AA4" s="3412" t="s">
        <v>523</v>
      </c>
      <c r="AB4" s="3412" t="s">
        <v>524</v>
      </c>
      <c r="AC4" s="3412" t="s">
        <v>525</v>
      </c>
    </row>
    <row r="5" spans="1:29" ht="15">
      <c r="A5" s="515"/>
      <c r="B5" s="516"/>
      <c r="C5" s="3431" t="s">
        <v>2932</v>
      </c>
      <c r="D5" s="3432"/>
      <c r="E5" s="3502" t="s">
        <v>3175</v>
      </c>
      <c r="F5" s="3452"/>
      <c r="G5" s="3501" t="s">
        <v>3176</v>
      </c>
      <c r="H5" s="3432"/>
      <c r="I5" s="3501" t="s">
        <v>3152</v>
      </c>
      <c r="J5" s="3432"/>
      <c r="K5" s="854"/>
      <c r="L5" s="2132"/>
      <c r="M5" s="2133"/>
      <c r="N5" s="2133"/>
      <c r="O5" s="2133"/>
      <c r="P5" s="3419"/>
      <c r="Q5" s="3420"/>
      <c r="R5" s="3425"/>
      <c r="S5" s="3426"/>
      <c r="T5" s="3425"/>
      <c r="U5" s="3426"/>
      <c r="V5" s="3410"/>
      <c r="W5" s="3410"/>
      <c r="X5" s="1566"/>
      <c r="Y5" s="3425"/>
      <c r="Z5" s="3426"/>
      <c r="AA5" s="3413"/>
      <c r="AB5" s="3413"/>
      <c r="AC5" s="3413"/>
    </row>
    <row r="6" spans="1:29" ht="15.75" thickBot="1">
      <c r="A6" s="517"/>
      <c r="B6" s="518"/>
      <c r="C6" s="3429" t="s">
        <v>2936</v>
      </c>
      <c r="D6" s="3430"/>
      <c r="E6" s="3447" t="s">
        <v>2936</v>
      </c>
      <c r="F6" s="3448"/>
      <c r="G6" s="3429" t="s">
        <v>2936</v>
      </c>
      <c r="H6" s="3430"/>
      <c r="I6" s="3429" t="s">
        <v>2936</v>
      </c>
      <c r="J6" s="3430"/>
      <c r="K6" s="854" t="s">
        <v>528</v>
      </c>
      <c r="L6" s="2132"/>
      <c r="M6" s="2133"/>
      <c r="N6" s="2133"/>
      <c r="O6" s="2133"/>
      <c r="P6" s="3421"/>
      <c r="Q6" s="3422"/>
      <c r="R6" s="3425"/>
      <c r="S6" s="3426"/>
      <c r="T6" s="3427"/>
      <c r="U6" s="3428"/>
      <c r="V6" s="3410"/>
      <c r="W6" s="3410"/>
      <c r="X6" s="1566"/>
      <c r="Y6" s="3427"/>
      <c r="Z6" s="3428"/>
      <c r="AA6" s="3414"/>
      <c r="AB6" s="3414"/>
      <c r="AC6" s="3414"/>
    </row>
    <row r="7" spans="1:29" s="1219" customFormat="1" ht="15.75" thickBot="1">
      <c r="A7" s="2890"/>
      <c r="B7" s="2897" t="s">
        <v>529</v>
      </c>
      <c r="C7" s="519">
        <f>'数据-取费表'!B2</f>
        <v>43489</v>
      </c>
      <c r="D7" s="520">
        <v>100</v>
      </c>
      <c r="E7" s="521">
        <v>43438</v>
      </c>
      <c r="F7" s="522">
        <f>SUMIF(58:58,YEAR(E7)&amp;"-"&amp;MONTH(E7),59:59)</f>
        <v>100</v>
      </c>
      <c r="G7" s="523">
        <v>43221</v>
      </c>
      <c r="H7" s="520">
        <f>SUMIF(58:58,YEAR(G7)&amp;"-"&amp;MONTH(G7),59:59)</f>
        <v>99</v>
      </c>
      <c r="I7" s="523">
        <v>43313</v>
      </c>
      <c r="J7" s="520">
        <f>SUMIF(58:58,YEAR(I7)&amp;"-"&amp;MONTH(I7),59:59)</f>
        <v>99.5</v>
      </c>
      <c r="K7" s="855"/>
      <c r="L7" s="2134"/>
      <c r="M7" s="2135"/>
      <c r="N7" s="2135"/>
      <c r="O7" s="2135"/>
      <c r="P7" s="3440" t="s">
        <v>530</v>
      </c>
      <c r="Q7" s="3442"/>
      <c r="R7" s="1567" t="s">
        <v>13</v>
      </c>
      <c r="S7" s="1568">
        <f t="shared" ref="S7:S15" si="0">F7</f>
        <v>100</v>
      </c>
      <c r="T7" s="1567" t="s">
        <v>13</v>
      </c>
      <c r="U7" s="1568">
        <f t="shared" ref="U7:U15" si="1">H7</f>
        <v>99</v>
      </c>
      <c r="V7" s="1567" t="s">
        <v>13</v>
      </c>
      <c r="W7" s="1568">
        <f t="shared" ref="W7:W15" si="2">J7</f>
        <v>99.5</v>
      </c>
      <c r="X7" s="1569"/>
      <c r="Y7" s="3440" t="s">
        <v>530</v>
      </c>
      <c r="Z7" s="3441"/>
      <c r="AA7" s="1570">
        <f>D7/F7</f>
        <v>1</v>
      </c>
      <c r="AB7" s="1570">
        <f>D7/H7</f>
        <v>1.0101010101010102</v>
      </c>
      <c r="AC7" s="1570">
        <f>D7/J7</f>
        <v>1.0050251256281406</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40" t="s">
        <v>533</v>
      </c>
      <c r="Q8" s="3441"/>
      <c r="R8" s="1567" t="s">
        <v>13</v>
      </c>
      <c r="S8" s="1568">
        <f t="shared" si="0"/>
        <v>100</v>
      </c>
      <c r="T8" s="1567" t="s">
        <v>13</v>
      </c>
      <c r="U8" s="1568">
        <f t="shared" si="1"/>
        <v>100</v>
      </c>
      <c r="V8" s="1567" t="s">
        <v>13</v>
      </c>
      <c r="W8" s="1568">
        <f t="shared" si="2"/>
        <v>100</v>
      </c>
      <c r="X8" s="1569"/>
      <c r="Y8" s="3440" t="s">
        <v>533</v>
      </c>
      <c r="Z8" s="3441"/>
      <c r="AA8" s="1570">
        <f t="shared" ref="AA8:AA46" si="3">D8/F8</f>
        <v>1</v>
      </c>
      <c r="AB8" s="1570">
        <f t="shared" ref="AB8:AB46" si="4">D8/H8</f>
        <v>1</v>
      </c>
      <c r="AC8" s="1570">
        <f t="shared" ref="AC8:AC46" si="5">D8/J8</f>
        <v>1</v>
      </c>
    </row>
    <row r="9" spans="1:29" s="1219"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4"/>
      <c r="M9" s="2135"/>
      <c r="N9" s="2135"/>
      <c r="O9" s="2136"/>
      <c r="P9" s="3409" t="s">
        <v>535</v>
      </c>
      <c r="Q9" s="1150" t="str">
        <f t="shared" ref="Q9:Q15" si="6">B9</f>
        <v>用途</v>
      </c>
      <c r="R9" s="1567" t="s">
        <v>8</v>
      </c>
      <c r="S9" s="1568">
        <f t="shared" si="0"/>
        <v>100</v>
      </c>
      <c r="T9" s="1567" t="s">
        <v>8</v>
      </c>
      <c r="U9" s="1568">
        <f t="shared" si="1"/>
        <v>100</v>
      </c>
      <c r="V9" s="1567" t="s">
        <v>8</v>
      </c>
      <c r="W9" s="1568">
        <f t="shared" si="2"/>
        <v>100</v>
      </c>
      <c r="X9" s="1569"/>
      <c r="Y9" s="3349" t="s">
        <v>536</v>
      </c>
      <c r="Z9" s="1149" t="str">
        <f t="shared" ref="Z9:Z15" si="7">Q9</f>
        <v>用途</v>
      </c>
      <c r="AA9" s="1570">
        <f t="shared" si="3"/>
        <v>1</v>
      </c>
      <c r="AB9" s="1570">
        <f t="shared" si="4"/>
        <v>1</v>
      </c>
      <c r="AC9" s="1570">
        <f t="shared" si="5"/>
        <v>1</v>
      </c>
    </row>
    <row r="10" spans="1:29" s="1337" customFormat="1" ht="27">
      <c r="A10" s="2893"/>
      <c r="B10" s="2898" t="s">
        <v>2758</v>
      </c>
      <c r="C10" s="861" t="s">
        <v>3146</v>
      </c>
      <c r="D10" s="255">
        <v>100</v>
      </c>
      <c r="E10" s="861" t="s">
        <v>3146</v>
      </c>
      <c r="F10" s="863">
        <f>SUMIF(65:65,E10,66:66)-SUMIF(65:65,C10,66:66)+100</f>
        <v>100</v>
      </c>
      <c r="G10" s="861" t="s">
        <v>3146</v>
      </c>
      <c r="H10" s="255">
        <f>SUMIF(65:65,G10,66:66)-SUMIF(65:65,C10,66:66)+100</f>
        <v>100</v>
      </c>
      <c r="I10" s="861" t="s">
        <v>3146</v>
      </c>
      <c r="J10" s="255">
        <f>SUMIF(65:65,I10,66:66)-SUMIF(65:65,C10,66:66)+100</f>
        <v>100</v>
      </c>
      <c r="K10" s="864"/>
      <c r="L10" s="2137"/>
      <c r="M10" s="2177"/>
      <c r="N10" s="2177"/>
      <c r="O10" s="2138"/>
      <c r="P10" s="3409"/>
      <c r="Q10" s="1150" t="str">
        <f t="shared" si="6"/>
        <v>土地使用年限（年）</v>
      </c>
      <c r="R10" s="1567" t="s">
        <v>8</v>
      </c>
      <c r="S10" s="1568">
        <f t="shared" si="0"/>
        <v>100</v>
      </c>
      <c r="T10" s="1567" t="s">
        <v>8</v>
      </c>
      <c r="U10" s="1568">
        <f t="shared" si="1"/>
        <v>100</v>
      </c>
      <c r="V10" s="1567" t="s">
        <v>8</v>
      </c>
      <c r="W10" s="1568">
        <f t="shared" si="2"/>
        <v>100</v>
      </c>
      <c r="X10" s="1569"/>
      <c r="Y10" s="3349"/>
      <c r="Z10" s="1149" t="str">
        <f t="shared" si="7"/>
        <v>土地使用年限（年）</v>
      </c>
      <c r="AA10" s="1570">
        <f t="shared" si="3"/>
        <v>1</v>
      </c>
      <c r="AB10" s="1570">
        <f t="shared" si="4"/>
        <v>1</v>
      </c>
      <c r="AC10" s="1570">
        <f t="shared" si="5"/>
        <v>1</v>
      </c>
    </row>
    <row r="11" spans="1:29" ht="15.75" thickBot="1">
      <c r="A11" s="2894"/>
      <c r="B11" s="2898" t="s">
        <v>2759</v>
      </c>
      <c r="C11" s="533">
        <f>'数据-汇总表'!I4</f>
        <v>6.5</v>
      </c>
      <c r="D11" s="255">
        <v>100</v>
      </c>
      <c r="E11" s="534">
        <v>5.47</v>
      </c>
      <c r="F11" s="863">
        <f>LOOKUP(E11,68:68,69:69)-LOOKUP(C11,68:68,69:69)+100</f>
        <v>103</v>
      </c>
      <c r="G11" s="533">
        <v>4.46</v>
      </c>
      <c r="H11" s="255">
        <f>LOOKUP(G11,68:68,69:69)-LOOKUP(C11,68:68,69:69)+100</f>
        <v>103</v>
      </c>
      <c r="I11" s="533">
        <v>5.15</v>
      </c>
      <c r="J11" s="255">
        <f>LOOKUP(I11,68:68,69:69)-LOOKUP(C11,68:68,69:69)+100</f>
        <v>103</v>
      </c>
      <c r="K11" s="864">
        <v>3</v>
      </c>
      <c r="L11" s="2139"/>
      <c r="M11" s="2133"/>
      <c r="N11" s="2133"/>
      <c r="O11" s="2140"/>
      <c r="P11" s="3409"/>
      <c r="Q11" s="1150" t="str">
        <f t="shared" si="6"/>
        <v>容积率</v>
      </c>
      <c r="R11" s="1567" t="s">
        <v>11</v>
      </c>
      <c r="S11" s="1568">
        <f t="shared" si="0"/>
        <v>103</v>
      </c>
      <c r="T11" s="1567" t="s">
        <v>11</v>
      </c>
      <c r="U11" s="1568">
        <f t="shared" si="1"/>
        <v>103</v>
      </c>
      <c r="V11" s="1567" t="s">
        <v>11</v>
      </c>
      <c r="W11" s="1568">
        <f t="shared" si="2"/>
        <v>103</v>
      </c>
      <c r="X11" s="1569"/>
      <c r="Y11" s="3349"/>
      <c r="Z11" s="1149" t="str">
        <f t="shared" si="7"/>
        <v>容积率</v>
      </c>
      <c r="AA11" s="1570">
        <f t="shared" si="3"/>
        <v>0.970873786407767</v>
      </c>
      <c r="AB11" s="1570">
        <f t="shared" si="4"/>
        <v>0.970873786407767</v>
      </c>
      <c r="AC11" s="1570">
        <f t="shared" si="5"/>
        <v>0.970873786407767</v>
      </c>
    </row>
    <row r="12" spans="1:29" s="1219" customFormat="1" ht="15" hidden="1">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09"/>
      <c r="Q12" s="1150">
        <f t="shared" si="6"/>
        <v>111</v>
      </c>
      <c r="R12" s="1567" t="s">
        <v>11</v>
      </c>
      <c r="S12" s="1568">
        <f t="shared" si="0"/>
        <v>100</v>
      </c>
      <c r="T12" s="1567" t="s">
        <v>11</v>
      </c>
      <c r="U12" s="1568">
        <f t="shared" si="1"/>
        <v>100</v>
      </c>
      <c r="V12" s="1567" t="s">
        <v>11</v>
      </c>
      <c r="W12" s="1568">
        <f t="shared" si="2"/>
        <v>100</v>
      </c>
      <c r="X12" s="1569"/>
      <c r="Y12" s="3349"/>
      <c r="Z12" s="1149">
        <f t="shared" si="7"/>
        <v>111</v>
      </c>
      <c r="AA12" s="1570">
        <f>D12/F12</f>
        <v>1</v>
      </c>
      <c r="AB12" s="1570">
        <f>D12/H12</f>
        <v>1</v>
      </c>
      <c r="AC12" s="1570">
        <f>D12/J12</f>
        <v>1</v>
      </c>
    </row>
    <row r="13" spans="1:29" ht="15" hidden="1">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09"/>
      <c r="Q13" s="1150">
        <f t="shared" si="6"/>
        <v>111</v>
      </c>
      <c r="R13" s="1567" t="s">
        <v>11</v>
      </c>
      <c r="S13" s="1568">
        <f t="shared" si="0"/>
        <v>100</v>
      </c>
      <c r="T13" s="1567" t="s">
        <v>11</v>
      </c>
      <c r="U13" s="1568">
        <f t="shared" si="1"/>
        <v>100</v>
      </c>
      <c r="V13" s="1567" t="s">
        <v>11</v>
      </c>
      <c r="W13" s="1568">
        <f t="shared" si="2"/>
        <v>100</v>
      </c>
      <c r="X13" s="1569"/>
      <c r="Y13" s="3349"/>
      <c r="Z13" s="1149">
        <f t="shared" si="7"/>
        <v>111</v>
      </c>
      <c r="AA13" s="1570">
        <f t="shared" si="3"/>
        <v>1</v>
      </c>
      <c r="AB13" s="1570">
        <f t="shared" si="4"/>
        <v>1</v>
      </c>
      <c r="AC13" s="1570">
        <f t="shared" si="5"/>
        <v>1</v>
      </c>
    </row>
    <row r="14" spans="1:29" ht="15.75" hidden="1"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09"/>
      <c r="Q14" s="1150">
        <f t="shared" si="6"/>
        <v>111</v>
      </c>
      <c r="R14" s="1567" t="s">
        <v>11</v>
      </c>
      <c r="S14" s="1568">
        <f t="shared" si="0"/>
        <v>100</v>
      </c>
      <c r="T14" s="1567" t="s">
        <v>11</v>
      </c>
      <c r="U14" s="1568">
        <f t="shared" si="1"/>
        <v>100</v>
      </c>
      <c r="V14" s="1567" t="s">
        <v>11</v>
      </c>
      <c r="W14" s="1568">
        <f t="shared" si="2"/>
        <v>100</v>
      </c>
      <c r="X14" s="1569"/>
      <c r="Y14" s="3349"/>
      <c r="Z14" s="1149">
        <f t="shared" si="7"/>
        <v>111</v>
      </c>
      <c r="AA14" s="1570">
        <f t="shared" si="3"/>
        <v>1</v>
      </c>
      <c r="AB14" s="1570">
        <f t="shared" si="4"/>
        <v>1</v>
      </c>
      <c r="AC14" s="1570">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443" t="s">
        <v>540</v>
      </c>
      <c r="Q15" s="1571" t="str">
        <f t="shared" si="6"/>
        <v>居住社区成熟度</v>
      </c>
      <c r="R15" s="1572" t="s">
        <v>11</v>
      </c>
      <c r="S15" s="1573">
        <f t="shared" si="0"/>
        <v>100</v>
      </c>
      <c r="T15" s="1572" t="s">
        <v>11</v>
      </c>
      <c r="U15" s="1573">
        <f t="shared" si="1"/>
        <v>100</v>
      </c>
      <c r="V15" s="1572" t="s">
        <v>11</v>
      </c>
      <c r="W15" s="1573">
        <f t="shared" si="2"/>
        <v>100</v>
      </c>
      <c r="X15" s="1566"/>
      <c r="Y15" s="3443" t="s">
        <v>540</v>
      </c>
      <c r="Z15" s="1574" t="str">
        <f t="shared" si="7"/>
        <v>居住社区成熟度</v>
      </c>
      <c r="AA15" s="1575">
        <f t="shared" si="3"/>
        <v>1</v>
      </c>
      <c r="AB15" s="1575">
        <f t="shared" si="4"/>
        <v>1</v>
      </c>
      <c r="AC15" s="1575">
        <f t="shared" si="5"/>
        <v>1</v>
      </c>
    </row>
    <row r="16" spans="1:29" ht="15">
      <c r="A16" s="532"/>
      <c r="B16" s="869"/>
      <c r="C16" s="576" t="s">
        <v>3108</v>
      </c>
      <c r="D16" s="555"/>
      <c r="E16" s="576" t="s">
        <v>3108</v>
      </c>
      <c r="F16" s="557"/>
      <c r="G16" s="576" t="s">
        <v>3108</v>
      </c>
      <c r="H16" s="559"/>
      <c r="I16" s="576" t="s">
        <v>3108</v>
      </c>
      <c r="J16" s="555"/>
      <c r="K16" s="870"/>
      <c r="L16" s="2141"/>
      <c r="M16" s="2133"/>
      <c r="N16" s="2133"/>
      <c r="O16" s="2140"/>
      <c r="P16" s="3444"/>
      <c r="Q16" s="1571"/>
      <c r="R16" s="1572"/>
      <c r="S16" s="1573"/>
      <c r="T16" s="1572"/>
      <c r="U16" s="1573"/>
      <c r="V16" s="1572"/>
      <c r="W16" s="1573"/>
      <c r="X16" s="1566"/>
      <c r="Y16" s="3444"/>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444"/>
      <c r="Q17" s="1571" t="str">
        <f>B17</f>
        <v>交通便捷度</v>
      </c>
      <c r="R17" s="1572" t="s">
        <v>11</v>
      </c>
      <c r="S17" s="1573">
        <f>F17</f>
        <v>100</v>
      </c>
      <c r="T17" s="1572" t="s">
        <v>11</v>
      </c>
      <c r="U17" s="1573">
        <f>H17</f>
        <v>100</v>
      </c>
      <c r="V17" s="1572" t="s">
        <v>11</v>
      </c>
      <c r="W17" s="1573">
        <f>J17</f>
        <v>100</v>
      </c>
      <c r="X17" s="1566"/>
      <c r="Y17" s="3444"/>
      <c r="Z17" s="1574" t="str">
        <f>Q17</f>
        <v>交通便捷度</v>
      </c>
      <c r="AA17" s="1575">
        <f t="shared" si="3"/>
        <v>1</v>
      </c>
      <c r="AB17" s="1575">
        <f t="shared" si="4"/>
        <v>1</v>
      </c>
      <c r="AC17" s="1575">
        <f t="shared" si="5"/>
        <v>1</v>
      </c>
    </row>
    <row r="18" spans="1:29" ht="15">
      <c r="A18" s="532"/>
      <c r="B18" s="595"/>
      <c r="C18" s="576" t="s">
        <v>3108</v>
      </c>
      <c r="D18" s="559"/>
      <c r="E18" s="576" t="s">
        <v>3108</v>
      </c>
      <c r="F18" s="563"/>
      <c r="G18" s="576" t="s">
        <v>3108</v>
      </c>
      <c r="H18" s="555"/>
      <c r="I18" s="576" t="s">
        <v>3108</v>
      </c>
      <c r="J18" s="555"/>
      <c r="K18" s="870"/>
      <c r="L18" s="2141"/>
      <c r="M18" s="2133"/>
      <c r="N18" s="2133"/>
      <c r="O18" s="2140"/>
      <c r="P18" s="3444"/>
      <c r="Q18" s="1571"/>
      <c r="R18" s="1572"/>
      <c r="S18" s="1573"/>
      <c r="T18" s="1572"/>
      <c r="U18" s="1573"/>
      <c r="V18" s="1572"/>
      <c r="W18" s="1573"/>
      <c r="X18" s="1566"/>
      <c r="Y18" s="3444"/>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1"/>
      <c r="M19" s="2133"/>
      <c r="N19" s="2133"/>
      <c r="O19" s="2140"/>
      <c r="P19" s="3444"/>
      <c r="Q19" s="1571" t="str">
        <f>B19</f>
        <v>公共配套设施</v>
      </c>
      <c r="R19" s="1572" t="s">
        <v>11</v>
      </c>
      <c r="S19" s="1573">
        <f>F19</f>
        <v>100</v>
      </c>
      <c r="T19" s="1572" t="s">
        <v>11</v>
      </c>
      <c r="U19" s="1573">
        <f>H19</f>
        <v>100</v>
      </c>
      <c r="V19" s="1572" t="s">
        <v>11</v>
      </c>
      <c r="W19" s="1573">
        <f>J19</f>
        <v>100</v>
      </c>
      <c r="X19" s="1566"/>
      <c r="Y19" s="3444"/>
      <c r="Z19" s="1574" t="str">
        <f>Q19</f>
        <v>公共配套设施</v>
      </c>
      <c r="AA19" s="1575">
        <f t="shared" si="3"/>
        <v>1</v>
      </c>
      <c r="AB19" s="1575">
        <f t="shared" si="4"/>
        <v>1</v>
      </c>
      <c r="AC19" s="1575">
        <f t="shared" si="5"/>
        <v>1</v>
      </c>
    </row>
    <row r="20" spans="1:29" ht="15">
      <c r="A20" s="532"/>
      <c r="B20" s="595"/>
      <c r="C20" s="576" t="s">
        <v>3108</v>
      </c>
      <c r="D20" s="555"/>
      <c r="E20" s="576" t="s">
        <v>3108</v>
      </c>
      <c r="F20" s="557"/>
      <c r="G20" s="576" t="s">
        <v>3108</v>
      </c>
      <c r="H20" s="555"/>
      <c r="I20" s="576" t="s">
        <v>3108</v>
      </c>
      <c r="J20" s="555"/>
      <c r="K20" s="870"/>
      <c r="L20" s="2141"/>
      <c r="M20" s="2133"/>
      <c r="N20" s="2133"/>
      <c r="O20" s="2140"/>
      <c r="P20" s="3444"/>
      <c r="Q20" s="1571"/>
      <c r="R20" s="1572"/>
      <c r="S20" s="1573"/>
      <c r="T20" s="1572"/>
      <c r="U20" s="1573"/>
      <c r="V20" s="1572"/>
      <c r="W20" s="1573"/>
      <c r="X20" s="1566"/>
      <c r="Y20" s="3444"/>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1"/>
      <c r="M21" s="2133"/>
      <c r="N21" s="2133"/>
      <c r="O21" s="2140"/>
      <c r="P21" s="3444"/>
      <c r="Q21" s="2557" t="str">
        <f>B21</f>
        <v>基础设施水平</v>
      </c>
      <c r="R21" s="1572" t="s">
        <v>11</v>
      </c>
      <c r="S21" s="1573">
        <f>F21</f>
        <v>100</v>
      </c>
      <c r="T21" s="1572" t="s">
        <v>11</v>
      </c>
      <c r="U21" s="1573">
        <f>H21</f>
        <v>100</v>
      </c>
      <c r="V21" s="1572" t="s">
        <v>11</v>
      </c>
      <c r="W21" s="1573">
        <f>J21</f>
        <v>100</v>
      </c>
      <c r="X21" s="2559"/>
      <c r="Y21" s="3444"/>
      <c r="Z21" s="2558" t="str">
        <f>Q21</f>
        <v>基础设施水平</v>
      </c>
      <c r="AA21" s="1575">
        <f t="shared" ref="AA21" si="8">D21/F21</f>
        <v>1</v>
      </c>
      <c r="AB21" s="1575">
        <f t="shared" ref="AB21" si="9">D21/H21</f>
        <v>1</v>
      </c>
      <c r="AC21" s="1575">
        <f t="shared" ref="AC21" si="10">D21/J21</f>
        <v>1</v>
      </c>
    </row>
    <row r="22" spans="1:29" ht="15">
      <c r="A22" s="532"/>
      <c r="B22" s="921"/>
      <c r="C22" s="873" t="s">
        <v>3130</v>
      </c>
      <c r="D22" s="555"/>
      <c r="E22" s="873" t="s">
        <v>3130</v>
      </c>
      <c r="F22" s="557"/>
      <c r="G22" s="873" t="s">
        <v>3130</v>
      </c>
      <c r="H22" s="555"/>
      <c r="I22" s="873" t="s">
        <v>3130</v>
      </c>
      <c r="J22" s="555"/>
      <c r="K22" s="2577"/>
      <c r="L22" s="2141"/>
      <c r="M22" s="2133"/>
      <c r="N22" s="2133"/>
      <c r="O22" s="2140"/>
      <c r="P22" s="3444"/>
      <c r="Q22" s="2557"/>
      <c r="R22" s="1572"/>
      <c r="S22" s="1573"/>
      <c r="T22" s="1572"/>
      <c r="U22" s="1573"/>
      <c r="V22" s="1572"/>
      <c r="W22" s="1573"/>
      <c r="X22" s="2559"/>
      <c r="Y22" s="3444"/>
      <c r="Z22" s="2558"/>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1"/>
      <c r="M23" s="2133"/>
      <c r="N23" s="2133"/>
      <c r="O23" s="2140"/>
      <c r="P23" s="3444"/>
      <c r="Q23" s="1571" t="str">
        <f>B23</f>
        <v>自然及人文环境</v>
      </c>
      <c r="R23" s="1572" t="s">
        <v>11</v>
      </c>
      <c r="S23" s="1573">
        <f>F23</f>
        <v>100</v>
      </c>
      <c r="T23" s="1572" t="s">
        <v>11</v>
      </c>
      <c r="U23" s="1573">
        <f>H23</f>
        <v>100</v>
      </c>
      <c r="V23" s="1572" t="s">
        <v>11</v>
      </c>
      <c r="W23" s="1573">
        <f>J23</f>
        <v>100</v>
      </c>
      <c r="X23" s="1566"/>
      <c r="Y23" s="3444"/>
      <c r="Z23" s="1574" t="str">
        <f>Q23</f>
        <v>自然及人文环境</v>
      </c>
      <c r="AA23" s="1575">
        <f t="shared" si="3"/>
        <v>1</v>
      </c>
      <c r="AB23" s="1575">
        <f t="shared" si="4"/>
        <v>1</v>
      </c>
      <c r="AC23" s="1575">
        <f t="shared" si="5"/>
        <v>1</v>
      </c>
    </row>
    <row r="24" spans="1:29" ht="15.75" thickBot="1">
      <c r="A24" s="532"/>
      <c r="B24" s="595"/>
      <c r="C24" s="576" t="s">
        <v>3108</v>
      </c>
      <c r="D24" s="555"/>
      <c r="E24" s="576" t="s">
        <v>3108</v>
      </c>
      <c r="F24" s="557"/>
      <c r="G24" s="576" t="s">
        <v>3108</v>
      </c>
      <c r="H24" s="555"/>
      <c r="I24" s="576" t="s">
        <v>3108</v>
      </c>
      <c r="J24" s="555"/>
      <c r="K24" s="870"/>
      <c r="L24" s="2141"/>
      <c r="M24" s="2133"/>
      <c r="N24" s="2133"/>
      <c r="O24" s="2140"/>
      <c r="P24" s="3444"/>
      <c r="Q24" s="1571"/>
      <c r="R24" s="1572"/>
      <c r="S24" s="1573"/>
      <c r="T24" s="1572"/>
      <c r="U24" s="1573"/>
      <c r="V24" s="1572"/>
      <c r="W24" s="1573"/>
      <c r="X24" s="1566"/>
      <c r="Y24" s="3444"/>
      <c r="Z24" s="1574"/>
      <c r="AA24" s="1575">
        <v>1</v>
      </c>
      <c r="AB24" s="1575">
        <v>1</v>
      </c>
      <c r="AC24" s="1575">
        <v>1</v>
      </c>
    </row>
    <row r="25" spans="1:29" ht="15" hidden="1">
      <c r="A25" s="532"/>
      <c r="B25" s="1894" t="s">
        <v>2257</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44"/>
      <c r="Q25" s="1571" t="str">
        <f t="shared" ref="Q25:Q46" si="11">B25</f>
        <v>楼层-1</v>
      </c>
      <c r="R25" s="1572" t="s">
        <v>11</v>
      </c>
      <c r="S25" s="1573">
        <f>F25</f>
        <v>100</v>
      </c>
      <c r="T25" s="1572" t="s">
        <v>11</v>
      </c>
      <c r="U25" s="1573">
        <f>H25</f>
        <v>100</v>
      </c>
      <c r="V25" s="1572" t="s">
        <v>11</v>
      </c>
      <c r="W25" s="1573">
        <f>J25</f>
        <v>100</v>
      </c>
      <c r="X25" s="1566"/>
      <c r="Y25" s="3444"/>
      <c r="Z25" s="1574" t="str">
        <f>Q25</f>
        <v>楼层-1</v>
      </c>
      <c r="AA25" s="1575">
        <f t="shared" si="3"/>
        <v>1</v>
      </c>
      <c r="AB25" s="1575">
        <f t="shared" si="4"/>
        <v>1</v>
      </c>
      <c r="AC25" s="1575">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44"/>
      <c r="Q26" s="1571" t="str">
        <f t="shared" si="11"/>
        <v>朝向</v>
      </c>
      <c r="R26" s="1572" t="s">
        <v>11</v>
      </c>
      <c r="S26" s="1573">
        <f>F26</f>
        <v>100</v>
      </c>
      <c r="T26" s="1572" t="s">
        <v>11</v>
      </c>
      <c r="U26" s="1573">
        <f>H26</f>
        <v>100</v>
      </c>
      <c r="V26" s="1572" t="s">
        <v>11</v>
      </c>
      <c r="W26" s="1573">
        <f>J26</f>
        <v>100</v>
      </c>
      <c r="X26" s="1566"/>
      <c r="Y26" s="3444"/>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44"/>
      <c r="Q27" s="1150" t="str">
        <f t="shared" si="11"/>
        <v>道路级别</v>
      </c>
      <c r="R27" s="1567" t="s">
        <v>11</v>
      </c>
      <c r="S27" s="1568">
        <f>F27</f>
        <v>100</v>
      </c>
      <c r="T27" s="1567" t="s">
        <v>11</v>
      </c>
      <c r="U27" s="1568">
        <f>H27</f>
        <v>100</v>
      </c>
      <c r="V27" s="1567" t="s">
        <v>11</v>
      </c>
      <c r="W27" s="1568">
        <f>J27</f>
        <v>100</v>
      </c>
      <c r="X27" s="1569"/>
      <c r="Y27" s="3444"/>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4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4"/>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44"/>
      <c r="Q29" s="1571">
        <f t="shared" si="11"/>
        <v>111</v>
      </c>
      <c r="R29" s="1572" t="s">
        <v>11</v>
      </c>
      <c r="S29" s="1573">
        <f t="shared" si="12"/>
        <v>100</v>
      </c>
      <c r="T29" s="1572" t="s">
        <v>11</v>
      </c>
      <c r="U29" s="1573">
        <f t="shared" si="13"/>
        <v>100</v>
      </c>
      <c r="V29" s="1572" t="s">
        <v>11</v>
      </c>
      <c r="W29" s="1573">
        <f t="shared" si="14"/>
        <v>100</v>
      </c>
      <c r="X29" s="1566"/>
      <c r="Y29" s="3444"/>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44"/>
      <c r="Q30" s="1571">
        <f t="shared" si="11"/>
        <v>111</v>
      </c>
      <c r="R30" s="1572" t="s">
        <v>11</v>
      </c>
      <c r="S30" s="1573">
        <f t="shared" si="12"/>
        <v>100</v>
      </c>
      <c r="T30" s="1572" t="s">
        <v>11</v>
      </c>
      <c r="U30" s="1573">
        <f t="shared" si="13"/>
        <v>100</v>
      </c>
      <c r="V30" s="1572" t="s">
        <v>11</v>
      </c>
      <c r="W30" s="1573">
        <f t="shared" si="14"/>
        <v>100</v>
      </c>
      <c r="X30" s="1566"/>
      <c r="Y30" s="3444"/>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44"/>
      <c r="Q31" s="1571">
        <f t="shared" si="11"/>
        <v>111</v>
      </c>
      <c r="R31" s="1572" t="s">
        <v>11</v>
      </c>
      <c r="S31" s="1573">
        <f t="shared" si="12"/>
        <v>100</v>
      </c>
      <c r="T31" s="1572" t="s">
        <v>11</v>
      </c>
      <c r="U31" s="1573">
        <f t="shared" si="13"/>
        <v>100</v>
      </c>
      <c r="V31" s="1572" t="s">
        <v>11</v>
      </c>
      <c r="W31" s="1573">
        <f t="shared" si="14"/>
        <v>100</v>
      </c>
      <c r="X31" s="1566"/>
      <c r="Y31" s="3444"/>
      <c r="Z31" s="1574">
        <f t="shared" si="15"/>
        <v>111</v>
      </c>
      <c r="AA31" s="1575">
        <f t="shared" si="3"/>
        <v>1</v>
      </c>
      <c r="AB31" s="1575">
        <f t="shared" si="4"/>
        <v>1</v>
      </c>
      <c r="AC31" s="1575">
        <f t="shared" si="5"/>
        <v>1</v>
      </c>
    </row>
    <row r="32" spans="1:29" ht="15">
      <c r="A32" s="2885" t="s">
        <v>2756</v>
      </c>
      <c r="B32" s="172" t="s">
        <v>725</v>
      </c>
      <c r="C32" s="878" t="s">
        <v>3147</v>
      </c>
      <c r="D32" s="597">
        <v>100</v>
      </c>
      <c r="E32" s="878" t="s">
        <v>3147</v>
      </c>
      <c r="F32" s="575">
        <f>SUMIF(100:100,E32,101:101)-SUMIF(100:100,C32,101:101)+100</f>
        <v>100</v>
      </c>
      <c r="G32" s="878" t="s">
        <v>3147</v>
      </c>
      <c r="H32" s="597">
        <f>SUMIF(100:100,G32,101:101)-SUMIF(100:100,C32,101:101)+100</f>
        <v>100</v>
      </c>
      <c r="I32" s="878" t="s">
        <v>3147</v>
      </c>
      <c r="J32" s="540">
        <f>SUMIF(100:100,I32,101:101)-SUMIF(100:100,C32,101:101)+100</f>
        <v>100</v>
      </c>
      <c r="K32" s="864">
        <v>2</v>
      </c>
      <c r="L32" s="2141"/>
      <c r="M32" s="2133"/>
      <c r="N32" s="2133"/>
      <c r="O32" s="2140"/>
      <c r="P32" s="3445" t="s">
        <v>550</v>
      </c>
      <c r="Q32" s="1571" t="str">
        <f t="shared" si="11"/>
        <v>建筑类型</v>
      </c>
      <c r="R32" s="1572" t="s">
        <v>11</v>
      </c>
      <c r="S32" s="1573">
        <f t="shared" si="12"/>
        <v>100</v>
      </c>
      <c r="T32" s="1572" t="s">
        <v>11</v>
      </c>
      <c r="U32" s="1573">
        <f t="shared" si="13"/>
        <v>100</v>
      </c>
      <c r="V32" s="1572" t="s">
        <v>11</v>
      </c>
      <c r="W32" s="1573">
        <f t="shared" si="14"/>
        <v>100</v>
      </c>
      <c r="X32" s="1566"/>
      <c r="Y32" s="3446" t="s">
        <v>550</v>
      </c>
      <c r="Z32" s="1574" t="str">
        <f t="shared" si="15"/>
        <v>建筑类型</v>
      </c>
      <c r="AA32" s="1575">
        <f t="shared" si="3"/>
        <v>1</v>
      </c>
      <c r="AB32" s="1575">
        <f t="shared" si="4"/>
        <v>1</v>
      </c>
      <c r="AC32" s="1575">
        <f t="shared" si="5"/>
        <v>1</v>
      </c>
    </row>
    <row r="33" spans="1:29" s="1338" customFormat="1" ht="15">
      <c r="A33" s="603"/>
      <c r="B33" s="527" t="s">
        <v>726</v>
      </c>
      <c r="C33" s="879">
        <f>'数据-汇总表'!E3</f>
        <v>180817</v>
      </c>
      <c r="D33" s="255">
        <v>100</v>
      </c>
      <c r="E33" s="534">
        <v>450000</v>
      </c>
      <c r="F33" s="863">
        <f>LOOKUP(E33,103:103,104:104)-LOOKUP(C33,103:103,104:104)+100</f>
        <v>100</v>
      </c>
      <c r="G33" s="533">
        <v>115453.71</v>
      </c>
      <c r="H33" s="255">
        <f>LOOKUP(G33,103:103,104:104)-LOOKUP(C33,103:103,104:104)+100</f>
        <v>100</v>
      </c>
      <c r="I33" s="534">
        <v>150000</v>
      </c>
      <c r="J33" s="255">
        <f>LOOKUP(I33,103:103,104:104)-LOOKUP(C33,103:103,104:104)+100</f>
        <v>100</v>
      </c>
      <c r="K33" s="865"/>
      <c r="L33" s="2139"/>
      <c r="M33" s="2170"/>
      <c r="N33" s="2170"/>
      <c r="O33" s="2142"/>
      <c r="P33" s="3446"/>
      <c r="Q33" s="1604" t="str">
        <f t="shared" si="11"/>
        <v>项目建筑规模</v>
      </c>
      <c r="R33" s="1576" t="s">
        <v>11</v>
      </c>
      <c r="S33" s="1577">
        <f t="shared" si="12"/>
        <v>100</v>
      </c>
      <c r="T33" s="1576" t="s">
        <v>11</v>
      </c>
      <c r="U33" s="1577">
        <f t="shared" si="13"/>
        <v>100</v>
      </c>
      <c r="V33" s="1576" t="s">
        <v>11</v>
      </c>
      <c r="W33" s="1577">
        <f t="shared" si="14"/>
        <v>100</v>
      </c>
      <c r="X33" s="1578"/>
      <c r="Y33" s="3446"/>
      <c r="Z33" s="1579" t="str">
        <f t="shared" si="15"/>
        <v>项目建筑规模</v>
      </c>
      <c r="AA33" s="1575">
        <f t="shared" si="3"/>
        <v>1</v>
      </c>
      <c r="AB33" s="1575">
        <f t="shared" si="4"/>
        <v>1</v>
      </c>
      <c r="AC33" s="1575">
        <f t="shared" si="5"/>
        <v>1</v>
      </c>
    </row>
    <row r="34" spans="1:29" ht="15">
      <c r="A34" s="594"/>
      <c r="B34" s="527" t="s">
        <v>727</v>
      </c>
      <c r="C34" s="880" t="s">
        <v>3129</v>
      </c>
      <c r="D34" s="540">
        <v>100</v>
      </c>
      <c r="E34" s="880" t="s">
        <v>3129</v>
      </c>
      <c r="F34" s="575">
        <f>SUMIF(105:105,E34,106:106)-SUMIF(105:105,C34,106:106)+100</f>
        <v>100</v>
      </c>
      <c r="G34" s="880" t="s">
        <v>3129</v>
      </c>
      <c r="H34" s="540">
        <f>SUMIF(105:105,G34,106:106)-SUMIF(105:105,C34,106:106)+100</f>
        <v>100</v>
      </c>
      <c r="I34" s="880" t="s">
        <v>3129</v>
      </c>
      <c r="J34" s="540">
        <f>SUMIF(105:105,I34,106:106)-SUMIF(105:105,C34,106:106)+100</f>
        <v>100</v>
      </c>
      <c r="K34" s="864">
        <v>2</v>
      </c>
      <c r="L34" s="2141"/>
      <c r="M34" s="2133"/>
      <c r="N34" s="2133"/>
      <c r="O34" s="2140"/>
      <c r="P34" s="3446"/>
      <c r="Q34" s="1571" t="str">
        <f t="shared" si="11"/>
        <v>建筑结构</v>
      </c>
      <c r="R34" s="1572" t="s">
        <v>11</v>
      </c>
      <c r="S34" s="1573">
        <f t="shared" si="12"/>
        <v>100</v>
      </c>
      <c r="T34" s="1572" t="s">
        <v>11</v>
      </c>
      <c r="U34" s="1573">
        <f t="shared" si="13"/>
        <v>100</v>
      </c>
      <c r="V34" s="1572" t="s">
        <v>11</v>
      </c>
      <c r="W34" s="1573">
        <f t="shared" si="14"/>
        <v>100</v>
      </c>
      <c r="X34" s="1566"/>
      <c r="Y34" s="3446"/>
      <c r="Z34" s="1574" t="str">
        <f t="shared" si="15"/>
        <v>建筑结构</v>
      </c>
      <c r="AA34" s="1575">
        <f t="shared" si="3"/>
        <v>1</v>
      </c>
      <c r="AB34" s="1575">
        <f t="shared" si="4"/>
        <v>1</v>
      </c>
      <c r="AC34" s="1575">
        <f t="shared" si="5"/>
        <v>1</v>
      </c>
    </row>
    <row r="35" spans="1:29" ht="15">
      <c r="A35" s="594"/>
      <c r="B35" s="527" t="s">
        <v>728</v>
      </c>
      <c r="C35" s="599" t="s">
        <v>3109</v>
      </c>
      <c r="D35" s="540">
        <v>100</v>
      </c>
      <c r="E35" s="599" t="s">
        <v>3109</v>
      </c>
      <c r="F35" s="575">
        <f>SUMIF(107:107,E35,108:108)-SUMIF(107:107,C35,108:108)+100</f>
        <v>100</v>
      </c>
      <c r="G35" s="599" t="s">
        <v>3108</v>
      </c>
      <c r="H35" s="540">
        <f>SUMIF(107:107,G35,108:108)-SUMIF(107:107,C35,108:108)+100</f>
        <v>105</v>
      </c>
      <c r="I35" s="599" t="s">
        <v>3108</v>
      </c>
      <c r="J35" s="540">
        <f>SUMIF(107:107,I35,108:108)-SUMIF(107:107,C35,108:108)+100</f>
        <v>105</v>
      </c>
      <c r="K35" s="864">
        <v>5</v>
      </c>
      <c r="L35" s="2141"/>
      <c r="M35" s="2133"/>
      <c r="N35" s="2133"/>
      <c r="O35" s="2140"/>
      <c r="P35" s="3446"/>
      <c r="Q35" s="1571" t="str">
        <f t="shared" si="11"/>
        <v>建筑品质</v>
      </c>
      <c r="R35" s="1572" t="s">
        <v>11</v>
      </c>
      <c r="S35" s="1573">
        <f t="shared" si="12"/>
        <v>100</v>
      </c>
      <c r="T35" s="1572" t="s">
        <v>11</v>
      </c>
      <c r="U35" s="1573">
        <f t="shared" si="13"/>
        <v>105</v>
      </c>
      <c r="V35" s="1572" t="s">
        <v>11</v>
      </c>
      <c r="W35" s="1573">
        <f t="shared" si="14"/>
        <v>105</v>
      </c>
      <c r="X35" s="1566"/>
      <c r="Y35" s="3446"/>
      <c r="Z35" s="1574" t="str">
        <f t="shared" si="15"/>
        <v>建筑品质</v>
      </c>
      <c r="AA35" s="1575">
        <f t="shared" si="3"/>
        <v>1</v>
      </c>
      <c r="AB35" s="1575">
        <f t="shared" si="4"/>
        <v>0.95238095238095233</v>
      </c>
      <c r="AC35" s="1575">
        <f t="shared" si="5"/>
        <v>0.95238095238095233</v>
      </c>
    </row>
    <row r="36" spans="1:29" ht="15">
      <c r="A36" s="594"/>
      <c r="B36" s="527" t="s">
        <v>729</v>
      </c>
      <c r="C36" s="599" t="s">
        <v>3140</v>
      </c>
      <c r="D36" s="540">
        <v>100</v>
      </c>
      <c r="E36" s="599" t="s">
        <v>3140</v>
      </c>
      <c r="F36" s="575">
        <f>SUMIF(109:109,E36,110:110)-SUMIF(109:109,C36,110:110)+100</f>
        <v>100</v>
      </c>
      <c r="G36" s="599" t="s">
        <v>3140</v>
      </c>
      <c r="H36" s="540">
        <f>SUMIF(109:109,G36,110:110)-SUMIF(109:109,C36,110:110)+100</f>
        <v>100</v>
      </c>
      <c r="I36" s="599" t="s">
        <v>3140</v>
      </c>
      <c r="J36" s="540">
        <f>SUMIF(109:109,I36,110:110)-SUMIF(109:109,C36,110:110)+100</f>
        <v>100</v>
      </c>
      <c r="K36" s="864">
        <v>2</v>
      </c>
      <c r="L36" s="2141"/>
      <c r="M36" s="2133"/>
      <c r="N36" s="2133"/>
      <c r="O36" s="2140"/>
      <c r="P36" s="3446"/>
      <c r="Q36" s="1571" t="str">
        <f t="shared" si="11"/>
        <v>公共部分装修</v>
      </c>
      <c r="R36" s="1572" t="s">
        <v>11</v>
      </c>
      <c r="S36" s="1573">
        <f t="shared" si="12"/>
        <v>100</v>
      </c>
      <c r="T36" s="1572" t="s">
        <v>11</v>
      </c>
      <c r="U36" s="1573">
        <f t="shared" si="13"/>
        <v>100</v>
      </c>
      <c r="V36" s="1572" t="s">
        <v>11</v>
      </c>
      <c r="W36" s="1573">
        <f t="shared" si="14"/>
        <v>100</v>
      </c>
      <c r="X36" s="1566"/>
      <c r="Y36" s="3446"/>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46"/>
      <c r="Q37" s="1150" t="str">
        <f t="shared" si="11"/>
        <v>成新度</v>
      </c>
      <c r="R37" s="1567" t="s">
        <v>11</v>
      </c>
      <c r="S37" s="1568">
        <f t="shared" si="12"/>
        <v>100</v>
      </c>
      <c r="T37" s="1567" t="s">
        <v>11</v>
      </c>
      <c r="U37" s="1568">
        <f t="shared" si="13"/>
        <v>100</v>
      </c>
      <c r="V37" s="1567" t="s">
        <v>11</v>
      </c>
      <c r="W37" s="1568">
        <f t="shared" si="14"/>
        <v>100</v>
      </c>
      <c r="X37" s="1569"/>
      <c r="Y37" s="3446"/>
      <c r="Z37" s="1149" t="str">
        <f t="shared" si="15"/>
        <v>成新度</v>
      </c>
      <c r="AA37" s="1570">
        <f t="shared" si="3"/>
        <v>1</v>
      </c>
      <c r="AB37" s="1570">
        <f t="shared" si="4"/>
        <v>1</v>
      </c>
      <c r="AC37" s="1570">
        <f t="shared" si="5"/>
        <v>1</v>
      </c>
    </row>
    <row r="38" spans="1:29" ht="15">
      <c r="A38" s="594"/>
      <c r="B38" s="527" t="s">
        <v>731</v>
      </c>
      <c r="C38" s="599" t="s">
        <v>3138</v>
      </c>
      <c r="D38" s="540">
        <v>100</v>
      </c>
      <c r="E38" s="599" t="s">
        <v>3138</v>
      </c>
      <c r="F38" s="575">
        <f>SUMIF(114:114,E38,115:115)-SUMIF(114:114,C38,115:115)+100</f>
        <v>100</v>
      </c>
      <c r="G38" s="599" t="s">
        <v>3138</v>
      </c>
      <c r="H38" s="540">
        <f>SUMIF(114:114,G38,115:115)-SUMIF(114:114,C38,115:115)+100</f>
        <v>100</v>
      </c>
      <c r="I38" s="599" t="s">
        <v>3138</v>
      </c>
      <c r="J38" s="540">
        <f>SUMIF(114:114,I38,115:115)-SUMIF(114:114,C38,115:115)+100</f>
        <v>100</v>
      </c>
      <c r="K38" s="864">
        <v>2</v>
      </c>
      <c r="L38" s="2141"/>
      <c r="M38" s="2133"/>
      <c r="N38" s="2133"/>
      <c r="O38" s="2140"/>
      <c r="P38" s="3446" t="s">
        <v>550</v>
      </c>
      <c r="Q38" s="1571" t="str">
        <f t="shared" si="11"/>
        <v>物业管理</v>
      </c>
      <c r="R38" s="1572" t="s">
        <v>11</v>
      </c>
      <c r="S38" s="1573">
        <f t="shared" si="12"/>
        <v>100</v>
      </c>
      <c r="T38" s="1572" t="s">
        <v>11</v>
      </c>
      <c r="U38" s="1573">
        <f t="shared" si="13"/>
        <v>100</v>
      </c>
      <c r="V38" s="1572" t="s">
        <v>11</v>
      </c>
      <c r="W38" s="1573">
        <f t="shared" si="14"/>
        <v>100</v>
      </c>
      <c r="X38" s="1566"/>
      <c r="Y38" s="3446" t="s">
        <v>550</v>
      </c>
      <c r="Z38" s="1574" t="str">
        <f t="shared" si="15"/>
        <v>物业管理</v>
      </c>
      <c r="AA38" s="1575">
        <f t="shared" si="3"/>
        <v>1</v>
      </c>
      <c r="AB38" s="1575">
        <f t="shared" si="4"/>
        <v>1</v>
      </c>
      <c r="AC38" s="1575">
        <f t="shared" si="5"/>
        <v>1</v>
      </c>
    </row>
    <row r="39" spans="1:29" ht="15">
      <c r="A39" s="594"/>
      <c r="B39" s="1894" t="s">
        <v>2565</v>
      </c>
      <c r="C39" s="599" t="s">
        <v>3130</v>
      </c>
      <c r="D39" s="540">
        <v>100</v>
      </c>
      <c r="E39" s="599" t="s">
        <v>3130</v>
      </c>
      <c r="F39" s="575">
        <f>SUMIF(116:116,E39,117:117)-SUMIF(116:116,C39,117:117)+100</f>
        <v>100</v>
      </c>
      <c r="G39" s="599" t="s">
        <v>3130</v>
      </c>
      <c r="H39" s="540">
        <f>SUMIF(116:116,G39,117:117)-SUMIF(116:116,C39,117:117)+100</f>
        <v>100</v>
      </c>
      <c r="I39" s="599" t="s">
        <v>3130</v>
      </c>
      <c r="J39" s="540">
        <f>SUMIF(116:116,I39,117:117)-SUMIF(116:116,C39,117:117)+100</f>
        <v>100</v>
      </c>
      <c r="K39" s="864">
        <v>2</v>
      </c>
      <c r="L39" s="2141"/>
      <c r="M39" s="2133"/>
      <c r="N39" s="2133"/>
      <c r="O39" s="2140"/>
      <c r="P39" s="3446"/>
      <c r="Q39" s="1571" t="str">
        <f t="shared" si="11"/>
        <v>市政基础设施</v>
      </c>
      <c r="R39" s="1572" t="s">
        <v>11</v>
      </c>
      <c r="S39" s="1573">
        <f t="shared" si="12"/>
        <v>100</v>
      </c>
      <c r="T39" s="1572" t="s">
        <v>11</v>
      </c>
      <c r="U39" s="1573">
        <f t="shared" si="13"/>
        <v>100</v>
      </c>
      <c r="V39" s="1572" t="s">
        <v>11</v>
      </c>
      <c r="W39" s="1573">
        <f t="shared" si="14"/>
        <v>100</v>
      </c>
      <c r="X39" s="1566"/>
      <c r="Y39" s="3446"/>
      <c r="Z39" s="1574" t="str">
        <f t="shared" si="15"/>
        <v>市政基础设施</v>
      </c>
      <c r="AA39" s="1575">
        <f t="shared" si="3"/>
        <v>1</v>
      </c>
      <c r="AB39" s="1575">
        <f t="shared" si="4"/>
        <v>1</v>
      </c>
      <c r="AC39" s="1575">
        <f t="shared" si="5"/>
        <v>1</v>
      </c>
    </row>
    <row r="40" spans="1:29" ht="15">
      <c r="A40" s="594"/>
      <c r="B40" s="3229"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v>4</v>
      </c>
      <c r="L40" s="2141"/>
      <c r="M40" s="2133"/>
      <c r="N40" s="2133"/>
      <c r="O40" s="2140"/>
      <c r="P40" s="3446"/>
      <c r="Q40" s="1571" t="str">
        <f t="shared" si="11"/>
        <v>房型</v>
      </c>
      <c r="R40" s="1572" t="s">
        <v>11</v>
      </c>
      <c r="S40" s="1573">
        <f t="shared" si="12"/>
        <v>100</v>
      </c>
      <c r="T40" s="1572" t="s">
        <v>11</v>
      </c>
      <c r="U40" s="1573">
        <f t="shared" si="13"/>
        <v>100</v>
      </c>
      <c r="V40" s="1572" t="s">
        <v>11</v>
      </c>
      <c r="W40" s="1573">
        <f t="shared" si="14"/>
        <v>100</v>
      </c>
      <c r="X40" s="1566"/>
      <c r="Y40" s="3446"/>
      <c r="Z40" s="1574" t="str">
        <f t="shared" si="15"/>
        <v>房型</v>
      </c>
      <c r="AA40" s="1575">
        <f t="shared" si="3"/>
        <v>1</v>
      </c>
      <c r="AB40" s="1575">
        <f t="shared" si="4"/>
        <v>1</v>
      </c>
      <c r="AC40" s="1575">
        <f t="shared" si="5"/>
        <v>1</v>
      </c>
    </row>
    <row r="41" spans="1:29" s="1338" customFormat="1" ht="28.5">
      <c r="A41" s="603"/>
      <c r="B41" s="3229"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46"/>
      <c r="Q41" s="1604" t="str">
        <f t="shared" si="11"/>
        <v>单套/主力户型建筑面积</v>
      </c>
      <c r="R41" s="1576" t="s">
        <v>11</v>
      </c>
      <c r="S41" s="1577">
        <f t="shared" si="12"/>
        <v>100</v>
      </c>
      <c r="T41" s="1576" t="s">
        <v>11</v>
      </c>
      <c r="U41" s="1577">
        <f t="shared" si="13"/>
        <v>100</v>
      </c>
      <c r="V41" s="1576" t="s">
        <v>11</v>
      </c>
      <c r="W41" s="1577">
        <f t="shared" si="14"/>
        <v>100</v>
      </c>
      <c r="X41" s="1578"/>
      <c r="Y41" s="3446"/>
      <c r="Z41" s="1579" t="str">
        <f t="shared" si="15"/>
        <v>单套/主力户型建筑面积</v>
      </c>
      <c r="AA41" s="1575">
        <f t="shared" si="3"/>
        <v>1</v>
      </c>
      <c r="AB41" s="1575">
        <f t="shared" si="4"/>
        <v>1</v>
      </c>
      <c r="AC41" s="1575">
        <f t="shared" si="5"/>
        <v>1</v>
      </c>
    </row>
    <row r="42" spans="1:29" ht="15">
      <c r="A42" s="594"/>
      <c r="B42" s="527" t="s">
        <v>734</v>
      </c>
      <c r="C42" s="599" t="s">
        <v>3140</v>
      </c>
      <c r="D42" s="540">
        <v>100</v>
      </c>
      <c r="E42" s="874" t="s">
        <v>3144</v>
      </c>
      <c r="F42" s="575">
        <f>SUMIF(122:122,E42,123:123)-SUMIF(122:122,C42,123:123)+100</f>
        <v>97</v>
      </c>
      <c r="G42" s="599" t="s">
        <v>3140</v>
      </c>
      <c r="H42" s="540">
        <f>SUMIF(122:122,G42,123:123)-SUMIF(122:122,C42,123:123)+100</f>
        <v>100</v>
      </c>
      <c r="I42" s="874" t="s">
        <v>3140</v>
      </c>
      <c r="J42" s="540">
        <f>SUMIF(122:122,I42,123:123)-SUMIF(122:122,C42,123:123)+100</f>
        <v>100</v>
      </c>
      <c r="K42" s="864">
        <v>1</v>
      </c>
      <c r="L42" s="2141"/>
      <c r="M42" s="2133"/>
      <c r="N42" s="2133"/>
      <c r="O42" s="2140"/>
      <c r="P42" s="3446"/>
      <c r="Q42" s="1571" t="str">
        <f t="shared" si="11"/>
        <v>内部装修</v>
      </c>
      <c r="R42" s="1572" t="s">
        <v>11</v>
      </c>
      <c r="S42" s="1573">
        <f t="shared" si="12"/>
        <v>97</v>
      </c>
      <c r="T42" s="1572" t="s">
        <v>11</v>
      </c>
      <c r="U42" s="1573">
        <f t="shared" si="13"/>
        <v>100</v>
      </c>
      <c r="V42" s="1572" t="s">
        <v>11</v>
      </c>
      <c r="W42" s="1573">
        <f t="shared" si="14"/>
        <v>100</v>
      </c>
      <c r="X42" s="1566"/>
      <c r="Y42" s="3446"/>
      <c r="Z42" s="1574" t="str">
        <f t="shared" si="15"/>
        <v>内部装修</v>
      </c>
      <c r="AA42" s="1575">
        <f t="shared" si="3"/>
        <v>1.0309278350515463</v>
      </c>
      <c r="AB42" s="1575">
        <f t="shared" si="4"/>
        <v>1</v>
      </c>
      <c r="AC42" s="1575">
        <f t="shared" si="5"/>
        <v>1</v>
      </c>
    </row>
    <row r="43" spans="1:29" ht="27">
      <c r="A43" s="594"/>
      <c r="B43" s="527" t="s">
        <v>735</v>
      </c>
      <c r="C43" s="599" t="s">
        <v>3108</v>
      </c>
      <c r="D43" s="540">
        <v>100</v>
      </c>
      <c r="E43" s="599" t="s">
        <v>3108</v>
      </c>
      <c r="F43" s="575">
        <f>SUMIF(124:124,E43,125:125)-SUMIF(124:124,C43,125:125)+100</f>
        <v>100</v>
      </c>
      <c r="G43" s="599" t="s">
        <v>3108</v>
      </c>
      <c r="H43" s="540">
        <f>SUMIF(124:124,G43,125:125)-SUMIF(124:124,C43,125:125)+100</f>
        <v>100</v>
      </c>
      <c r="I43" s="599" t="s">
        <v>3108</v>
      </c>
      <c r="J43" s="540">
        <f>SUMIF(124:124,I43,125:125)-SUMIF(124:124,C43,125:125)+100</f>
        <v>100</v>
      </c>
      <c r="K43" s="864">
        <v>2</v>
      </c>
      <c r="L43" s="2141"/>
      <c r="M43" s="2133"/>
      <c r="N43" s="2133"/>
      <c r="O43" s="2140"/>
      <c r="P43" s="3446"/>
      <c r="Q43" s="1571" t="str">
        <f t="shared" si="11"/>
        <v>内部装修维护情况</v>
      </c>
      <c r="R43" s="1572" t="s">
        <v>11</v>
      </c>
      <c r="S43" s="1573">
        <f t="shared" si="12"/>
        <v>100</v>
      </c>
      <c r="T43" s="1572" t="s">
        <v>11</v>
      </c>
      <c r="U43" s="1573">
        <f t="shared" si="13"/>
        <v>100</v>
      </c>
      <c r="V43" s="1572" t="s">
        <v>11</v>
      </c>
      <c r="W43" s="1573">
        <f t="shared" si="14"/>
        <v>100</v>
      </c>
      <c r="X43" s="1566"/>
      <c r="Y43" s="3446"/>
      <c r="Z43" s="1574" t="str">
        <f t="shared" si="15"/>
        <v>内部装修维护情况</v>
      </c>
      <c r="AA43" s="1575">
        <f t="shared" si="3"/>
        <v>1</v>
      </c>
      <c r="AB43" s="1575">
        <f t="shared" si="4"/>
        <v>1</v>
      </c>
      <c r="AC43" s="1575">
        <f t="shared" si="5"/>
        <v>1</v>
      </c>
    </row>
    <row r="44" spans="1:29" s="1219" customFormat="1" ht="15">
      <c r="A44" s="600"/>
      <c r="B44" s="3232" t="s">
        <v>3177</v>
      </c>
      <c r="C44" s="3233" t="s">
        <v>3178</v>
      </c>
      <c r="D44" s="255">
        <v>100</v>
      </c>
      <c r="E44" s="3233" t="s">
        <v>3179</v>
      </c>
      <c r="F44" s="863">
        <f>SUMIF(126:126,E44,127:127)-SUMIF(126:126,C44,127:127)+100</f>
        <v>110</v>
      </c>
      <c r="G44" s="3233" t="s">
        <v>3179</v>
      </c>
      <c r="H44" s="255">
        <f>SUMIF(126:126,G44,127:127)-SUMIF(126:126,C44,127:127)+100</f>
        <v>110</v>
      </c>
      <c r="I44" s="3233" t="s">
        <v>3179</v>
      </c>
      <c r="J44" s="255">
        <f>SUMIF(126:126,I44,127:127)-SUMIF(126:126,C44,127:127)+100</f>
        <v>110</v>
      </c>
      <c r="K44" s="865"/>
      <c r="L44" s="2134"/>
      <c r="M44" s="2135"/>
      <c r="N44" s="2135"/>
      <c r="O44" s="2136"/>
      <c r="P44" s="3446"/>
      <c r="Q44" s="1150" t="str">
        <f t="shared" si="11"/>
        <v>社区品质</v>
      </c>
      <c r="R44" s="1567" t="s">
        <v>11</v>
      </c>
      <c r="S44" s="1568">
        <f t="shared" si="12"/>
        <v>110</v>
      </c>
      <c r="T44" s="1567" t="s">
        <v>11</v>
      </c>
      <c r="U44" s="1568">
        <f t="shared" si="13"/>
        <v>110</v>
      </c>
      <c r="V44" s="1567" t="s">
        <v>11</v>
      </c>
      <c r="W44" s="1568">
        <f t="shared" si="14"/>
        <v>110</v>
      </c>
      <c r="X44" s="1569"/>
      <c r="Y44" s="3446"/>
      <c r="Z44" s="1149" t="str">
        <f t="shared" si="15"/>
        <v>社区品质</v>
      </c>
      <c r="AA44" s="1570">
        <f t="shared" si="3"/>
        <v>0.90909090909090906</v>
      </c>
      <c r="AB44" s="1570">
        <f t="shared" si="4"/>
        <v>0.90909090909090906</v>
      </c>
      <c r="AC44" s="1570">
        <f t="shared" si="5"/>
        <v>0.90909090909090906</v>
      </c>
    </row>
    <row r="45" spans="1:29" ht="15">
      <c r="A45" s="594"/>
      <c r="B45" s="3232" t="s">
        <v>3180</v>
      </c>
      <c r="C45" s="3234" t="s">
        <v>3181</v>
      </c>
      <c r="D45" s="540">
        <v>100</v>
      </c>
      <c r="E45" s="3234" t="s">
        <v>3182</v>
      </c>
      <c r="F45" s="575">
        <f>SUMIF(128:128,E45,129:129)-SUMIF(128:128,C45,129:129)+100</f>
        <v>105</v>
      </c>
      <c r="G45" s="3234" t="s">
        <v>3182</v>
      </c>
      <c r="H45" s="540">
        <f>SUMIF(128:128,G45,129:129)-SUMIF(128:128,C45,129:129)+100</f>
        <v>105</v>
      </c>
      <c r="I45" s="3234" t="s">
        <v>3182</v>
      </c>
      <c r="J45" s="540">
        <f>SUMIF(128:128,I45,129:129)-SUMIF(128:128,C45,129:129)+100</f>
        <v>105</v>
      </c>
      <c r="K45" s="865"/>
      <c r="L45" s="2141"/>
      <c r="M45" s="2133"/>
      <c r="N45" s="2133"/>
      <c r="O45" s="2140"/>
      <c r="P45" s="3446"/>
      <c r="Q45" s="1571" t="str">
        <f t="shared" si="11"/>
        <v>房型种类</v>
      </c>
      <c r="R45" s="1572" t="s">
        <v>11</v>
      </c>
      <c r="S45" s="1573">
        <f t="shared" si="12"/>
        <v>105</v>
      </c>
      <c r="T45" s="1572" t="s">
        <v>11</v>
      </c>
      <c r="U45" s="1573">
        <f t="shared" si="13"/>
        <v>105</v>
      </c>
      <c r="V45" s="1572" t="s">
        <v>11</v>
      </c>
      <c r="W45" s="1573">
        <f t="shared" si="14"/>
        <v>105</v>
      </c>
      <c r="X45" s="1566"/>
      <c r="Y45" s="3446"/>
      <c r="Z45" s="1574" t="str">
        <f t="shared" si="15"/>
        <v>房型种类</v>
      </c>
      <c r="AA45" s="1575">
        <f t="shared" si="3"/>
        <v>0.95238095238095233</v>
      </c>
      <c r="AB45" s="1575">
        <f t="shared" si="4"/>
        <v>0.95238095238095233</v>
      </c>
      <c r="AC45" s="1575">
        <f t="shared" si="5"/>
        <v>0.95238095238095233</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0"/>
      <c r="Q46" s="1571">
        <f t="shared" si="11"/>
        <v>111</v>
      </c>
      <c r="R46" s="1572" t="s">
        <v>10</v>
      </c>
      <c r="S46" s="1573">
        <f t="shared" si="12"/>
        <v>100</v>
      </c>
      <c r="T46" s="1572" t="s">
        <v>10</v>
      </c>
      <c r="U46" s="1573">
        <f t="shared" si="13"/>
        <v>100</v>
      </c>
      <c r="V46" s="1572" t="s">
        <v>10</v>
      </c>
      <c r="W46" s="1573">
        <f t="shared" si="14"/>
        <v>100</v>
      </c>
      <c r="X46" s="1566"/>
      <c r="Y46" s="3500"/>
      <c r="Z46" s="1574">
        <f t="shared" si="15"/>
        <v>111</v>
      </c>
      <c r="AA46" s="1575">
        <f t="shared" si="3"/>
        <v>1</v>
      </c>
      <c r="AB46" s="1575">
        <f t="shared" si="4"/>
        <v>1</v>
      </c>
      <c r="AC46" s="1575">
        <f t="shared" si="5"/>
        <v>1</v>
      </c>
    </row>
    <row r="47" spans="1:29" ht="15">
      <c r="A47" s="607" t="s">
        <v>736</v>
      </c>
      <c r="B47" s="886"/>
      <c r="C47" s="2605" t="s">
        <v>9</v>
      </c>
      <c r="D47" s="2606"/>
      <c r="E47" s="2607">
        <f>ROUND(54000*0.97,0)</f>
        <v>52380</v>
      </c>
      <c r="F47" s="2608"/>
      <c r="G47" s="2609">
        <f>ROUND(60000*0.97,0)</f>
        <v>58200</v>
      </c>
      <c r="H47" s="2610"/>
      <c r="I47" s="2607">
        <f>ROUND(60000*0.97,0)</f>
        <v>58200</v>
      </c>
      <c r="J47" s="2610"/>
      <c r="K47" s="1605"/>
      <c r="L47" s="2143"/>
      <c r="M47" s="2144"/>
      <c r="N47" s="2133"/>
      <c r="O47" s="2144"/>
      <c r="P47" s="3409" t="str">
        <f>A47</f>
        <v>成交单价（元/平方米）</v>
      </c>
      <c r="Q47" s="3409"/>
      <c r="R47" s="3499">
        <f>E47</f>
        <v>52380</v>
      </c>
      <c r="S47" s="3499"/>
      <c r="T47" s="3499">
        <f>G47</f>
        <v>58200</v>
      </c>
      <c r="U47" s="3499"/>
      <c r="V47" s="3499">
        <f>I47</f>
        <v>58200</v>
      </c>
      <c r="W47" s="3499"/>
      <c r="X47" s="1558"/>
      <c r="Y47" s="1580"/>
      <c r="Z47" s="1558"/>
      <c r="AA47" s="1558"/>
      <c r="AB47" s="1558"/>
      <c r="AC47" s="1558"/>
    </row>
    <row r="48" spans="1:29" ht="15.75" thickBot="1">
      <c r="A48" s="615" t="s">
        <v>2761</v>
      </c>
      <c r="B48" s="887"/>
      <c r="C48" s="2611">
        <f>R49</f>
        <v>46427</v>
      </c>
      <c r="D48" s="2612"/>
      <c r="E48" s="2613">
        <f>R48</f>
        <v>45392</v>
      </c>
      <c r="F48" s="2613"/>
      <c r="G48" s="2611">
        <f>T48</f>
        <v>47063</v>
      </c>
      <c r="H48" s="2612"/>
      <c r="I48" s="2613">
        <f>V48</f>
        <v>46826</v>
      </c>
      <c r="J48" s="2612"/>
      <c r="K48" s="1606"/>
      <c r="L48" s="2143"/>
      <c r="M48" s="2144"/>
      <c r="N48" s="2144"/>
      <c r="O48" s="2144"/>
      <c r="P48" s="3409" t="str">
        <f>A48</f>
        <v>比较价格（元/平方米）</v>
      </c>
      <c r="Q48" s="3409"/>
      <c r="R48" s="3499">
        <f>IF(F1="售价",ROUND(PRODUCT(R47,AA7:AA46),0),ROUND(PRODUCT(R47,AA7:AA46),1))</f>
        <v>45392</v>
      </c>
      <c r="S48" s="3499"/>
      <c r="T48" s="3499">
        <f>IF(F1="售价",ROUND(PRODUCT(T47,AB7:AB46),0),ROUND(PRODUCT(T47,AB7:AB46),1))</f>
        <v>47063</v>
      </c>
      <c r="U48" s="3499"/>
      <c r="V48" s="3499">
        <f>IF(F1="售价",ROUND(PRODUCT(V47,AC7:AC46),0),ROUND(PRODUCT(V47,AC7:AC46),1))</f>
        <v>46826</v>
      </c>
      <c r="W48" s="3499"/>
      <c r="X48" s="1558"/>
      <c r="Y48" s="1558"/>
      <c r="Z48" s="1558"/>
      <c r="AA48" s="1558"/>
      <c r="AB48" s="1558"/>
      <c r="AC48" s="1558"/>
    </row>
    <row r="49" spans="1:29" ht="15.75" thickBot="1">
      <c r="A49" s="621" t="s">
        <v>2938</v>
      </c>
      <c r="B49" s="622"/>
      <c r="C49" s="2614">
        <f>R49</f>
        <v>46427</v>
      </c>
      <c r="D49" s="2614"/>
      <c r="E49" s="2614"/>
      <c r="F49" s="2614"/>
      <c r="G49" s="2614"/>
      <c r="H49" s="2614"/>
      <c r="I49" s="2614"/>
      <c r="J49" s="2614"/>
      <c r="K49" s="1607"/>
      <c r="L49" s="2143"/>
      <c r="M49" s="2144"/>
      <c r="N49" s="2144"/>
      <c r="O49" s="2144"/>
      <c r="P49" s="3406" t="str">
        <f>A49</f>
        <v>估价对象XX用房的比较价格（楼面单价，元/平方米）</v>
      </c>
      <c r="Q49" s="3407"/>
      <c r="R49" s="3498">
        <f>IF(F1="售价",ROUND(AVERAGE(R48:V48),0),ROUND(AVERAGE(R48:V48),1))</f>
        <v>46427</v>
      </c>
      <c r="S49" s="3498"/>
      <c r="T49" s="3498"/>
      <c r="U49" s="3498"/>
      <c r="V49" s="3498"/>
      <c r="W49" s="349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0.15394783221713082</v>
      </c>
      <c r="F52" s="627" t="str">
        <f>IF(OR(E52&gt;=0.3,E52&lt;=-0.3),"超过30%","")</f>
        <v/>
      </c>
      <c r="G52" s="626">
        <f>IF(G47&lt;G48,G48/G47-1,G47/G48-1)</f>
        <v>0.23664024817797413</v>
      </c>
      <c r="H52" s="627" t="str">
        <f>IF(OR(G52&gt;=0.3,G52&lt;=-0.3),"超过30%","")</f>
        <v/>
      </c>
      <c r="I52" s="626">
        <f>IF(I47&lt;I48,I48/I47-1,I47/I48-1)</f>
        <v>0.24289924400973817</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3.6812654212196039E-2</v>
      </c>
      <c r="F53" s="627" t="str">
        <f>IF(OR(E53&gt;=0.2,E53&lt;=-0.2),"超过20%","")</f>
        <v/>
      </c>
      <c r="G53" s="626">
        <f>IF(G48&lt;I48,I48/G48-1,G48/I48-1)</f>
        <v>5.0612907359159909E-3</v>
      </c>
      <c r="H53" s="627" t="str">
        <f>IF(OR(G53&gt;=0.2,G53&lt;=-0.2),"超过20%","")</f>
        <v/>
      </c>
      <c r="I53" s="626">
        <f>IF(I48&lt;E48,E48/I48-1,I48/E48-1)</f>
        <v>3.1591469862530808E-2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0.11111111111111116</v>
      </c>
      <c r="F54" s="627" t="str">
        <f>IF(OR(E54&gt;=0.3,E54&lt;=-0.3),"超过30%","")</f>
        <v/>
      </c>
      <c r="G54" s="626">
        <f>IF(G47&lt;I47,I47/G47-1,G47/I47-1)</f>
        <v>0</v>
      </c>
      <c r="H54" s="627" t="str">
        <f>IF(OR(G54&gt;=0.3,G54&lt;=-0.3),"超过30%","")</f>
        <v/>
      </c>
      <c r="I54" s="626">
        <f>IF(I47&lt;E47,E47/I47-1,I47/E47-1)</f>
        <v>0.11111111111111116</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99.5</v>
      </c>
      <c r="G59" s="650">
        <v>99.5</v>
      </c>
      <c r="H59" s="650">
        <v>99.5</v>
      </c>
      <c r="I59" s="650">
        <v>99</v>
      </c>
      <c r="J59" s="650">
        <v>99</v>
      </c>
      <c r="K59" s="650">
        <v>99</v>
      </c>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v>0</v>
      </c>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f>C68+2</f>
        <v>2</v>
      </c>
      <c r="E68" s="541">
        <f t="shared" ref="E68:I68" si="19">D68+2</f>
        <v>4</v>
      </c>
      <c r="F68" s="541">
        <f t="shared" si="19"/>
        <v>6</v>
      </c>
      <c r="G68" s="541">
        <f t="shared" si="19"/>
        <v>8</v>
      </c>
      <c r="H68" s="541">
        <f t="shared" si="19"/>
        <v>10</v>
      </c>
      <c r="I68" s="541">
        <f t="shared" si="19"/>
        <v>12</v>
      </c>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2258</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7" t="s">
        <v>3148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3">C101-$K32</f>
        <v>98</v>
      </c>
      <c r="E101" s="679">
        <f t="shared" si="23"/>
        <v>96</v>
      </c>
      <c r="F101" s="679">
        <f t="shared" si="23"/>
        <v>94</v>
      </c>
      <c r="G101" s="679">
        <f t="shared" si="23"/>
        <v>92</v>
      </c>
      <c r="H101" s="679">
        <f t="shared" si="23"/>
        <v>90</v>
      </c>
      <c r="I101" s="679">
        <f t="shared" si="23"/>
        <v>88</v>
      </c>
      <c r="J101" s="679">
        <f t="shared" si="23"/>
        <v>86</v>
      </c>
      <c r="K101" s="679">
        <f t="shared" si="23"/>
        <v>84</v>
      </c>
      <c r="L101" s="679">
        <f t="shared" si="23"/>
        <v>82</v>
      </c>
      <c r="M101" s="679">
        <f t="shared" si="23"/>
        <v>80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f>C104+0</f>
        <v>100</v>
      </c>
      <c r="E104" s="671">
        <f t="shared" ref="E104:I104" si="26">D104+0</f>
        <v>100</v>
      </c>
      <c r="F104" s="671">
        <f t="shared" si="26"/>
        <v>100</v>
      </c>
      <c r="G104" s="671">
        <f t="shared" si="26"/>
        <v>100</v>
      </c>
      <c r="H104" s="671">
        <f t="shared" si="26"/>
        <v>100</v>
      </c>
      <c r="I104" s="671">
        <f t="shared" si="26"/>
        <v>100</v>
      </c>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0" t="s">
        <v>3149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219" t="s">
        <v>3150</v>
      </c>
      <c r="D107" s="3219" t="s">
        <v>3153</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8">C108-$K35</f>
        <v>95</v>
      </c>
      <c r="E108" s="679">
        <f t="shared" si="28"/>
        <v>90</v>
      </c>
      <c r="F108" s="679">
        <f t="shared" si="28"/>
        <v>85</v>
      </c>
      <c r="G108" s="679">
        <f t="shared" si="28"/>
        <v>80</v>
      </c>
      <c r="H108" s="679">
        <f t="shared" si="28"/>
        <v>75</v>
      </c>
      <c r="I108" s="679">
        <f t="shared" si="28"/>
        <v>70</v>
      </c>
      <c r="J108" s="679">
        <f t="shared" si="28"/>
        <v>65</v>
      </c>
      <c r="K108" s="679">
        <f t="shared" si="28"/>
        <v>60</v>
      </c>
      <c r="L108" s="679">
        <f t="shared" si="28"/>
        <v>55</v>
      </c>
      <c r="M108" s="679">
        <f t="shared" si="28"/>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0" t="s">
        <v>3141</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0" t="s">
        <v>3139</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30">C115-$K38</f>
        <v>98</v>
      </c>
      <c r="E115" s="679">
        <f t="shared" si="30"/>
        <v>96</v>
      </c>
      <c r="F115" s="679">
        <f t="shared" si="30"/>
        <v>94</v>
      </c>
      <c r="G115" s="679">
        <f t="shared" si="30"/>
        <v>92</v>
      </c>
      <c r="H115" s="679">
        <f t="shared" si="30"/>
        <v>90</v>
      </c>
      <c r="I115" s="679">
        <f t="shared" si="30"/>
        <v>88</v>
      </c>
      <c r="J115" s="679">
        <f t="shared" si="30"/>
        <v>86</v>
      </c>
      <c r="K115" s="679">
        <f t="shared" si="30"/>
        <v>84</v>
      </c>
      <c r="L115" s="679">
        <f t="shared" si="30"/>
        <v>82</v>
      </c>
      <c r="M115" s="679">
        <f t="shared" si="30"/>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2557</v>
      </c>
      <c r="C116" s="3180" t="s">
        <v>3137</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219" t="s">
        <v>3156</v>
      </c>
      <c r="D118" s="3219" t="s">
        <v>3157</v>
      </c>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31">C119-$K40</f>
        <v>96</v>
      </c>
      <c r="E119" s="679">
        <f t="shared" si="31"/>
        <v>92</v>
      </c>
      <c r="F119" s="679">
        <f t="shared" si="31"/>
        <v>88</v>
      </c>
      <c r="G119" s="679">
        <f t="shared" si="31"/>
        <v>84</v>
      </c>
      <c r="H119" s="679">
        <f t="shared" si="31"/>
        <v>80</v>
      </c>
      <c r="I119" s="679">
        <f t="shared" si="31"/>
        <v>76</v>
      </c>
      <c r="J119" s="679">
        <f t="shared" si="31"/>
        <v>72</v>
      </c>
      <c r="K119" s="679">
        <f t="shared" si="31"/>
        <v>68</v>
      </c>
      <c r="L119" s="679">
        <f t="shared" si="31"/>
        <v>64</v>
      </c>
      <c r="M119" s="679">
        <f t="shared" si="31"/>
        <v>60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t="s">
        <v>3154</v>
      </c>
      <c r="D120" s="688" t="s">
        <v>3155</v>
      </c>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3222">
        <v>103</v>
      </c>
      <c r="D121" s="3223">
        <v>100</v>
      </c>
      <c r="E121" s="3223"/>
      <c r="F121" s="3223"/>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75" thickTop="1" thickBot="1">
      <c r="A122" s="735"/>
      <c r="B122" s="673" t="s">
        <v>755</v>
      </c>
      <c r="C122" s="3222" t="s">
        <v>3141</v>
      </c>
      <c r="D122" s="3223" t="s">
        <v>3143</v>
      </c>
      <c r="E122" s="3223" t="s">
        <v>3142</v>
      </c>
      <c r="F122" s="3223" t="s">
        <v>3145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6.5" thickTop="1" thickBot="1">
      <c r="A123" s="669"/>
      <c r="B123" s="678"/>
      <c r="C123" s="679">
        <v>100</v>
      </c>
      <c r="D123" s="679">
        <f t="shared" ref="D123:M123" si="32">C123-$K42</f>
        <v>99</v>
      </c>
      <c r="E123" s="679">
        <f t="shared" si="32"/>
        <v>98</v>
      </c>
      <c r="F123" s="679">
        <f t="shared" si="32"/>
        <v>97</v>
      </c>
      <c r="G123" s="679">
        <f t="shared" si="32"/>
        <v>96</v>
      </c>
      <c r="H123" s="679">
        <f t="shared" si="32"/>
        <v>95</v>
      </c>
      <c r="I123" s="679">
        <f t="shared" si="32"/>
        <v>94</v>
      </c>
      <c r="J123" s="679">
        <f t="shared" si="32"/>
        <v>93</v>
      </c>
      <c r="K123" s="679">
        <f t="shared" si="32"/>
        <v>92</v>
      </c>
      <c r="L123" s="679">
        <f t="shared" si="32"/>
        <v>91</v>
      </c>
      <c r="M123" s="679">
        <f t="shared" si="32"/>
        <v>90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社区品质</v>
      </c>
      <c r="C126" s="3180" t="s">
        <v>3179</v>
      </c>
      <c r="D126" s="3180" t="s">
        <v>3178</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90</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t="str">
        <f>B45</f>
        <v>房型种类</v>
      </c>
      <c r="C128" s="3180" t="s">
        <v>3182</v>
      </c>
      <c r="D128" s="3180" t="s">
        <v>3183</v>
      </c>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v>100</v>
      </c>
      <c r="D129" s="692">
        <v>95</v>
      </c>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2259</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2260</v>
      </c>
      <c r="C137" s="1918"/>
      <c r="D137" s="1918"/>
      <c r="E137" s="1918"/>
      <c r="F137" s="1918"/>
      <c r="G137" s="1919"/>
      <c r="H137" s="1920"/>
      <c r="I137" s="1921" t="s">
        <v>2261</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2262</v>
      </c>
      <c r="D138" s="1924" t="s">
        <v>2263</v>
      </c>
      <c r="E138" s="1925" t="s">
        <v>2264</v>
      </c>
      <c r="F138" s="1926" t="s">
        <v>2265</v>
      </c>
      <c r="G138" s="1924" t="s">
        <v>2266</v>
      </c>
      <c r="H138" s="1927" t="s">
        <v>2267</v>
      </c>
      <c r="I138" s="1928"/>
      <c r="J138" s="1924" t="s">
        <v>2268</v>
      </c>
      <c r="K138" s="1927" t="s">
        <v>2269</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2270</v>
      </c>
      <c r="E139" s="1898">
        <v>100</v>
      </c>
      <c r="F139" s="1899">
        <v>102.5</v>
      </c>
      <c r="G139" s="1929" t="s">
        <v>2271</v>
      </c>
      <c r="H139" s="1900">
        <v>105</v>
      </c>
      <c r="I139" s="1930" t="s">
        <v>2272</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2273</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2274</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2275</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2276</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2277</v>
      </c>
      <c r="E144" s="1904">
        <v>102</v>
      </c>
      <c r="F144" s="1910">
        <v>100</v>
      </c>
      <c r="G144" s="1933" t="s">
        <v>2277</v>
      </c>
      <c r="H144" s="1906">
        <v>105</v>
      </c>
      <c r="I144" s="1932" t="s">
        <v>2276</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2278</v>
      </c>
      <c r="C145" s="1911">
        <f>ROUND(MAX(C139:C144)/MIN(C139:C144)-1,3)</f>
        <v>7.2999999999999995E-2</v>
      </c>
      <c r="D145" s="1935"/>
      <c r="E145" s="1935"/>
      <c r="F145" s="1936" t="s">
        <v>2279</v>
      </c>
      <c r="G145" s="1937"/>
      <c r="H145" s="1938"/>
      <c r="I145" s="1939" t="s">
        <v>2276</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2288</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2289</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2992</v>
      </c>
      <c r="D1" s="3101" t="s">
        <v>3128</v>
      </c>
      <c r="E1" s="2365" t="s">
        <v>870</v>
      </c>
      <c r="F1" s="2366">
        <f ca="1">J53</f>
        <v>37.5</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48565</v>
      </c>
      <c r="C2" s="2056"/>
      <c r="D2" s="2054"/>
      <c r="E2" s="2055"/>
      <c r="F2" s="2055"/>
      <c r="G2" s="1589"/>
      <c r="H2" s="2056"/>
      <c r="I2" s="2056"/>
      <c r="J2" s="2056"/>
      <c r="K2" s="2057"/>
      <c r="L2" s="2056"/>
      <c r="M2" s="2056"/>
    </row>
    <row r="3" spans="1:33" ht="18" customHeight="1" thickBot="1">
      <c r="A3" s="833" t="s">
        <v>519</v>
      </c>
      <c r="B3" s="834">
        <f ca="1">IF(ISERROR(B2*10000/F43),0,ROUND(B2*10000/F43,0))</f>
        <v>86169</v>
      </c>
      <c r="C3" s="2056"/>
      <c r="D3" s="2054"/>
      <c r="E3" s="2055"/>
      <c r="F3" s="2055"/>
      <c r="G3" s="1589"/>
      <c r="H3" s="776" t="s">
        <v>695</v>
      </c>
      <c r="I3" s="1362"/>
      <c r="J3" s="1362"/>
      <c r="K3" s="1590"/>
      <c r="L3" s="1362"/>
      <c r="M3" s="1362"/>
    </row>
    <row r="4" spans="1:33" ht="18" customHeight="1">
      <c r="A4" s="777" t="s">
        <v>698</v>
      </c>
      <c r="B4" s="778" t="s">
        <v>631</v>
      </c>
      <c r="C4" s="778" t="s">
        <v>632</v>
      </c>
      <c r="D4" s="778" t="s">
        <v>633</v>
      </c>
      <c r="E4" s="779" t="s">
        <v>1732</v>
      </c>
      <c r="F4" s="780"/>
      <c r="G4" s="1591"/>
      <c r="H4" s="777" t="s">
        <v>698</v>
      </c>
      <c r="I4" s="778" t="s">
        <v>631</v>
      </c>
      <c r="J4" s="778" t="s">
        <v>632</v>
      </c>
      <c r="K4" s="778" t="s">
        <v>1736</v>
      </c>
      <c r="L4" s="779" t="s">
        <v>1732</v>
      </c>
      <c r="M4" s="780"/>
    </row>
    <row r="5" spans="1:33" ht="18" customHeight="1">
      <c r="A5" s="781">
        <v>1</v>
      </c>
      <c r="B5" s="782" t="s">
        <v>2459</v>
      </c>
      <c r="C5" s="55">
        <f ca="1">C6+C10+C12</f>
        <v>2777</v>
      </c>
      <c r="D5" s="2474" t="s">
        <v>2462</v>
      </c>
      <c r="E5" s="2468"/>
      <c r="F5" s="2469"/>
      <c r="G5" s="1591"/>
      <c r="H5" s="781">
        <v>1</v>
      </c>
      <c r="I5" s="782" t="s">
        <v>2459</v>
      </c>
      <c r="J5" s="55">
        <f ca="1">J6+J10+J12</f>
        <v>0</v>
      </c>
      <c r="K5" s="2474" t="s">
        <v>2462</v>
      </c>
      <c r="L5" s="2468"/>
      <c r="M5" s="2469"/>
    </row>
    <row r="6" spans="1:33" ht="18" customHeight="1">
      <c r="A6" s="1829" t="s">
        <v>1825</v>
      </c>
      <c r="B6" s="3482" t="s">
        <v>2464</v>
      </c>
      <c r="C6" s="783">
        <f ca="1">ROUND(F6*F8*F7*(1-F9)/10000,0)</f>
        <v>2777</v>
      </c>
      <c r="D6" s="2475" t="s">
        <v>2463</v>
      </c>
      <c r="E6" s="784" t="s">
        <v>1739</v>
      </c>
      <c r="F6" s="785">
        <f ca="1">INDIRECT("'数据-取费表'!u"&amp;$G$1)</f>
        <v>15</v>
      </c>
      <c r="G6" s="1591"/>
      <c r="H6" s="2482" t="s">
        <v>1825</v>
      </c>
      <c r="I6" s="3482" t="s">
        <v>2464</v>
      </c>
      <c r="J6" s="783">
        <f ca="1">ROUND(M6*M8*M7*(1-M9)/10000,0)</f>
        <v>0</v>
      </c>
      <c r="K6" s="341" t="s">
        <v>1738</v>
      </c>
      <c r="L6" s="784" t="s">
        <v>1739</v>
      </c>
      <c r="M6" s="785">
        <f ca="1">INDIRECT("'数据-取费表'!z"&amp;$G$1)</f>
        <v>0</v>
      </c>
    </row>
    <row r="7" spans="1:33" ht="18" customHeight="1">
      <c r="A7" s="2478"/>
      <c r="B7" s="3483"/>
      <c r="C7" s="788"/>
      <c r="D7" s="789"/>
      <c r="E7" s="784" t="s">
        <v>638</v>
      </c>
      <c r="F7" s="785">
        <f ca="1">IF(INDIRECT("'数据-取费表'!ah"&amp;$G$1)="",INDIRECT("'数据-取费表'!k"&amp;$G$1),INDIRECT("'数据-取费表'!ah"&amp;$G$1))</f>
        <v>5636</v>
      </c>
      <c r="G7" s="1591"/>
      <c r="H7" s="2467"/>
      <c r="I7" s="3483"/>
      <c r="J7" s="788"/>
      <c r="K7" s="789"/>
      <c r="L7" s="784" t="s">
        <v>638</v>
      </c>
      <c r="M7" s="785">
        <f ca="1">F7</f>
        <v>5636</v>
      </c>
    </row>
    <row r="8" spans="1:33" ht="18" customHeight="1">
      <c r="A8" s="2471"/>
      <c r="B8" s="3484"/>
      <c r="C8" s="788"/>
      <c r="D8" s="789"/>
      <c r="E8" s="784" t="s">
        <v>639</v>
      </c>
      <c r="F8" s="785">
        <f ca="1">INDIRECT("'数据-取费表'!ai"&amp;$G$1)</f>
        <v>365</v>
      </c>
      <c r="G8" s="1591"/>
      <c r="H8" s="2467"/>
      <c r="I8" s="3484"/>
      <c r="J8" s="788"/>
      <c r="K8" s="789"/>
      <c r="L8" s="784" t="s">
        <v>639</v>
      </c>
      <c r="M8" s="785">
        <f ca="1">INDIRECT("'数据-取费表'!ai"&amp;$G$1)</f>
        <v>365</v>
      </c>
    </row>
    <row r="9" spans="1:33" ht="18" customHeight="1">
      <c r="A9" s="786"/>
      <c r="B9" s="3485"/>
      <c r="C9" s="788"/>
      <c r="D9" s="789"/>
      <c r="E9" s="784" t="s">
        <v>1742</v>
      </c>
      <c r="F9" s="794">
        <f ca="1">INDIRECT("'数据-取费表'!w"&amp;$G$1)</f>
        <v>0.1</v>
      </c>
      <c r="G9" s="1591"/>
      <c r="H9" s="2483"/>
      <c r="I9" s="3484"/>
      <c r="J9" s="788"/>
      <c r="K9" s="789"/>
      <c r="L9" s="795" t="s">
        <v>1742</v>
      </c>
      <c r="M9" s="796">
        <f ca="1">INDIRECT("'数据-取费表'!ab"&amp;$G$1)</f>
        <v>0</v>
      </c>
    </row>
    <row r="10" spans="1:33" ht="18" customHeight="1">
      <c r="A10" s="1829" t="s">
        <v>1826</v>
      </c>
      <c r="B10" s="2472" t="s">
        <v>2460</v>
      </c>
      <c r="C10" s="799">
        <f ca="1">ROUND(IF(F10="押一",C6/12*F11,IF(F10="押二",C6/12*2*F11,IF(F10="押三",C6/12*3*F11,C11*F11))),0)</f>
        <v>0</v>
      </c>
      <c r="D10" s="2479" t="s">
        <v>2979</v>
      </c>
      <c r="E10" s="2476" t="s">
        <v>2465</v>
      </c>
      <c r="F10" s="2599"/>
      <c r="G10" s="1591"/>
      <c r="H10" s="2539" t="s">
        <v>1826</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2457</v>
      </c>
      <c r="F11" s="796">
        <f ca="1">'数据-取费表'!B39</f>
        <v>1.4999999999999999E-2</v>
      </c>
      <c r="G11" s="1591"/>
      <c r="H11" s="2540"/>
      <c r="I11" s="2473" t="s">
        <v>2574</v>
      </c>
      <c r="J11" s="2477"/>
      <c r="K11" s="2541"/>
      <c r="L11" s="2476" t="s">
        <v>2457</v>
      </c>
      <c r="M11" s="2470">
        <f ca="1">'数据-取费表'!B39</f>
        <v>1.4999999999999999E-2</v>
      </c>
    </row>
    <row r="12" spans="1:33" ht="18" customHeight="1" thickBot="1">
      <c r="A12" s="2515" t="s">
        <v>2468</v>
      </c>
      <c r="B12" s="2516" t="s">
        <v>2461</v>
      </c>
      <c r="C12" s="2517"/>
      <c r="D12" s="2518"/>
      <c r="E12" s="2519"/>
      <c r="F12" s="2520"/>
      <c r="G12" s="1591"/>
      <c r="H12" s="2529" t="s">
        <v>2468</v>
      </c>
      <c r="I12" s="2542" t="s">
        <v>2461</v>
      </c>
      <c r="J12" s="2543"/>
      <c r="K12" s="2518"/>
      <c r="L12" s="2519"/>
      <c r="M12" s="2532"/>
    </row>
    <row r="13" spans="1:33" ht="18" customHeight="1" thickTop="1">
      <c r="A13" s="1828">
        <v>2</v>
      </c>
      <c r="B13" s="1826" t="s">
        <v>1743</v>
      </c>
      <c r="C13" s="792">
        <f ca="1">ROUND(C29*F13,0)</f>
        <v>3474</v>
      </c>
      <c r="D13" s="1833" t="s">
        <v>2298</v>
      </c>
      <c r="E13" s="1833" t="s">
        <v>643</v>
      </c>
      <c r="F13" s="2514">
        <f ca="1">INDIRECT("'数据-取费表'!y"&amp;$G$1)</f>
        <v>1</v>
      </c>
      <c r="G13" s="1591"/>
      <c r="H13" s="1828">
        <v>2</v>
      </c>
      <c r="I13" s="1826" t="s">
        <v>1743</v>
      </c>
      <c r="J13" s="1818">
        <f ca="1">ROUND(J14*J15,0)</f>
        <v>0</v>
      </c>
      <c r="K13" s="1820" t="s">
        <v>1744</v>
      </c>
      <c r="L13" s="2530"/>
      <c r="M13" s="2531"/>
    </row>
    <row r="14" spans="1:33" ht="18" customHeight="1">
      <c r="A14" s="1647" t="s">
        <v>1832</v>
      </c>
      <c r="B14" s="784" t="s">
        <v>645</v>
      </c>
      <c r="C14" s="804">
        <f ca="1">INDIRECT("'数据-取费表'!m"&amp;$G$1)+INDIRECT("'数据-取费表'!t"&amp;$G$1)</f>
        <v>2305</v>
      </c>
      <c r="D14" s="3213" t="s">
        <v>646</v>
      </c>
      <c r="E14" s="3214"/>
      <c r="F14" s="805"/>
      <c r="G14" s="1591"/>
      <c r="H14" s="1648" t="s">
        <v>1825</v>
      </c>
      <c r="I14" s="2230" t="s">
        <v>2826</v>
      </c>
      <c r="J14" s="53">
        <f ca="1">C29</f>
        <v>3474</v>
      </c>
      <c r="K14" s="26"/>
      <c r="L14" s="801"/>
      <c r="M14" s="802"/>
    </row>
    <row r="15" spans="1:33" s="2063" customFormat="1" ht="18" customHeight="1" thickBot="1">
      <c r="A15" s="1647" t="s">
        <v>1833</v>
      </c>
      <c r="B15" s="784" t="s">
        <v>647</v>
      </c>
      <c r="C15" s="53">
        <f ca="1">ROUND(C14*F15,0)</f>
        <v>69</v>
      </c>
      <c r="D15" s="806" t="s">
        <v>648</v>
      </c>
      <c r="E15" s="806" t="s">
        <v>649</v>
      </c>
      <c r="F15" s="807">
        <f>'数据-取费表'!B33</f>
        <v>0.03</v>
      </c>
      <c r="G15" s="1592"/>
      <c r="H15" s="2529" t="s">
        <v>1890</v>
      </c>
      <c r="I15" s="2524" t="s">
        <v>643</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f ca="1">ROUND(INDIRECT("'数据-取费表'!m"&amp;$G$1)*F16,0)</f>
        <v>0</v>
      </c>
      <c r="D16" s="784" t="s">
        <v>648</v>
      </c>
      <c r="E16" s="784" t="s">
        <v>649</v>
      </c>
      <c r="F16" s="809">
        <f ca="1">IF(INDIRECT("'数据-取费表'!c"&amp;$G$1)="住宅",'数据-取费表'!B34,0)</f>
        <v>0</v>
      </c>
      <c r="G16" s="1591"/>
      <c r="H16" s="1828" t="s">
        <v>7</v>
      </c>
      <c r="I16" s="1826" t="s">
        <v>1750</v>
      </c>
      <c r="J16" s="792">
        <f ca="1">ROUND(J17+J22+J23+J24,0)</f>
        <v>344</v>
      </c>
      <c r="K16" s="1820" t="s">
        <v>652</v>
      </c>
      <c r="L16" s="3215"/>
      <c r="M16" s="2469"/>
    </row>
    <row r="17" spans="1:33" s="2063" customFormat="1" ht="18" customHeight="1">
      <c r="A17" s="1647" t="s">
        <v>1888</v>
      </c>
      <c r="B17" s="784" t="s">
        <v>653</v>
      </c>
      <c r="C17" s="53">
        <f ca="1">ROUND(F17*(F43+INDIRECT("'数据-取费表'!S"&amp;$G$1))/10000,0)</f>
        <v>116</v>
      </c>
      <c r="D17" s="784" t="s">
        <v>654</v>
      </c>
      <c r="E17" s="784" t="s">
        <v>655</v>
      </c>
      <c r="F17" s="56">
        <f>'数据-取费表'!B35</f>
        <v>200</v>
      </c>
      <c r="G17" s="1592"/>
      <c r="H17" s="1648" t="s">
        <v>1825</v>
      </c>
      <c r="I17" s="784" t="s">
        <v>656</v>
      </c>
      <c r="J17" s="53">
        <f ca="1">ROUND(IF(项目基本情况!B11="自然人",J5*M17,J18+J19+J20),0)</f>
        <v>292</v>
      </c>
      <c r="K17" s="3213" t="s">
        <v>1754</v>
      </c>
      <c r="L17" s="3212" t="s">
        <v>658</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35</v>
      </c>
      <c r="D18" s="784" t="s">
        <v>648</v>
      </c>
      <c r="E18" s="784" t="s">
        <v>649</v>
      </c>
      <c r="F18" s="809">
        <f>'数据-取费表'!B36</f>
        <v>1.4999999999999999E-2</v>
      </c>
      <c r="G18" s="1592"/>
      <c r="H18" s="1647" t="s">
        <v>1832</v>
      </c>
      <c r="I18" s="784" t="s">
        <v>1756</v>
      </c>
      <c r="J18" s="53">
        <f ca="1">ROUND(J5*M18/1.05,1)</f>
        <v>0</v>
      </c>
      <c r="K18" s="3212" t="s">
        <v>661</v>
      </c>
      <c r="L18" s="784" t="s">
        <v>649</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f ca="1">SUM(C14:C18)</f>
        <v>2525</v>
      </c>
      <c r="D19" s="261" t="s">
        <v>663</v>
      </c>
      <c r="E19" s="3217"/>
      <c r="F19" s="56"/>
      <c r="G19" s="1591"/>
      <c r="H19" s="1647" t="s">
        <v>1833</v>
      </c>
      <c r="I19" s="784" t="s">
        <v>664</v>
      </c>
      <c r="J19" s="53">
        <f ca="1">IF(K19="按租金收入计税",ROUND(J5*M19,1),ROUND(C29*F33*0.7,1))</f>
        <v>291.8</v>
      </c>
      <c r="K19" s="811" t="s">
        <v>665</v>
      </c>
      <c r="L19" s="784" t="s">
        <v>649</v>
      </c>
      <c r="M19" s="809">
        <f>IF(K19="按租金收入计税",'数据-取费表'!B51,'数据-取费表'!B50)</f>
        <v>1.2E-2</v>
      </c>
    </row>
    <row r="20" spans="1:33" s="2063" customFormat="1" ht="18" customHeight="1">
      <c r="A20" s="1648" t="s">
        <v>1890</v>
      </c>
      <c r="B20" s="784" t="s">
        <v>666</v>
      </c>
      <c r="C20" s="53">
        <f ca="1">ROUND(C19*F20,0)</f>
        <v>51</v>
      </c>
      <c r="D20" s="812" t="s">
        <v>1760</v>
      </c>
      <c r="E20" s="784" t="s">
        <v>649</v>
      </c>
      <c r="F20" s="809">
        <f>'数据-取费表'!B37</f>
        <v>0.02</v>
      </c>
      <c r="G20" s="1592"/>
      <c r="H20" s="1650" t="s">
        <v>1834</v>
      </c>
      <c r="I20" s="341" t="s">
        <v>1761</v>
      </c>
      <c r="J20" s="54">
        <f ca="1">ROUND(M20*M21/10000,0)</f>
        <v>0</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v>
      </c>
      <c r="D21" s="812" t="s">
        <v>2299</v>
      </c>
      <c r="E21" s="784" t="s">
        <v>1766</v>
      </c>
      <c r="F21" s="809">
        <f>'数据-取费表'!B38</f>
        <v>0.01</v>
      </c>
      <c r="G21" s="1592"/>
      <c r="H21" s="2484"/>
      <c r="I21" s="793"/>
      <c r="J21" s="69"/>
      <c r="K21" s="816"/>
      <c r="L21" s="784" t="s">
        <v>1767</v>
      </c>
      <c r="M21" s="785">
        <f ca="1">INDIRECT("'数据-取费表'!r"&amp;$G$1)</f>
        <v>893.18000000000006</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50" t="str">
        <f>IF(F23&lt;=1,"单利计息。","复利计息。")&amp;"建造成本、管理费用、销售费用产生的利息。"</f>
        <v>复利计息。建造成本、管理费用、销售费用产生的利息。</v>
      </c>
      <c r="E22" s="3217"/>
      <c r="F22" s="56"/>
      <c r="G22" s="1591"/>
      <c r="H22" s="1648" t="s">
        <v>1890</v>
      </c>
      <c r="I22" s="784" t="s">
        <v>676</v>
      </c>
      <c r="J22" s="53">
        <f ca="1">ROUND(J14*M22,0)</f>
        <v>52</v>
      </c>
      <c r="K22" s="3212" t="s">
        <v>1770</v>
      </c>
      <c r="L22" s="784" t="s">
        <v>649</v>
      </c>
      <c r="M22" s="817">
        <f ca="1">INDIRECT("'数据-取费表'!Ak"&amp;$G$1)</f>
        <v>1.4999999999999999E-2</v>
      </c>
    </row>
    <row r="23" spans="1:33" s="2063" customFormat="1" ht="18" customHeight="1">
      <c r="A23" s="1647" t="s">
        <v>1832</v>
      </c>
      <c r="B23" s="784" t="s">
        <v>2438</v>
      </c>
      <c r="C23" s="53">
        <f ca="1">ROUND(IF('数据-取费表'!B22&lt;=1,(C19+C20)*F24*F23/2,(C19+C20)*(POWER((1+F24),F23/2)-1)),0)</f>
        <v>154</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3212" t="s">
        <v>680</v>
      </c>
      <c r="L23" s="784" t="s">
        <v>649</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5.9999999999999995E-4</v>
      </c>
      <c r="D24" s="2549" t="str">
        <f>IF(F23&lt;=1,"销售费用×利率×(建设周期÷2)","销售费用×((1+利率)^(建设周期÷2)-1)")</f>
        <v>销售费用×((1+利率)^(建设周期÷2)-1)</v>
      </c>
      <c r="E24" s="784" t="s">
        <v>682</v>
      </c>
      <c r="F24" s="819">
        <f ca="1">'数据-取费表'!B40</f>
        <v>4.7500000000000001E-2</v>
      </c>
      <c r="G24" s="1592"/>
      <c r="H24" s="2529" t="s">
        <v>1892</v>
      </c>
      <c r="I24" s="2524" t="s">
        <v>666</v>
      </c>
      <c r="J24" s="2522">
        <f ca="1">ROUND(J5*M24,0)</f>
        <v>0</v>
      </c>
      <c r="K24" s="2523" t="s">
        <v>1775</v>
      </c>
      <c r="L24" s="2524" t="s">
        <v>649</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685</v>
      </c>
      <c r="E25" s="3217"/>
      <c r="F25" s="56"/>
      <c r="G25" s="1591"/>
      <c r="H25" s="1828" t="s">
        <v>1777</v>
      </c>
      <c r="I25" s="2985" t="s">
        <v>2823</v>
      </c>
      <c r="J25" s="792">
        <f ca="1">J5-J16</f>
        <v>-344</v>
      </c>
      <c r="K25" s="2526" t="s">
        <v>1778</v>
      </c>
      <c r="L25" s="2527"/>
      <c r="M25" s="2528"/>
    </row>
    <row r="26" spans="1:33" ht="18" customHeight="1">
      <c r="A26" s="1647" t="s">
        <v>1832</v>
      </c>
      <c r="B26" s="784" t="s">
        <v>2439</v>
      </c>
      <c r="C26" s="53">
        <f ca="1">ROUND((C19+C20)*F26,0)</f>
        <v>515</v>
      </c>
      <c r="D26" s="812" t="s">
        <v>1779</v>
      </c>
      <c r="E26" s="795" t="s">
        <v>702</v>
      </c>
      <c r="F26" s="794">
        <f ca="1">INDIRECT("'数据-取费表'!q"&amp;$G$1)</f>
        <v>0.2</v>
      </c>
      <c r="G26" s="1591"/>
      <c r="H26" s="2480" t="s">
        <v>1781</v>
      </c>
      <c r="I26" s="2231" t="s">
        <v>2828</v>
      </c>
      <c r="J26" s="783">
        <f ca="1">IF(J5&lt;&gt;0,ROUND(J25*(1-((1+M28)/(1+M26))^M27)/(M26-M28),0),0)</f>
        <v>0</v>
      </c>
      <c r="K26" s="814" t="s">
        <v>704</v>
      </c>
      <c r="L26" s="784" t="s">
        <v>2420</v>
      </c>
      <c r="M26" s="794">
        <f ca="1">INDIRECT("'数据-取费表'!I"&amp;$G$1)</f>
        <v>0.06</v>
      </c>
    </row>
    <row r="27" spans="1:33" ht="18" customHeight="1">
      <c r="A27" s="1647" t="s">
        <v>1833</v>
      </c>
      <c r="B27" s="784" t="s">
        <v>686</v>
      </c>
      <c r="C27" s="53">
        <f ca="1">ROUND(F21*F26,4)</f>
        <v>2E-3</v>
      </c>
      <c r="D27" s="812" t="s">
        <v>706</v>
      </c>
      <c r="E27" s="806"/>
      <c r="F27" s="807"/>
      <c r="G27" s="1591"/>
      <c r="H27" s="2481"/>
      <c r="I27" s="787"/>
      <c r="J27" s="788"/>
      <c r="K27" s="821" t="s">
        <v>707</v>
      </c>
      <c r="L27" s="784" t="s">
        <v>708</v>
      </c>
      <c r="M27" s="822">
        <f ca="1">INDIRECT("'数据-取费表'!ag"&amp;$G$1)</f>
        <v>0</v>
      </c>
    </row>
    <row r="28" spans="1:33" s="2063" customFormat="1" ht="18" customHeight="1">
      <c r="A28" s="1649" t="s">
        <v>1842</v>
      </c>
      <c r="B28" s="784" t="s">
        <v>687</v>
      </c>
      <c r="C28" s="53">
        <f>ROUND(F28/(1+'数据-取费表'!C42),4)</f>
        <v>5.33E-2</v>
      </c>
      <c r="D28" s="812" t="s">
        <v>2300</v>
      </c>
      <c r="E28" s="784" t="s">
        <v>649</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3474</v>
      </c>
      <c r="D29" s="2523"/>
      <c r="E29" s="2524"/>
      <c r="F29" s="2525"/>
      <c r="G29" s="1592"/>
      <c r="H29" s="823" t="s">
        <v>1788</v>
      </c>
      <c r="I29" s="824" t="s">
        <v>1789</v>
      </c>
      <c r="J29" s="825">
        <f ca="1">ROUND(J26/(1+F40)^F41,0)</f>
        <v>0</v>
      </c>
      <c r="K29" s="826" t="s">
        <v>688</v>
      </c>
      <c r="L29" s="827"/>
      <c r="M29" s="828">
        <f ca="1">INDIRECT("'数据-取费表'!k"&amp;$G$1)</f>
        <v>5636</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7</v>
      </c>
      <c r="B30" s="1826" t="s">
        <v>1750</v>
      </c>
      <c r="C30" s="792">
        <f ca="1">ROUND(C31+C36+C37+C38,0)</f>
        <v>567</v>
      </c>
      <c r="D30" s="1820" t="s">
        <v>652</v>
      </c>
      <c r="E30" s="3215"/>
      <c r="F30" s="2469"/>
      <c r="G30" s="2061"/>
      <c r="H30" s="2064"/>
      <c r="I30" s="2065"/>
      <c r="J30" s="2066"/>
      <c r="K30" s="2067"/>
      <c r="L30" s="2068"/>
      <c r="M30" s="2069"/>
    </row>
    <row r="31" spans="1:33" ht="18" customHeight="1">
      <c r="A31" s="1648" t="s">
        <v>1825</v>
      </c>
      <c r="B31" s="784" t="s">
        <v>656</v>
      </c>
      <c r="C31" s="53">
        <f ca="1">ROUND(IF(项目基本情况!B11="自然人",C5*F31,C32+C33+C34),1)</f>
        <v>481.6</v>
      </c>
      <c r="D31" s="3213" t="s">
        <v>1754</v>
      </c>
      <c r="E31" s="3212" t="s">
        <v>690</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1756</v>
      </c>
      <c r="C32" s="53">
        <f ca="1">ROUND(C5*F32/1.05,1)</f>
        <v>148.1</v>
      </c>
      <c r="D32" s="3212"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f ca="1">IF(D33="按租金收入计税",ROUND(C5*F33,1),IF(D33="按房产原值计税",ROUND(C29*F33*0.7,1),INDIRECT("'数据-取费表'!Aj"&amp;$G$1)))</f>
        <v>333.2</v>
      </c>
      <c r="D33" s="811" t="s">
        <v>3163</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f ca="1">ROUND(F34*F35/10000,1)</f>
        <v>0.3</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1767</v>
      </c>
      <c r="F35" s="785">
        <f ca="1">INDIRECT("'数据-取费表'!r"&amp;$G$1)</f>
        <v>893.18000000000006</v>
      </c>
      <c r="G35" s="2061"/>
      <c r="H35" s="2064"/>
      <c r="I35" s="837" t="s">
        <v>1815</v>
      </c>
      <c r="J35" s="838">
        <f ca="1">ROUND(C13*J36,0)</f>
        <v>295</v>
      </c>
      <c r="K35" s="2077"/>
      <c r="L35" s="2076"/>
      <c r="M35" s="2076"/>
    </row>
    <row r="36" spans="1:18" ht="18" customHeight="1">
      <c r="A36" s="1648" t="s">
        <v>1890</v>
      </c>
      <c r="B36" s="784" t="s">
        <v>676</v>
      </c>
      <c r="C36" s="53">
        <f ca="1">ROUND(C29*F36,1)</f>
        <v>52.1</v>
      </c>
      <c r="D36" s="3212" t="s">
        <v>691</v>
      </c>
      <c r="E36" s="784" t="s">
        <v>649</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5.2</v>
      </c>
      <c r="D37" s="3212" t="s">
        <v>680</v>
      </c>
      <c r="E37" s="784" t="s">
        <v>649</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27.8</v>
      </c>
      <c r="D38" s="2523" t="s">
        <v>1775</v>
      </c>
      <c r="E38" s="2524" t="s">
        <v>649</v>
      </c>
      <c r="F38" s="2520">
        <f ca="1">INDIRECT("'数据-取费表'!Am"&amp;$G$1)</f>
        <v>0.01</v>
      </c>
      <c r="G38" s="2061"/>
      <c r="H38" s="2076"/>
      <c r="I38" s="843" t="s">
        <v>1818</v>
      </c>
      <c r="J38" s="844"/>
      <c r="K38" s="2082"/>
      <c r="L38" s="2076"/>
      <c r="M38" s="2076"/>
    </row>
    <row r="39" spans="1:18" ht="24.6" customHeight="1" thickTop="1">
      <c r="A39" s="1828" t="s">
        <v>1777</v>
      </c>
      <c r="B39" s="2985" t="s">
        <v>2823</v>
      </c>
      <c r="C39" s="792">
        <f ca="1">C5-C30</f>
        <v>2210</v>
      </c>
      <c r="D39" s="2526" t="s">
        <v>1778</v>
      </c>
      <c r="E39" s="2527"/>
      <c r="F39" s="2528"/>
      <c r="G39" s="2061"/>
      <c r="H39" s="2076"/>
      <c r="I39" s="837" t="s">
        <v>1819</v>
      </c>
      <c r="J39" s="845">
        <f ca="1">ROUND(J35/C39,3)</f>
        <v>0.13300000000000001</v>
      </c>
      <c r="K39" s="2082"/>
      <c r="L39" s="2076"/>
      <c r="M39" s="2076"/>
    </row>
    <row r="40" spans="1:18" ht="18" customHeight="1">
      <c r="A40" s="781" t="s">
        <v>1781</v>
      </c>
      <c r="B40" s="2231" t="s">
        <v>2302</v>
      </c>
      <c r="C40" s="783">
        <f ca="1">ROUND(C39*(1-((1+F42)/(1+F40))^F41)/(F40-F42),0)</f>
        <v>48565</v>
      </c>
      <c r="D40" s="814" t="s">
        <v>704</v>
      </c>
      <c r="E40" s="784" t="s">
        <v>2420</v>
      </c>
      <c r="F40" s="794">
        <f ca="1">INDIRECT("'数据-取费表'!I"&amp;$G$1)</f>
        <v>0.06</v>
      </c>
      <c r="G40" s="2061"/>
      <c r="H40" s="2061"/>
      <c r="I40" s="837" t="s">
        <v>1820</v>
      </c>
      <c r="J40" s="845">
        <f ca="1">1-J39</f>
        <v>0.86699999999999999</v>
      </c>
      <c r="K40" s="2082"/>
      <c r="L40" s="2061"/>
      <c r="M40" s="2061"/>
    </row>
    <row r="41" spans="1:18" ht="18" customHeight="1">
      <c r="A41" s="786"/>
      <c r="B41" s="787"/>
      <c r="C41" s="788"/>
      <c r="D41" s="821" t="s">
        <v>1809</v>
      </c>
      <c r="E41" s="784" t="s">
        <v>708</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1787</v>
      </c>
      <c r="F42" s="794">
        <f ca="1">INDIRECT("'数据-取费表'!v"&amp;$G$1)</f>
        <v>0.03</v>
      </c>
      <c r="G42" s="2061"/>
      <c r="H42" s="1987"/>
      <c r="I42" s="847" t="s">
        <v>1822</v>
      </c>
      <c r="J42" s="845">
        <f ca="1">ROUND(C13/C40,3)</f>
        <v>7.1999999999999995E-2</v>
      </c>
      <c r="K42" s="2081"/>
      <c r="L42" s="1987"/>
      <c r="M42" s="1987"/>
    </row>
    <row r="43" spans="1:18" ht="18" customHeight="1" thickBot="1">
      <c r="A43" s="823" t="s">
        <v>1788</v>
      </c>
      <c r="B43" s="824" t="s">
        <v>1811</v>
      </c>
      <c r="C43" s="825">
        <f ca="1">ROUND(C40*10000/F43,0)</f>
        <v>86169</v>
      </c>
      <c r="D43" s="826" t="s">
        <v>1812</v>
      </c>
      <c r="E43" s="827" t="s">
        <v>1813</v>
      </c>
      <c r="F43" s="828">
        <f ca="1">INDIRECT("'数据-取费表'!k"&amp;$G$1)</f>
        <v>5636</v>
      </c>
      <c r="G43" s="2061"/>
      <c r="H43" s="1987"/>
      <c r="I43" s="847" t="s">
        <v>1823</v>
      </c>
      <c r="J43" s="848">
        <f ca="1">1-J42</f>
        <v>0.92800000000000005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-49423</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3129</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1871</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48565</v>
      </c>
      <c r="R48" s="2377" t="s">
        <v>2381</v>
      </c>
    </row>
    <row r="49" spans="1:18" s="2058" customFormat="1" ht="18" customHeight="1" thickBot="1">
      <c r="A49" s="786"/>
      <c r="B49" s="787"/>
      <c r="C49" s="788"/>
      <c r="D49" s="789"/>
      <c r="E49" s="784" t="s">
        <v>638</v>
      </c>
      <c r="F49" s="785">
        <f ca="1">F7</f>
        <v>5636</v>
      </c>
      <c r="G49" s="2089"/>
      <c r="H49" s="2092"/>
      <c r="I49" s="3102" t="s">
        <v>2347</v>
      </c>
      <c r="J49" s="2361"/>
      <c r="K49" s="3135" t="s">
        <v>2353</v>
      </c>
      <c r="L49" s="2362"/>
      <c r="O49" s="2376" t="s">
        <v>2382</v>
      </c>
      <c r="P49" s="2377" t="s">
        <v>2407</v>
      </c>
      <c r="Q49" s="2378">
        <f ca="1">J60</f>
        <v>1390</v>
      </c>
      <c r="R49" s="2377" t="s">
        <v>2383</v>
      </c>
    </row>
    <row r="50" spans="1:18" s="2058" customFormat="1" ht="18" customHeight="1" thickBot="1">
      <c r="A50" s="786"/>
      <c r="B50" s="787"/>
      <c r="C50" s="788"/>
      <c r="D50" s="789"/>
      <c r="E50" s="784" t="s">
        <v>639</v>
      </c>
      <c r="F50" s="785">
        <f ca="1">F8</f>
        <v>365</v>
      </c>
      <c r="G50" s="2094"/>
      <c r="H50" s="2092"/>
      <c r="I50" s="3102" t="s">
        <v>2348</v>
      </c>
      <c r="J50" s="3130">
        <f>SUMPRODUCT((I63:I65=J47)*(J62:L62=J48)*(J63:L65))</f>
        <v>60</v>
      </c>
      <c r="K50" s="3135" t="s">
        <v>2354</v>
      </c>
      <c r="L50" s="2362"/>
      <c r="O50" s="2379" t="s">
        <v>2384</v>
      </c>
      <c r="P50" s="2377" t="s">
        <v>2408</v>
      </c>
      <c r="Q50" s="2378">
        <f ca="1">C29</f>
        <v>3474</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30724</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2979</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37.5</v>
      </c>
      <c r="K53" s="3503" t="s">
        <v>2971</v>
      </c>
      <c r="L53" s="3504"/>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49955</v>
      </c>
      <c r="R54" s="2381" t="s">
        <v>2393</v>
      </c>
    </row>
    <row r="55" spans="1:18" s="2058" customFormat="1" ht="18" customHeight="1" thickTop="1" thickBot="1">
      <c r="A55" s="797">
        <v>2</v>
      </c>
      <c r="B55" s="798" t="s">
        <v>644</v>
      </c>
      <c r="C55" s="799">
        <f ca="1">C13</f>
        <v>3474</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2301</v>
      </c>
      <c r="C56" s="53">
        <f ca="1">C29</f>
        <v>3474</v>
      </c>
      <c r="D56" s="3212"/>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7</v>
      </c>
      <c r="B57" s="798" t="s">
        <v>651</v>
      </c>
      <c r="C57" s="799">
        <f ca="1">ROUND(C58+C63+C64+C65,0)</f>
        <v>58</v>
      </c>
      <c r="D57" s="26" t="s">
        <v>652</v>
      </c>
      <c r="E57" s="3217"/>
      <c r="F57" s="56"/>
      <c r="I57" s="3144" t="s">
        <v>2359</v>
      </c>
      <c r="J57" s="3145">
        <f ca="1">IF(OR(M47="住宅",J51&lt;L48,J56="是"),"——",J51-L48)</f>
        <v>20</v>
      </c>
      <c r="K57" s="3102" t="s">
        <v>2364</v>
      </c>
      <c r="L57" s="1907" t="str">
        <f ca="1">IF(L48&lt;J51,"——",IF(L55="比较法",L49,IF(L55="基准地价",L50,L51)))</f>
        <v>——</v>
      </c>
      <c r="O57" s="2376" t="s">
        <v>2380</v>
      </c>
      <c r="P57" s="2377" t="s">
        <v>2406</v>
      </c>
      <c r="Q57" s="2378">
        <f ca="1">C40+J29</f>
        <v>48565</v>
      </c>
      <c r="R57" s="2377" t="s">
        <v>2381</v>
      </c>
    </row>
    <row r="58" spans="1:18" s="2058" customFormat="1" ht="28.5" customHeight="1" thickBot="1">
      <c r="A58" s="1648" t="s">
        <v>1825</v>
      </c>
      <c r="B58" s="784" t="s">
        <v>656</v>
      </c>
      <c r="C58" s="53">
        <f ca="1">ROUND(IF(项目基本情况!B11="自然人",C47*F58,C59+C60+C61),1)</f>
        <v>0.3</v>
      </c>
      <c r="D58" s="3213" t="s">
        <v>657</v>
      </c>
      <c r="E58" s="3212"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3212" t="s">
        <v>661</v>
      </c>
      <c r="E59" s="784" t="s">
        <v>649</v>
      </c>
      <c r="F59" s="809">
        <f t="shared" ref="F59:F65" si="0">F32</f>
        <v>5.6000000000000001E-2</v>
      </c>
      <c r="I59" s="3144" t="s">
        <v>2361</v>
      </c>
      <c r="J59" s="3145">
        <f ca="1">IF(OR(M47="住宅",J51&lt;L48,J56="是"),"——",ROUND(C29*J58,0))</f>
        <v>1390</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664</v>
      </c>
      <c r="C60" s="53">
        <f ca="1">IF(D60="按租金收入计税",ROUND(C47*F60,1),IF(D60="按房产原值计税",ROUND(C56*F60*0.7,1),INDIRECT("'数据-取费表'!Aj"&amp;$G$1)))</f>
        <v>0</v>
      </c>
      <c r="D60" s="3212" t="str">
        <f>D33</f>
        <v>按租金收入计税</v>
      </c>
      <c r="E60" s="784" t="s">
        <v>649</v>
      </c>
      <c r="F60" s="809">
        <f t="shared" si="0"/>
        <v>0.12</v>
      </c>
      <c r="I60" s="3146" t="s">
        <v>2362</v>
      </c>
      <c r="J60" s="3147">
        <f ca="1">IF(OR(M47="住宅",J51&lt;L48,J56="是"),"0",ROUND(J59/(1+J52)^J53,0))</f>
        <v>1390</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0.3</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893.18000000000006</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52.1</v>
      </c>
      <c r="D63" s="3212" t="s">
        <v>691</v>
      </c>
      <c r="E63" s="784" t="s">
        <v>649</v>
      </c>
      <c r="F63" s="817">
        <f t="shared" ca="1" si="0"/>
        <v>1.4999999999999999E-2</v>
      </c>
      <c r="I63" s="3149" t="s">
        <v>2371</v>
      </c>
      <c r="J63" s="3150">
        <v>70</v>
      </c>
      <c r="K63" s="3150">
        <v>50</v>
      </c>
      <c r="L63" s="3150">
        <v>80</v>
      </c>
      <c r="M63" s="3152">
        <v>0.02</v>
      </c>
      <c r="O63" s="2376" t="s">
        <v>2392</v>
      </c>
      <c r="P63" s="2377" t="s">
        <v>2409</v>
      </c>
      <c r="Q63" s="2378">
        <f ca="1">Q57+Q58</f>
        <v>48565</v>
      </c>
      <c r="R63" s="2381" t="s">
        <v>2393</v>
      </c>
    </row>
    <row r="64" spans="1:18" s="2058" customFormat="1" ht="16.5" thickBot="1">
      <c r="A64" s="1648" t="s">
        <v>1891</v>
      </c>
      <c r="B64" s="784" t="s">
        <v>679</v>
      </c>
      <c r="C64" s="53">
        <f ca="1">ROUND(C55*F64,1)</f>
        <v>5.2</v>
      </c>
      <c r="D64" s="3212" t="s">
        <v>680</v>
      </c>
      <c r="E64" s="784" t="s">
        <v>649</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3212" t="s">
        <v>683</v>
      </c>
      <c r="E65" s="784" t="s">
        <v>649</v>
      </c>
      <c r="F65" s="794">
        <f t="shared" ca="1" si="0"/>
        <v>0.01</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-58</v>
      </c>
      <c r="D66" s="3213" t="s">
        <v>700</v>
      </c>
      <c r="E66" s="3216"/>
      <c r="F66" s="820"/>
      <c r="K66" s="2085"/>
      <c r="O66" s="2376" t="s">
        <v>2380</v>
      </c>
      <c r="P66" s="2377" t="s">
        <v>2406</v>
      </c>
      <c r="Q66" s="2378">
        <f ca="1">C40+J29</f>
        <v>48565</v>
      </c>
      <c r="R66" s="2377" t="s">
        <v>2381</v>
      </c>
    </row>
    <row r="67" spans="1:18" s="2058" customFormat="1" ht="20.25" thickBot="1">
      <c r="A67" s="781" t="s">
        <v>1781</v>
      </c>
      <c r="B67" s="2231" t="s">
        <v>2302</v>
      </c>
      <c r="C67" s="783">
        <f ca="1">ROUND(C66*(1-((1+F69)/(1+F67))^F68)/(F67-F69),0)</f>
        <v>-858</v>
      </c>
      <c r="D67" s="814" t="s">
        <v>704</v>
      </c>
      <c r="E67" s="784" t="s">
        <v>705</v>
      </c>
      <c r="F67" s="794">
        <f ca="1">F40</f>
        <v>0.06</v>
      </c>
      <c r="K67" s="2085"/>
      <c r="O67" s="2376" t="s">
        <v>2382</v>
      </c>
      <c r="P67" s="2377" t="s">
        <v>2413</v>
      </c>
      <c r="Q67" s="2378">
        <f ca="1">L60</f>
        <v>0</v>
      </c>
      <c r="R67" s="2381" t="s">
        <v>2415</v>
      </c>
    </row>
    <row r="68" spans="1:18" ht="21.75" thickBot="1">
      <c r="A68" s="786"/>
      <c r="B68" s="787"/>
      <c r="C68" s="788"/>
      <c r="D68" s="821" t="s">
        <v>1809</v>
      </c>
      <c r="E68" s="784" t="s">
        <v>708</v>
      </c>
      <c r="F68" s="822">
        <f ca="1">F41</f>
        <v>37.5</v>
      </c>
      <c r="O68" s="2379" t="s">
        <v>2384</v>
      </c>
      <c r="P68" s="2377" t="s">
        <v>2414</v>
      </c>
      <c r="Q68" s="2383">
        <f ca="1">L51</f>
        <v>30724</v>
      </c>
      <c r="R68" s="2384" t="s">
        <v>2417</v>
      </c>
    </row>
    <row r="69" spans="1:18" ht="20.25" thickBot="1">
      <c r="A69" s="790"/>
      <c r="B69" s="791"/>
      <c r="C69" s="792"/>
      <c r="D69" s="816"/>
      <c r="E69" s="784" t="s">
        <v>710</v>
      </c>
      <c r="F69" s="2349"/>
      <c r="O69" s="2379" t="s">
        <v>2385</v>
      </c>
      <c r="P69" s="2385" t="s">
        <v>2399</v>
      </c>
      <c r="Q69" s="2378">
        <f ca="1">ROUND(Q70-Q71*Q72,0)</f>
        <v>1915</v>
      </c>
      <c r="R69" s="2381"/>
    </row>
    <row r="70" spans="1:18" ht="15.75" thickBot="1">
      <c r="A70" s="823" t="s">
        <v>1788</v>
      </c>
      <c r="B70" s="824" t="s">
        <v>1811</v>
      </c>
      <c r="C70" s="825">
        <f ca="1">ROUND(C67*10000/F70,0)</f>
        <v>-1522</v>
      </c>
      <c r="D70" s="826" t="s">
        <v>1812</v>
      </c>
      <c r="E70" s="827" t="s">
        <v>1813</v>
      </c>
      <c r="F70" s="828">
        <f ca="1">F43</f>
        <v>5636</v>
      </c>
      <c r="O70" s="2379" t="s">
        <v>2400</v>
      </c>
      <c r="P70" s="2385" t="s">
        <v>2401</v>
      </c>
      <c r="Q70" s="2378">
        <f ca="1">C39</f>
        <v>2210</v>
      </c>
      <c r="R70" s="2377" t="s">
        <v>2381</v>
      </c>
    </row>
    <row r="71" spans="1:18" ht="15.75" thickBot="1">
      <c r="O71" s="2379" t="s">
        <v>2402</v>
      </c>
      <c r="P71" s="2385" t="s">
        <v>2403</v>
      </c>
      <c r="Q71" s="2378">
        <f ca="1">C13</f>
        <v>3474</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48565</v>
      </c>
      <c r="R76" s="2381"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7">
      <formula>$L$48&gt;$J$51</formula>
    </cfRule>
  </conditionalFormatting>
  <conditionalFormatting sqref="I55">
    <cfRule type="expression" dxfId="88" priority="6">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D30" sqref="D3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1678</v>
      </c>
      <c r="D1" s="3101" t="s">
        <v>3128</v>
      </c>
      <c r="E1" s="2365" t="s">
        <v>2375</v>
      </c>
      <c r="F1" s="2366">
        <f ca="1">J53</f>
        <v>37.5</v>
      </c>
      <c r="G1" s="774">
        <f>MATCH(C1,'数据-取费表'!A6:A16,0)+5</f>
        <v>8</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127813</v>
      </c>
      <c r="C2" s="2056"/>
      <c r="D2" s="2054"/>
      <c r="E2" s="2055"/>
      <c r="F2" s="2055"/>
      <c r="G2" s="1589"/>
      <c r="H2" s="2056"/>
      <c r="I2" s="2056"/>
      <c r="J2" s="2056"/>
      <c r="K2" s="2057"/>
      <c r="L2" s="2056"/>
      <c r="M2" s="2056"/>
    </row>
    <row r="3" spans="1:33" ht="18" customHeight="1" thickBot="1">
      <c r="A3" s="833" t="s">
        <v>1728</v>
      </c>
      <c r="B3" s="834">
        <f ca="1">IF(ISERROR(B2*10000/F43),0,ROUND(B2*10000/F43,0))</f>
        <v>29498</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2459</v>
      </c>
      <c r="C5" s="55">
        <f ca="1">C6+C10+C12</f>
        <v>7117</v>
      </c>
      <c r="D5" s="2474" t="s">
        <v>2462</v>
      </c>
      <c r="E5" s="2468"/>
      <c r="F5" s="2469"/>
      <c r="G5" s="1591"/>
      <c r="H5" s="781">
        <v>1</v>
      </c>
      <c r="I5" s="782" t="s">
        <v>2459</v>
      </c>
      <c r="J5" s="55">
        <f ca="1">J6+J10+J12</f>
        <v>0</v>
      </c>
      <c r="K5" s="2474" t="s">
        <v>2462</v>
      </c>
      <c r="L5" s="2468"/>
      <c r="M5" s="2469"/>
    </row>
    <row r="6" spans="1:33" ht="18" customHeight="1">
      <c r="A6" s="1829" t="s">
        <v>1825</v>
      </c>
      <c r="B6" s="3482" t="s">
        <v>2464</v>
      </c>
      <c r="C6" s="783">
        <f ca="1">ROUND(F6*F8*F7*(1-F9)/10000,0)</f>
        <v>7117</v>
      </c>
      <c r="D6" s="2475" t="s">
        <v>2463</v>
      </c>
      <c r="E6" s="784" t="s">
        <v>1739</v>
      </c>
      <c r="F6" s="785">
        <f ca="1">INDIRECT("'数据-取费表'!u"&amp;$G$1)</f>
        <v>5</v>
      </c>
      <c r="G6" s="1591"/>
      <c r="H6" s="2482" t="s">
        <v>2469</v>
      </c>
      <c r="I6" s="3482" t="s">
        <v>2464</v>
      </c>
      <c r="J6" s="783">
        <f ca="1">ROUND(M6*M8*M7*(1-M9)/10000,0)</f>
        <v>0</v>
      </c>
      <c r="K6" s="341" t="s">
        <v>1738</v>
      </c>
      <c r="L6" s="784" t="s">
        <v>1739</v>
      </c>
      <c r="M6" s="785">
        <f ca="1">INDIRECT("'数据-取费表'!z"&amp;$G$1)</f>
        <v>0</v>
      </c>
    </row>
    <row r="7" spans="1:33" ht="18" customHeight="1">
      <c r="A7" s="2478"/>
      <c r="B7" s="3483"/>
      <c r="C7" s="788"/>
      <c r="D7" s="789"/>
      <c r="E7" s="784" t="s">
        <v>1740</v>
      </c>
      <c r="F7" s="785">
        <f ca="1">IF(INDIRECT("'数据-取费表'!ah"&amp;$G$1)="",INDIRECT("'数据-取费表'!k"&amp;$G$1),INDIRECT("'数据-取费表'!ah"&amp;$G$1))</f>
        <v>43329</v>
      </c>
      <c r="G7" s="1591"/>
      <c r="H7" s="2467"/>
      <c r="I7" s="3483"/>
      <c r="J7" s="788"/>
      <c r="K7" s="789"/>
      <c r="L7" s="784" t="s">
        <v>1740</v>
      </c>
      <c r="M7" s="785">
        <f ca="1">F7</f>
        <v>43329</v>
      </c>
    </row>
    <row r="8" spans="1:33" ht="18" customHeight="1">
      <c r="A8" s="2471"/>
      <c r="B8" s="3484"/>
      <c r="C8" s="788"/>
      <c r="D8" s="789"/>
      <c r="E8" s="784" t="s">
        <v>1741</v>
      </c>
      <c r="F8" s="785">
        <f ca="1">INDIRECT("'数据-取费表'!ai"&amp;$G$1)</f>
        <v>365</v>
      </c>
      <c r="G8" s="1591"/>
      <c r="H8" s="2467"/>
      <c r="I8" s="3484"/>
      <c r="J8" s="788"/>
      <c r="K8" s="789"/>
      <c r="L8" s="784" t="s">
        <v>1741</v>
      </c>
      <c r="M8" s="785">
        <f ca="1">INDIRECT("'数据-取费表'!ai"&amp;$G$1)</f>
        <v>365</v>
      </c>
    </row>
    <row r="9" spans="1:33" ht="18" customHeight="1">
      <c r="A9" s="786"/>
      <c r="B9" s="3485"/>
      <c r="C9" s="788"/>
      <c r="D9" s="789"/>
      <c r="E9" s="784" t="s">
        <v>1742</v>
      </c>
      <c r="F9" s="794">
        <f ca="1">INDIRECT("'数据-取费表'!w"&amp;$G$1)</f>
        <v>0.1</v>
      </c>
      <c r="G9" s="1591"/>
      <c r="H9" s="2483"/>
      <c r="I9" s="3484"/>
      <c r="J9" s="788"/>
      <c r="K9" s="789"/>
      <c r="L9" s="795" t="s">
        <v>1742</v>
      </c>
      <c r="M9" s="796">
        <f ca="1">INDIRECT("'数据-取费表'!ab"&amp;$G$1)</f>
        <v>0</v>
      </c>
    </row>
    <row r="10" spans="1:33" ht="18" customHeight="1">
      <c r="A10" s="1829" t="s">
        <v>2467</v>
      </c>
      <c r="B10" s="2472" t="s">
        <v>2460</v>
      </c>
      <c r="C10" s="799">
        <f ca="1">ROUND(IF(F10="押一",C6/12*F11,IF(F10="押二",C6/12*2*F11,IF(F10="押三",C6/12*3*F11,C11*F11))),0)</f>
        <v>0</v>
      </c>
      <c r="D10" s="2479" t="s">
        <v>2979</v>
      </c>
      <c r="E10" s="2476" t="s">
        <v>2465</v>
      </c>
      <c r="F10" s="2599"/>
      <c r="G10" s="1591"/>
      <c r="H10" s="2539" t="s">
        <v>2470</v>
      </c>
      <c r="I10" s="2544" t="s">
        <v>2460</v>
      </c>
      <c r="J10" s="783">
        <f ca="1">ROUND(IF(M10="押一",J6/12*M11,IF(M10="押二",J6/12*2*M11,IF(M10="押三",J6/12*3*M11,J11*M11))),0)</f>
        <v>0</v>
      </c>
      <c r="K10" s="2479" t="s">
        <v>2979</v>
      </c>
      <c r="L10" s="2476" t="s">
        <v>2465</v>
      </c>
      <c r="M10" s="2599"/>
    </row>
    <row r="11" spans="1:33" ht="18" customHeight="1">
      <c r="A11" s="790"/>
      <c r="B11" s="2473" t="s">
        <v>2574</v>
      </c>
      <c r="C11" s="2477"/>
      <c r="D11" s="789"/>
      <c r="E11" s="2476" t="s">
        <v>2466</v>
      </c>
      <c r="F11" s="796">
        <f ca="1">'数据-取费表'!B39</f>
        <v>1.4999999999999999E-2</v>
      </c>
      <c r="G11" s="1591"/>
      <c r="H11" s="2540"/>
      <c r="I11" s="2473" t="s">
        <v>2574</v>
      </c>
      <c r="J11" s="2477"/>
      <c r="K11" s="2541"/>
      <c r="L11" s="2476" t="s">
        <v>2466</v>
      </c>
      <c r="M11" s="2470">
        <f ca="1">'数据-取费表'!B39</f>
        <v>1.4999999999999999E-2</v>
      </c>
    </row>
    <row r="12" spans="1:33" ht="18" customHeight="1" thickBot="1">
      <c r="A12" s="2515" t="s">
        <v>2468</v>
      </c>
      <c r="B12" s="2516" t="s">
        <v>2461</v>
      </c>
      <c r="C12" s="2517"/>
      <c r="D12" s="2518"/>
      <c r="E12" s="2519"/>
      <c r="F12" s="2520"/>
      <c r="G12" s="1591"/>
      <c r="H12" s="2529" t="s">
        <v>2471</v>
      </c>
      <c r="I12" s="2542" t="s">
        <v>2461</v>
      </c>
      <c r="J12" s="2543"/>
      <c r="K12" s="2518"/>
      <c r="L12" s="2519"/>
      <c r="M12" s="2532"/>
    </row>
    <row r="13" spans="1:33" ht="18" customHeight="1" thickTop="1">
      <c r="A13" s="1828">
        <v>2</v>
      </c>
      <c r="B13" s="1826" t="s">
        <v>1743</v>
      </c>
      <c r="C13" s="792">
        <f ca="1">ROUND(C29*F13,0)</f>
        <v>25631</v>
      </c>
      <c r="D13" s="1833" t="s">
        <v>2298</v>
      </c>
      <c r="E13" s="1833" t="s">
        <v>1745</v>
      </c>
      <c r="F13" s="2514">
        <f ca="1">INDIRECT("'数据-取费表'!y"&amp;$G$1)</f>
        <v>1</v>
      </c>
      <c r="G13" s="1591"/>
      <c r="H13" s="1828">
        <v>2</v>
      </c>
      <c r="I13" s="1826" t="s">
        <v>1743</v>
      </c>
      <c r="J13" s="1818">
        <f ca="1">ROUND(J14*J15,0)</f>
        <v>0</v>
      </c>
      <c r="K13" s="1820" t="s">
        <v>1744</v>
      </c>
      <c r="L13" s="2530"/>
      <c r="M13" s="2531"/>
    </row>
    <row r="14" spans="1:33" ht="18" customHeight="1">
      <c r="A14" s="1647" t="s">
        <v>1885</v>
      </c>
      <c r="B14" s="784" t="s">
        <v>645</v>
      </c>
      <c r="C14" s="804">
        <f ca="1">INDIRECT("'数据-取费表'!m"&amp;$G$1)+INDIRECT("'数据-取费表'!t"&amp;$G$1)</f>
        <v>17723</v>
      </c>
      <c r="D14" s="1978" t="s">
        <v>1746</v>
      </c>
      <c r="E14" s="1979"/>
      <c r="F14" s="805"/>
      <c r="G14" s="1591"/>
      <c r="H14" s="1648" t="s">
        <v>1831</v>
      </c>
      <c r="I14" s="2230" t="s">
        <v>2827</v>
      </c>
      <c r="J14" s="53">
        <f ca="1">C29</f>
        <v>25631</v>
      </c>
      <c r="K14" s="26"/>
      <c r="L14" s="801"/>
      <c r="M14" s="802"/>
    </row>
    <row r="15" spans="1:33" s="2063" customFormat="1" ht="18" customHeight="1" thickBot="1">
      <c r="A15" s="1647" t="s">
        <v>1886</v>
      </c>
      <c r="B15" s="784" t="s">
        <v>647</v>
      </c>
      <c r="C15" s="53">
        <f ca="1">ROUND(C14*F15,0)</f>
        <v>532</v>
      </c>
      <c r="D15" s="806" t="s">
        <v>1747</v>
      </c>
      <c r="E15" s="806" t="s">
        <v>1748</v>
      </c>
      <c r="F15" s="807">
        <f>'数据-取费表'!B33</f>
        <v>0.03</v>
      </c>
      <c r="G15" s="1592"/>
      <c r="H15" s="2529" t="s">
        <v>1890</v>
      </c>
      <c r="I15" s="2524" t="s">
        <v>1745</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2539</v>
      </c>
      <c r="K16" s="1820" t="s">
        <v>1751</v>
      </c>
      <c r="L16" s="2464"/>
      <c r="M16" s="2469"/>
    </row>
    <row r="17" spans="1:33" s="2063" customFormat="1" ht="18" customHeight="1">
      <c r="A17" s="1647" t="s">
        <v>1888</v>
      </c>
      <c r="B17" s="784" t="s">
        <v>653</v>
      </c>
      <c r="C17" s="53">
        <f ca="1">ROUND(F17*(F43+INDIRECT("'数据-取费表'!S"&amp;$G$1))/10000,0)</f>
        <v>893</v>
      </c>
      <c r="D17" s="784" t="s">
        <v>1752</v>
      </c>
      <c r="E17" s="784" t="s">
        <v>1753</v>
      </c>
      <c r="F17" s="56">
        <f>'数据-取费表'!B35</f>
        <v>200</v>
      </c>
      <c r="G17" s="1592"/>
      <c r="H17" s="1648" t="s">
        <v>1831</v>
      </c>
      <c r="I17" s="784" t="s">
        <v>656</v>
      </c>
      <c r="J17" s="53">
        <f ca="1">ROUND(IF(项目基本情况!B11="自然人",J5*M17,J18+J19+J20),0)</f>
        <v>2155</v>
      </c>
      <c r="K17" s="2463" t="s">
        <v>1754</v>
      </c>
      <c r="L17" s="2462" t="s">
        <v>1755</v>
      </c>
      <c r="M17" s="810">
        <f ca="1">IF(项目基本情况!B11="企业","",IF(INDIRECT("'数据-取费表'!c"&amp;$G$1)="住宅",5%,IF(M6*M7*M8/12/(1+'数据-取费表'!C42)&gt;20000,12%,7%)))</f>
        <v>7.0000000000000007E-2</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266</v>
      </c>
      <c r="D18" s="784" t="s">
        <v>1747</v>
      </c>
      <c r="E18" s="784" t="s">
        <v>1748</v>
      </c>
      <c r="F18" s="809">
        <f>'数据-取费表'!B36</f>
        <v>1.4999999999999999E-2</v>
      </c>
      <c r="G18" s="1592"/>
      <c r="H18" s="1647" t="s">
        <v>1885</v>
      </c>
      <c r="I18" s="784" t="s">
        <v>1756</v>
      </c>
      <c r="J18" s="53">
        <f ca="1">ROUND(J5*M18/1.05,1)</f>
        <v>0</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19414</v>
      </c>
      <c r="D19" s="261" t="s">
        <v>1758</v>
      </c>
      <c r="E19" s="1981"/>
      <c r="F19" s="56"/>
      <c r="G19" s="1591"/>
      <c r="H19" s="1647" t="s">
        <v>1886</v>
      </c>
      <c r="I19" s="784" t="s">
        <v>1759</v>
      </c>
      <c r="J19" s="53">
        <f ca="1">IF(K19="按租金收入计税",ROUND(J5*M19,1),ROUND(C29*F33*0.7,1))</f>
        <v>2153</v>
      </c>
      <c r="K19" s="811" t="s">
        <v>665</v>
      </c>
      <c r="L19" s="784" t="s">
        <v>1748</v>
      </c>
      <c r="M19" s="809">
        <f>IF(K19="按租金收入计税",'数据-取费表'!B51,'数据-取费表'!B50)</f>
        <v>1.2E-2</v>
      </c>
    </row>
    <row r="20" spans="1:33" s="2063" customFormat="1" ht="18" customHeight="1">
      <c r="A20" s="1648" t="s">
        <v>1890</v>
      </c>
      <c r="B20" s="784" t="s">
        <v>666</v>
      </c>
      <c r="C20" s="53">
        <f ca="1">ROUND(C19*F20,0)</f>
        <v>388</v>
      </c>
      <c r="D20" s="812" t="s">
        <v>1760</v>
      </c>
      <c r="E20" s="784" t="s">
        <v>1748</v>
      </c>
      <c r="F20" s="809">
        <f>'数据-取费表'!B37</f>
        <v>0.02</v>
      </c>
      <c r="G20" s="1592"/>
      <c r="H20" s="1650" t="s">
        <v>1881</v>
      </c>
      <c r="I20" s="341" t="s">
        <v>1761</v>
      </c>
      <c r="J20" s="54">
        <f ca="1">ROUND(M20*M21/10000,0)</f>
        <v>2</v>
      </c>
      <c r="K20" s="814" t="s">
        <v>1762</v>
      </c>
      <c r="L20" s="784" t="s">
        <v>1763</v>
      </c>
      <c r="M20" s="640">
        <f>'数据-取费表'!B52</f>
        <v>3</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2299</v>
      </c>
      <c r="E21" s="784" t="s">
        <v>1766</v>
      </c>
      <c r="F21" s="809">
        <f>'数据-取费表'!B38</f>
        <v>0.01</v>
      </c>
      <c r="G21" s="1592"/>
      <c r="H21" s="2484"/>
      <c r="I21" s="793"/>
      <c r="J21" s="69"/>
      <c r="K21" s="816"/>
      <c r="L21" s="784" t="s">
        <v>1767</v>
      </c>
      <c r="M21" s="785">
        <f ca="1">INDIRECT("'数据-取费表'!r"&amp;$G$1)</f>
        <v>6866.6900000000005</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50"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384</v>
      </c>
      <c r="K22" s="2462" t="s">
        <v>1770</v>
      </c>
      <c r="L22" s="784" t="s">
        <v>1748</v>
      </c>
      <c r="M22" s="817">
        <f ca="1">INDIRECT("'数据-取费表'!Ak"&amp;$G$1)</f>
        <v>1.4999999999999999E-2</v>
      </c>
    </row>
    <row r="23" spans="1:33" s="2063" customFormat="1" ht="18" customHeight="1">
      <c r="A23" s="1647" t="s">
        <v>1832</v>
      </c>
      <c r="B23" s="784" t="s">
        <v>2536</v>
      </c>
      <c r="C23" s="53">
        <f ca="1">ROUND(IF('数据-取费表'!B22&lt;=1,(C19+C20)*F24*F23/2,(C19+C20)*(POWER((1+F24),F23/2)-1)),0)</f>
        <v>1183</v>
      </c>
      <c r="D23" s="2549" t="str">
        <f>IF(F23&lt;=1,"(建造成本+管理费用)×利率×(建设周期÷2)","(建造成本+管理费用)×((1+利率)^(建设周期÷2)-1)")</f>
        <v>(建造成本+管理费用)×((1+利率)^(建设周期÷2)-1)</v>
      </c>
      <c r="E23" s="784" t="s">
        <v>1771</v>
      </c>
      <c r="F23" s="640">
        <f>'数据-取费表'!B20</f>
        <v>2.5</v>
      </c>
      <c r="G23" s="1592"/>
      <c r="H23" s="1648" t="s">
        <v>1891</v>
      </c>
      <c r="I23" s="784" t="s">
        <v>679</v>
      </c>
      <c r="J23" s="53">
        <f ca="1">ROUND(J13*M23,0)</f>
        <v>0</v>
      </c>
      <c r="K23" s="2462" t="s">
        <v>1772</v>
      </c>
      <c r="L23" s="784" t="s">
        <v>1748</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5.9999999999999995E-4</v>
      </c>
      <c r="D24" s="2549" t="str">
        <f>IF(F23&lt;=1,"销售费用×利率×(建设周期÷2)","销售费用×((1+利率)^(建设周期÷2)-1)")</f>
        <v>销售费用×((1+利率)^(建设周期÷2)-1)</v>
      </c>
      <c r="E24" s="784" t="s">
        <v>1774</v>
      </c>
      <c r="F24" s="819">
        <f ca="1">'数据-取费表'!B40</f>
        <v>4.7500000000000001E-2</v>
      </c>
      <c r="G24" s="1592"/>
      <c r="H24" s="2529" t="s">
        <v>1892</v>
      </c>
      <c r="I24" s="2524" t="s">
        <v>666</v>
      </c>
      <c r="J24" s="2522">
        <f ca="1">ROUND(J5*M24,0)</f>
        <v>0</v>
      </c>
      <c r="K24" s="2523" t="s">
        <v>1775</v>
      </c>
      <c r="L24" s="2524" t="s">
        <v>1748</v>
      </c>
      <c r="M24" s="2520">
        <f ca="1">INDIRECT("'数据-取费表'!Am"&amp;$G$1)</f>
        <v>0.01</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2985" t="s">
        <v>2823</v>
      </c>
      <c r="J25" s="792">
        <f ca="1">J5-J16</f>
        <v>-2539</v>
      </c>
      <c r="K25" s="2526" t="s">
        <v>1778</v>
      </c>
      <c r="L25" s="2527"/>
      <c r="M25" s="2528"/>
    </row>
    <row r="26" spans="1:33" ht="18" customHeight="1">
      <c r="A26" s="1647" t="s">
        <v>1832</v>
      </c>
      <c r="B26" s="784" t="s">
        <v>2439</v>
      </c>
      <c r="C26" s="53">
        <f ca="1">ROUND((C19+C20)*F26,0)</f>
        <v>2970</v>
      </c>
      <c r="D26" s="812" t="s">
        <v>1779</v>
      </c>
      <c r="E26" s="795" t="s">
        <v>1780</v>
      </c>
      <c r="F26" s="794">
        <f ca="1">INDIRECT("'数据-取费表'!q"&amp;$G$1)</f>
        <v>0.15</v>
      </c>
      <c r="G26" s="1591"/>
      <c r="H26" s="2480" t="s">
        <v>1781</v>
      </c>
      <c r="I26" s="2231" t="s">
        <v>2828</v>
      </c>
      <c r="J26" s="783">
        <f ca="1">IF(J5&lt;&gt;0,ROUND(J25*(1-((1+M28)/(1+M26))^M27)/(M26-M28),0),0)</f>
        <v>0</v>
      </c>
      <c r="K26" s="814" t="s">
        <v>1782</v>
      </c>
      <c r="L26" s="784" t="s">
        <v>2420</v>
      </c>
      <c r="M26" s="794">
        <f ca="1">INDIRECT("'数据-取费表'!I"&amp;$G$1)</f>
        <v>5.5E-2</v>
      </c>
    </row>
    <row r="27" spans="1:33" ht="18" customHeight="1">
      <c r="A27" s="1647" t="s">
        <v>1833</v>
      </c>
      <c r="B27" s="784" t="s">
        <v>686</v>
      </c>
      <c r="C27" s="53">
        <f ca="1">ROUND(F21*F26,4)</f>
        <v>1.5E-3</v>
      </c>
      <c r="D27" s="812" t="s">
        <v>1783</v>
      </c>
      <c r="E27" s="806"/>
      <c r="F27" s="807"/>
      <c r="G27" s="1591"/>
      <c r="H27" s="2481"/>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2300</v>
      </c>
      <c r="E28" s="784" t="s">
        <v>1786</v>
      </c>
      <c r="F28" s="809">
        <f>'数据-取费表'!B41</f>
        <v>5.6000000000000001E-2</v>
      </c>
      <c r="G28" s="1592"/>
      <c r="H28" s="1828"/>
      <c r="I28" s="791"/>
      <c r="J28" s="792"/>
      <c r="K28" s="816"/>
      <c r="L28" s="784" t="s">
        <v>1787</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2301</v>
      </c>
      <c r="C29" s="2522">
        <f ca="1">ROUND((C19+C20+C23+C26)/(1-F21-C24-C27-C28),0)</f>
        <v>25631</v>
      </c>
      <c r="D29" s="2523"/>
      <c r="E29" s="2524"/>
      <c r="F29" s="2525"/>
      <c r="G29" s="1592"/>
      <c r="H29" s="823" t="s">
        <v>1788</v>
      </c>
      <c r="I29" s="824" t="s">
        <v>1789</v>
      </c>
      <c r="J29" s="825">
        <f ca="1">ROUND(J26/(1+F40)^F41,0)</f>
        <v>0</v>
      </c>
      <c r="K29" s="826" t="s">
        <v>1790</v>
      </c>
      <c r="L29" s="827"/>
      <c r="M29" s="828">
        <f ca="1">INDIRECT("'数据-取费表'!k"&amp;$G$1)</f>
        <v>43329</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1730</v>
      </c>
      <c r="D30" s="1820" t="s">
        <v>1792</v>
      </c>
      <c r="E30" s="2464"/>
      <c r="F30" s="2469"/>
      <c r="G30" s="2061"/>
      <c r="H30" s="2064"/>
      <c r="I30" s="2065"/>
      <c r="J30" s="2066"/>
      <c r="K30" s="2067"/>
      <c r="L30" s="2068"/>
      <c r="M30" s="2069"/>
    </row>
    <row r="31" spans="1:33" ht="18" customHeight="1">
      <c r="A31" s="1648" t="s">
        <v>1831</v>
      </c>
      <c r="B31" s="784" t="s">
        <v>656</v>
      </c>
      <c r="C31" s="53">
        <f ca="1">ROUND(IF(项目基本情况!B11="自然人",C5*F31,C32+C33+C34),1)</f>
        <v>1235.7</v>
      </c>
      <c r="D31" s="1978" t="s">
        <v>1793</v>
      </c>
      <c r="E31" s="1976" t="s">
        <v>1794</v>
      </c>
      <c r="F31" s="810">
        <f ca="1">IF(项目基本情况!B11="企业","",IF(INDIRECT("'数据-取费表'!c"&amp;$G$1)="住宅",5%,IF(F6*F7*F8/12/(1+'数据-取费表'!C42)&gt;20000,12%,7%)))</f>
        <v>0.12</v>
      </c>
      <c r="G31" s="2061"/>
      <c r="H31" s="2064"/>
      <c r="I31" s="2065"/>
      <c r="J31" s="2066"/>
      <c r="K31" s="2067"/>
      <c r="L31" s="2068"/>
      <c r="M31" s="2069"/>
    </row>
    <row r="32" spans="1:33" ht="18" customHeight="1">
      <c r="A32" s="1647" t="s">
        <v>1832</v>
      </c>
      <c r="B32" s="784" t="s">
        <v>1795</v>
      </c>
      <c r="C32" s="53">
        <f ca="1">ROUND(C5*F32/1.05,1)</f>
        <v>379.6</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854</v>
      </c>
      <c r="D33" s="811" t="s">
        <v>3163</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2.1</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6866.6900000000005</v>
      </c>
      <c r="G35" s="2061"/>
      <c r="H35" s="2064"/>
      <c r="I35" s="837" t="s">
        <v>1815</v>
      </c>
      <c r="J35" s="838">
        <f ca="1">ROUND(C13*J36,0)</f>
        <v>2179</v>
      </c>
      <c r="K35" s="2077"/>
      <c r="L35" s="2076"/>
      <c r="M35" s="2076"/>
    </row>
    <row r="36" spans="1:18" ht="18" customHeight="1">
      <c r="A36" s="1648" t="s">
        <v>1890</v>
      </c>
      <c r="B36" s="784" t="s">
        <v>1803</v>
      </c>
      <c r="C36" s="53">
        <f ca="1">ROUND(C29*F36,1)</f>
        <v>384.5</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38.4</v>
      </c>
      <c r="D37" s="1976" t="s">
        <v>1805</v>
      </c>
      <c r="E37" s="784" t="s">
        <v>1797</v>
      </c>
      <c r="F37" s="818">
        <f ca="1">INDIRECT("'数据-取费表'!Al"&amp;$G$1)</f>
        <v>1.5E-3</v>
      </c>
      <c r="G37" s="2061"/>
      <c r="H37" s="2076"/>
      <c r="I37" s="841" t="s">
        <v>1817</v>
      </c>
      <c r="J37" s="842"/>
      <c r="K37" s="2081"/>
      <c r="L37" s="2076"/>
      <c r="M37" s="2076"/>
    </row>
    <row r="38" spans="1:18" ht="18" customHeight="1" thickBot="1">
      <c r="A38" s="2529" t="s">
        <v>1892</v>
      </c>
      <c r="B38" s="2524" t="s">
        <v>666</v>
      </c>
      <c r="C38" s="2522">
        <f ca="1">ROUND(C5*F38,1)</f>
        <v>71.2</v>
      </c>
      <c r="D38" s="2523" t="s">
        <v>1806</v>
      </c>
      <c r="E38" s="2524" t="s">
        <v>1797</v>
      </c>
      <c r="F38" s="2520">
        <f ca="1">INDIRECT("'数据-取费表'!Am"&amp;$G$1)</f>
        <v>0.01</v>
      </c>
      <c r="G38" s="2061"/>
      <c r="H38" s="2076"/>
      <c r="I38" s="843" t="s">
        <v>1818</v>
      </c>
      <c r="J38" s="844"/>
      <c r="K38" s="2082"/>
      <c r="L38" s="2076"/>
      <c r="M38" s="2076"/>
    </row>
    <row r="39" spans="1:18" ht="24.6" customHeight="1" thickTop="1">
      <c r="A39" s="1828" t="s">
        <v>1895</v>
      </c>
      <c r="B39" s="2985" t="s">
        <v>2823</v>
      </c>
      <c r="C39" s="792">
        <f ca="1">C5-C30</f>
        <v>5387</v>
      </c>
      <c r="D39" s="2526" t="s">
        <v>1807</v>
      </c>
      <c r="E39" s="2527"/>
      <c r="F39" s="2528"/>
      <c r="G39" s="2061"/>
      <c r="H39" s="2076"/>
      <c r="I39" s="837" t="s">
        <v>1819</v>
      </c>
      <c r="J39" s="845">
        <f ca="1">ROUND(J35/C39,3)</f>
        <v>0.40400000000000003</v>
      </c>
      <c r="K39" s="2082"/>
      <c r="L39" s="2076"/>
      <c r="M39" s="2076"/>
    </row>
    <row r="40" spans="1:18" ht="18" customHeight="1">
      <c r="A40" s="781" t="s">
        <v>1896</v>
      </c>
      <c r="B40" s="2231" t="s">
        <v>2302</v>
      </c>
      <c r="C40" s="783">
        <f ca="1">ROUND(C39*(1-((1+F42)/(1+F40))^F41)/(F40-F42),0)</f>
        <v>127813</v>
      </c>
      <c r="D40" s="814" t="s">
        <v>1808</v>
      </c>
      <c r="E40" s="784" t="s">
        <v>2420</v>
      </c>
      <c r="F40" s="794">
        <f ca="1">INDIRECT("'数据-取费表'!I"&amp;$G$1)</f>
        <v>5.5E-2</v>
      </c>
      <c r="G40" s="2061"/>
      <c r="H40" s="2061"/>
      <c r="I40" s="837" t="s">
        <v>1820</v>
      </c>
      <c r="J40" s="845">
        <f ca="1">1-J39</f>
        <v>0.59599999999999997</v>
      </c>
      <c r="K40" s="2082"/>
      <c r="L40" s="2061"/>
      <c r="M40" s="2061"/>
    </row>
    <row r="41" spans="1:18" ht="18" customHeight="1">
      <c r="A41" s="786"/>
      <c r="B41" s="787"/>
      <c r="C41" s="788"/>
      <c r="D41" s="821" t="s">
        <v>1809</v>
      </c>
      <c r="E41" s="784" t="s">
        <v>2969</v>
      </c>
      <c r="F41" s="822">
        <f ca="1">IF(INDIRECT("'数据-取费表'!af"&amp;$G$1)=0,INDIRECT("'数据-取费表'!ae"&amp;$G$1),INDIRECT("'数据-取费表'!af"&amp;$G$1))</f>
        <v>37.5</v>
      </c>
      <c r="G41" s="2061"/>
      <c r="H41" s="1987"/>
      <c r="I41" s="843" t="s">
        <v>1821</v>
      </c>
      <c r="J41" s="846"/>
      <c r="K41" s="2081"/>
      <c r="L41" s="1987"/>
      <c r="M41" s="1987"/>
    </row>
    <row r="42" spans="1:18" ht="18" customHeight="1">
      <c r="A42" s="790"/>
      <c r="B42" s="791"/>
      <c r="C42" s="792"/>
      <c r="D42" s="816"/>
      <c r="E42" s="784" t="s">
        <v>1810</v>
      </c>
      <c r="F42" s="794">
        <f ca="1">INDIRECT("'数据-取费表'!v"&amp;$G$1)</f>
        <v>0.03</v>
      </c>
      <c r="G42" s="2061"/>
      <c r="H42" s="1987"/>
      <c r="I42" s="847" t="s">
        <v>1822</v>
      </c>
      <c r="J42" s="845">
        <f ca="1">ROUND(C13/C40,3)</f>
        <v>0.20100000000000001</v>
      </c>
      <c r="K42" s="2081"/>
      <c r="L42" s="1987"/>
      <c r="M42" s="1987"/>
    </row>
    <row r="43" spans="1:18" ht="18" customHeight="1" thickBot="1">
      <c r="A43" s="823" t="s">
        <v>1788</v>
      </c>
      <c r="B43" s="824" t="s">
        <v>1811</v>
      </c>
      <c r="C43" s="825">
        <f ca="1">ROUND(C40*10000/F43,0)</f>
        <v>29498</v>
      </c>
      <c r="D43" s="826" t="s">
        <v>1812</v>
      </c>
      <c r="E43" s="827" t="s">
        <v>1813</v>
      </c>
      <c r="F43" s="828">
        <f ca="1">INDIRECT("'数据-取费表'!k"&amp;$G$1)</f>
        <v>43329</v>
      </c>
      <c r="G43" s="2061"/>
      <c r="H43" s="1987"/>
      <c r="I43" s="847" t="s">
        <v>1823</v>
      </c>
      <c r="J43" s="848">
        <f ca="1">1-J42</f>
        <v>0.79899999999999993</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2296</v>
      </c>
      <c r="B46" s="2084"/>
      <c r="C46" s="2552">
        <f ca="1">C67-C40</f>
        <v>-134503</v>
      </c>
      <c r="D46" s="2084"/>
      <c r="E46" s="2084"/>
      <c r="F46" s="2084"/>
      <c r="I46" s="2356" t="s">
        <v>2344</v>
      </c>
      <c r="J46" s="2357"/>
      <c r="K46" s="2358"/>
      <c r="L46" s="3136">
        <f>IF(OR(M47="住宅",D1="土地（套用方法）"),0,IF(L48&gt;J51,L60,J60))</f>
        <v>0</v>
      </c>
      <c r="O46" s="2372" t="s">
        <v>2411</v>
      </c>
      <c r="P46" s="1591"/>
      <c r="Q46" s="1603"/>
      <c r="R46" s="1591"/>
    </row>
    <row r="47" spans="1:18" s="2058" customFormat="1" ht="18" customHeight="1" thickBot="1">
      <c r="A47" s="2350">
        <v>1</v>
      </c>
      <c r="B47" s="2351" t="s">
        <v>635</v>
      </c>
      <c r="C47" s="2552">
        <f ca="1">C48+C52+C54</f>
        <v>0</v>
      </c>
      <c r="D47" s="2084"/>
      <c r="E47" s="2084"/>
      <c r="F47" s="2084"/>
      <c r="I47" s="3126" t="s">
        <v>2345</v>
      </c>
      <c r="J47" s="2359" t="s">
        <v>3129</v>
      </c>
      <c r="K47" s="3133" t="s">
        <v>2350</v>
      </c>
      <c r="L47" s="3137">
        <f ca="1">INDIRECT("'数据-取费表'!d"&amp;$G$1)</f>
        <v>40</v>
      </c>
      <c r="M47" s="1603" t="str">
        <f>IF(ISNUMBER(FIND("住宅",C1)),"住宅","非住宅")</f>
        <v>非住宅</v>
      </c>
      <c r="O47" s="2373" t="s">
        <v>2376</v>
      </c>
      <c r="P47" s="2374" t="s">
        <v>2377</v>
      </c>
      <c r="Q47" s="2375" t="s">
        <v>2378</v>
      </c>
      <c r="R47" s="2374" t="s">
        <v>2379</v>
      </c>
    </row>
    <row r="48" spans="1:18" s="2058" customFormat="1" ht="18" customHeight="1" thickBot="1">
      <c r="A48" s="2620" t="s">
        <v>2538</v>
      </c>
      <c r="B48" s="2621" t="s">
        <v>2539</v>
      </c>
      <c r="C48" s="2352">
        <f ca="1">ROUND(F48*F50*F49*(1-F51)/10000,0)</f>
        <v>0</v>
      </c>
      <c r="D48" s="2353" t="s">
        <v>636</v>
      </c>
      <c r="E48" s="2354" t="s">
        <v>2297</v>
      </c>
      <c r="F48" s="2355"/>
      <c r="G48" s="2089"/>
      <c r="I48" s="3102" t="s">
        <v>2346</v>
      </c>
      <c r="J48" s="2360" t="s">
        <v>2351</v>
      </c>
      <c r="K48" s="3134" t="s">
        <v>2352</v>
      </c>
      <c r="L48" s="1907">
        <f ca="1">INDIRECT("'数据-取费表'!f"&amp;$G$1)</f>
        <v>40</v>
      </c>
      <c r="O48" s="2376" t="s">
        <v>2380</v>
      </c>
      <c r="P48" s="2377" t="s">
        <v>2406</v>
      </c>
      <c r="Q48" s="2378">
        <f ca="1">C40+J29</f>
        <v>127813</v>
      </c>
      <c r="R48" s="2377" t="s">
        <v>2381</v>
      </c>
    </row>
    <row r="49" spans="1:18" s="2058" customFormat="1" ht="18" customHeight="1" thickBot="1">
      <c r="A49" s="786"/>
      <c r="B49" s="787"/>
      <c r="C49" s="788"/>
      <c r="D49" s="789"/>
      <c r="E49" s="784" t="s">
        <v>1740</v>
      </c>
      <c r="F49" s="785">
        <f ca="1">F7</f>
        <v>43329</v>
      </c>
      <c r="G49" s="2089"/>
      <c r="H49" s="2092"/>
      <c r="I49" s="3102" t="s">
        <v>2347</v>
      </c>
      <c r="J49" s="2361"/>
      <c r="K49" s="3135" t="s">
        <v>2353</v>
      </c>
      <c r="L49" s="2362"/>
      <c r="O49" s="2376" t="s">
        <v>2382</v>
      </c>
      <c r="P49" s="2377" t="s">
        <v>2407</v>
      </c>
      <c r="Q49" s="2378">
        <f ca="1">J60</f>
        <v>10252</v>
      </c>
      <c r="R49" s="2377" t="s">
        <v>2383</v>
      </c>
    </row>
    <row r="50" spans="1:18" s="2058" customFormat="1" ht="18" customHeight="1" thickBot="1">
      <c r="A50" s="786"/>
      <c r="B50" s="787"/>
      <c r="C50" s="788"/>
      <c r="D50" s="789"/>
      <c r="E50" s="784" t="s">
        <v>1741</v>
      </c>
      <c r="F50" s="785">
        <f ca="1">F8</f>
        <v>365</v>
      </c>
      <c r="G50" s="2094"/>
      <c r="H50" s="2092"/>
      <c r="I50" s="3102" t="s">
        <v>2348</v>
      </c>
      <c r="J50" s="3130">
        <f>SUMPRODUCT((I63:I65=J47)*(J62:L62=J48)*(J63:L65))</f>
        <v>60</v>
      </c>
      <c r="K50" s="3135" t="s">
        <v>2354</v>
      </c>
      <c r="L50" s="2362"/>
      <c r="O50" s="2379" t="s">
        <v>2384</v>
      </c>
      <c r="P50" s="2377" t="s">
        <v>2408</v>
      </c>
      <c r="Q50" s="2378">
        <f ca="1">C29</f>
        <v>25631</v>
      </c>
      <c r="R50" s="2377" t="s">
        <v>2381</v>
      </c>
    </row>
    <row r="51" spans="1:18" s="2058" customFormat="1" ht="18" customHeight="1" thickBot="1">
      <c r="A51" s="786"/>
      <c r="B51" s="787"/>
      <c r="C51" s="788"/>
      <c r="D51" s="789"/>
      <c r="E51" s="784" t="s">
        <v>640</v>
      </c>
      <c r="F51" s="2349"/>
      <c r="H51" s="2092"/>
      <c r="I51" s="3127" t="s">
        <v>2349</v>
      </c>
      <c r="J51" s="3131">
        <f>IF(J49="",J50,J49+J50-YEAR('数据-取费表'!B2))</f>
        <v>60</v>
      </c>
      <c r="K51" s="3102" t="s">
        <v>2355</v>
      </c>
      <c r="L51" s="3138">
        <f ca="1">ROUND(-PV(INDIRECT("'数据-取费表'!h"&amp;$G$1),L48,(C39-C13*J36),0),0)</f>
        <v>55053</v>
      </c>
      <c r="O51" s="2379" t="s">
        <v>2385</v>
      </c>
      <c r="P51" s="2377" t="s">
        <v>2386</v>
      </c>
      <c r="Q51" s="2380">
        <f ca="1">J58</f>
        <v>0.4</v>
      </c>
      <c r="R51" s="2381"/>
    </row>
    <row r="52" spans="1:18" s="2058" customFormat="1" ht="18" customHeight="1" thickBot="1">
      <c r="A52" s="781" t="s">
        <v>2537</v>
      </c>
      <c r="B52" s="2472" t="s">
        <v>2460</v>
      </c>
      <c r="C52" s="799">
        <f ca="1">ROUND(IF(F52="押一",C48/12*F11,IF(F52="押二",C48/12*2*F11,IF(F52="押三",C48/12*3*F11,C53*F11))),0)</f>
        <v>0</v>
      </c>
      <c r="D52" s="2479" t="s">
        <v>2980</v>
      </c>
      <c r="E52" s="2476" t="s">
        <v>2465</v>
      </c>
      <c r="F52" s="2599"/>
      <c r="I52" s="3128" t="s">
        <v>2422</v>
      </c>
      <c r="J52" s="2363"/>
      <c r="K52" s="3128" t="s">
        <v>2421</v>
      </c>
      <c r="L52" s="2363"/>
      <c r="O52" s="2379" t="s">
        <v>2387</v>
      </c>
      <c r="P52" s="2377" t="s">
        <v>2388</v>
      </c>
      <c r="Q52" s="2380">
        <f>J52</f>
        <v>0</v>
      </c>
      <c r="R52" s="2381"/>
    </row>
    <row r="53" spans="1:18" s="2058" customFormat="1" ht="39.75" customHeight="1" thickBot="1">
      <c r="A53" s="786"/>
      <c r="B53" s="2473" t="s">
        <v>2574</v>
      </c>
      <c r="C53" s="2477"/>
      <c r="D53" s="2479"/>
      <c r="E53" s="2476"/>
      <c r="F53" s="800"/>
      <c r="I53" s="3129" t="s">
        <v>2983</v>
      </c>
      <c r="J53" s="3132">
        <f ca="1">IF(M47="住宅",IF(D1="——",MAX(J51,L48),MAX(J51,L48-'数据-取费表'!B20)),IF(D1="——",MIN(J51,L48),MIN(J51,L48-'数据-取费表'!B20)))</f>
        <v>37.5</v>
      </c>
      <c r="K53" s="3503" t="s">
        <v>2971</v>
      </c>
      <c r="L53" s="3504"/>
      <c r="O53" s="2379" t="s">
        <v>2389</v>
      </c>
      <c r="P53" s="2377" t="s">
        <v>2390</v>
      </c>
      <c r="Q53" s="2378">
        <f ca="1">J53</f>
        <v>37.5</v>
      </c>
      <c r="R53" s="2377" t="s">
        <v>2391</v>
      </c>
    </row>
    <row r="54" spans="1:18" s="2058" customFormat="1" ht="18" customHeight="1" thickBot="1">
      <c r="A54" s="2515" t="s">
        <v>2468</v>
      </c>
      <c r="B54" s="2516" t="s">
        <v>2461</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2392</v>
      </c>
      <c r="P54" s="2377" t="s">
        <v>2409</v>
      </c>
      <c r="Q54" s="2378">
        <f ca="1">Q48+Q49</f>
        <v>138065</v>
      </c>
      <c r="R54" s="2381" t="s">
        <v>2393</v>
      </c>
    </row>
    <row r="55" spans="1:18" s="2058" customFormat="1" ht="18" customHeight="1" thickTop="1" thickBot="1">
      <c r="A55" s="797">
        <v>2</v>
      </c>
      <c r="B55" s="798" t="s">
        <v>644</v>
      </c>
      <c r="C55" s="799">
        <f ca="1">C13</f>
        <v>25631</v>
      </c>
      <c r="D55" s="795"/>
      <c r="E55" s="795"/>
      <c r="F55" s="800"/>
      <c r="I55" s="3141" t="s">
        <v>2356</v>
      </c>
      <c r="J55" s="3077">
        <f ca="1">ROUND(IF(J47="钢混",J57/J50,1-(1-2%)*(J50-J57)/J50),3)</f>
        <v>0.33300000000000002</v>
      </c>
      <c r="K55" s="3142" t="s">
        <v>2357</v>
      </c>
      <c r="L55" s="2364"/>
      <c r="O55" s="2382" t="s">
        <v>2412</v>
      </c>
      <c r="P55" s="1591"/>
      <c r="Q55" s="1603"/>
      <c r="R55" s="1591"/>
    </row>
    <row r="56" spans="1:18" s="2058" customFormat="1" ht="42.75" customHeight="1" thickBot="1">
      <c r="A56" s="1649"/>
      <c r="B56" s="2230" t="s">
        <v>2303</v>
      </c>
      <c r="C56" s="53">
        <f ca="1">C29</f>
        <v>25631</v>
      </c>
      <c r="D56" s="2617"/>
      <c r="E56" s="784"/>
      <c r="F56" s="809"/>
      <c r="I56" s="3143" t="s">
        <v>2358</v>
      </c>
      <c r="J56" s="3153"/>
      <c r="K56" s="3102" t="s">
        <v>2363</v>
      </c>
      <c r="L56" s="1907" t="str">
        <f ca="1">IF(L48&lt;J51,"——",L48-J51)</f>
        <v>——</v>
      </c>
      <c r="O56" s="2373" t="s">
        <v>2376</v>
      </c>
      <c r="P56" s="2374" t="s">
        <v>2377</v>
      </c>
      <c r="Q56" s="2375" t="s">
        <v>2378</v>
      </c>
      <c r="R56" s="2374" t="s">
        <v>2379</v>
      </c>
    </row>
    <row r="57" spans="1:18" s="2058" customFormat="1" ht="28.5" customHeight="1" thickBot="1">
      <c r="A57" s="797" t="s">
        <v>1749</v>
      </c>
      <c r="B57" s="798" t="s">
        <v>651</v>
      </c>
      <c r="C57" s="799">
        <f ca="1">ROUND(C58+C63+C64+C65,0)</f>
        <v>425</v>
      </c>
      <c r="D57" s="26" t="s">
        <v>1751</v>
      </c>
      <c r="E57" s="2618"/>
      <c r="F57" s="56"/>
      <c r="I57" s="3144" t="s">
        <v>2359</v>
      </c>
      <c r="J57" s="3145">
        <f ca="1">IF(OR(M47="住宅",J51&lt;L48,J56="是"),"——",J51-L48)</f>
        <v>20</v>
      </c>
      <c r="K57" s="3102" t="s">
        <v>2364</v>
      </c>
      <c r="L57" s="1907" t="str">
        <f ca="1">IF(L48&lt;J51,"——",IF(L55="比较法",L49,IF(L55="基准地价",L50,L51)))</f>
        <v>——</v>
      </c>
      <c r="O57" s="2376" t="s">
        <v>2380</v>
      </c>
      <c r="P57" s="2377" t="s">
        <v>2410</v>
      </c>
      <c r="Q57" s="2378">
        <f ca="1">C40+J29</f>
        <v>127813</v>
      </c>
      <c r="R57" s="2377" t="s">
        <v>2381</v>
      </c>
    </row>
    <row r="58" spans="1:18" s="2058" customFormat="1" ht="28.5" customHeight="1" thickBot="1">
      <c r="A58" s="1648" t="s">
        <v>1825</v>
      </c>
      <c r="B58" s="784" t="s">
        <v>656</v>
      </c>
      <c r="C58" s="53">
        <f ca="1">ROUND(IF(项目基本情况!B11="自然人",C47*F58,C59+C60+C61),1)</f>
        <v>2.1</v>
      </c>
      <c r="D58" s="2616" t="s">
        <v>657</v>
      </c>
      <c r="E58" s="2617" t="s">
        <v>690</v>
      </c>
      <c r="F58" s="810">
        <f ca="1">IF(项目基本情况!B11="企业","",IF(INDIRECT("'数据-取费表'!c"&amp;$G$1)="住宅",5%,IF(F48*F49*F50/12/(1+'数据-取费表'!C42)&gt;20000,12%,7%)))</f>
        <v>7.0000000000000007E-2</v>
      </c>
      <c r="I58" s="3144" t="s">
        <v>2360</v>
      </c>
      <c r="J58" s="3078">
        <f ca="1">IF(J55&lt;0.4,0.4,J55)</f>
        <v>0.4</v>
      </c>
      <c r="K58" s="3102" t="s">
        <v>2365</v>
      </c>
      <c r="L58" s="1907" t="e">
        <f ca="1">ROUND(POWER(1+L52,L47-L48)*(POWER(1+L52,L48)-1)/(POWER(1+L52,L47)-1),4)</f>
        <v>#DIV/0!</v>
      </c>
      <c r="O58" s="2376" t="s">
        <v>2382</v>
      </c>
      <c r="P58" s="2377" t="s">
        <v>2413</v>
      </c>
      <c r="Q58" s="2378">
        <f ca="1">L60</f>
        <v>0</v>
      </c>
      <c r="R58" s="2381" t="s">
        <v>2415</v>
      </c>
    </row>
    <row r="59" spans="1:18" s="2058" customFormat="1" ht="28.5" customHeight="1" thickBot="1">
      <c r="A59" s="1647" t="s">
        <v>1832</v>
      </c>
      <c r="B59" s="784" t="s">
        <v>660</v>
      </c>
      <c r="C59" s="53">
        <f ca="1">ROUND(C47*F59/1.05,1)</f>
        <v>0</v>
      </c>
      <c r="D59" s="2617" t="s">
        <v>1757</v>
      </c>
      <c r="E59" s="784" t="s">
        <v>1748</v>
      </c>
      <c r="F59" s="809">
        <f t="shared" ref="F59:F65" si="0">F32</f>
        <v>5.6000000000000001E-2</v>
      </c>
      <c r="I59" s="3144" t="s">
        <v>2361</v>
      </c>
      <c r="J59" s="3145">
        <f ca="1">IF(OR(M47="住宅",J51&lt;L48,J56="是"),"——",ROUND(C29*J58,0))</f>
        <v>10252</v>
      </c>
      <c r="K59" s="3102"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2384</v>
      </c>
      <c r="P59" s="2377" t="s">
        <v>2414</v>
      </c>
      <c r="Q59" s="2378">
        <f>IF(L55="比较法",L49,IF(L55="基准地价",L50,0))</f>
        <v>0</v>
      </c>
      <c r="R59" s="2377" t="s">
        <v>2381</v>
      </c>
    </row>
    <row r="60" spans="1:18" s="2058" customFormat="1" ht="18" customHeight="1" thickBot="1">
      <c r="A60" s="1647" t="s">
        <v>1833</v>
      </c>
      <c r="B60" s="784" t="s">
        <v>1759</v>
      </c>
      <c r="C60" s="53">
        <f ca="1">IF(D60="按租金收入计税",ROUND(C47*F60,1),IF(D60="按房产原值计税",ROUND(C56*F60*0.7,1),INDIRECT("'数据-取费表'!Aj"&amp;$G$1)))</f>
        <v>0</v>
      </c>
      <c r="D60" s="2617" t="str">
        <f>D33</f>
        <v>按租金收入计税</v>
      </c>
      <c r="E60" s="784" t="s">
        <v>1748</v>
      </c>
      <c r="F60" s="809">
        <f t="shared" si="0"/>
        <v>0.12</v>
      </c>
      <c r="I60" s="3146" t="s">
        <v>2362</v>
      </c>
      <c r="J60" s="3147">
        <f ca="1">IF(OR(M47="住宅",J51&lt;L48,J56="是"),"0",ROUND(J59/(1+J52)^J53,0))</f>
        <v>10252</v>
      </c>
      <c r="K60" s="3148" t="s">
        <v>2367</v>
      </c>
      <c r="L60" s="3147">
        <f ca="1">IF(OR(M47="住宅",L48&lt;J51),0,ROUND(L57*(L58/L59-1),0))</f>
        <v>0</v>
      </c>
      <c r="O60" s="2379" t="s">
        <v>2385</v>
      </c>
      <c r="P60" s="2377" t="s">
        <v>2394</v>
      </c>
      <c r="Q60" s="2380">
        <f>L52</f>
        <v>0</v>
      </c>
      <c r="R60" s="2381"/>
    </row>
    <row r="61" spans="1:18" s="2058" customFormat="1" ht="18" customHeight="1" thickBot="1">
      <c r="A61" s="1650" t="s">
        <v>1834</v>
      </c>
      <c r="B61" s="341" t="s">
        <v>668</v>
      </c>
      <c r="C61" s="54">
        <f ca="1">ROUND(F61*F62/10000,1)</f>
        <v>2.1</v>
      </c>
      <c r="D61" s="814" t="s">
        <v>669</v>
      </c>
      <c r="E61" s="784" t="s">
        <v>670</v>
      </c>
      <c r="F61" s="640">
        <f t="shared" si="0"/>
        <v>3</v>
      </c>
      <c r="K61" s="2085"/>
      <c r="O61" s="2379" t="s">
        <v>2387</v>
      </c>
      <c r="P61" s="2377" t="s">
        <v>2395</v>
      </c>
      <c r="Q61" s="2378" t="e">
        <f ca="1">L58</f>
        <v>#DIV/0!</v>
      </c>
      <c r="R61" s="2381" t="s">
        <v>2396</v>
      </c>
    </row>
    <row r="62" spans="1:18" s="2058" customFormat="1" ht="15.75" thickBot="1">
      <c r="A62" s="815"/>
      <c r="B62" s="793"/>
      <c r="C62" s="69"/>
      <c r="D62" s="816"/>
      <c r="E62" s="784" t="s">
        <v>674</v>
      </c>
      <c r="F62" s="785">
        <f t="shared" ca="1" si="0"/>
        <v>6866.6900000000005</v>
      </c>
      <c r="I62" s="3149" t="s">
        <v>2368</v>
      </c>
      <c r="J62" s="3150" t="s">
        <v>2369</v>
      </c>
      <c r="K62" s="3150" t="s">
        <v>2370</v>
      </c>
      <c r="L62" s="3150" t="s">
        <v>2351</v>
      </c>
      <c r="M62" s="3151" t="s">
        <v>2947</v>
      </c>
      <c r="O62" s="2379" t="s">
        <v>2389</v>
      </c>
      <c r="P62" s="2377" t="str">
        <f>K59</f>
        <v>建设期及建筑物耐用年限下的土地年期修正系数Kn</v>
      </c>
      <c r="Q62" s="2378" t="e">
        <f ca="1">L59</f>
        <v>#DIV/0!</v>
      </c>
      <c r="R62" s="2381" t="s">
        <v>2398</v>
      </c>
    </row>
    <row r="63" spans="1:18" s="2058" customFormat="1" ht="15.75" thickBot="1">
      <c r="A63" s="1648" t="s">
        <v>1890</v>
      </c>
      <c r="B63" s="784" t="s">
        <v>676</v>
      </c>
      <c r="C63" s="53">
        <f ca="1">ROUND(C56*F63,1)</f>
        <v>384.5</v>
      </c>
      <c r="D63" s="2617" t="s">
        <v>1804</v>
      </c>
      <c r="E63" s="784" t="s">
        <v>1748</v>
      </c>
      <c r="F63" s="817">
        <f t="shared" ca="1" si="0"/>
        <v>1.4999999999999999E-2</v>
      </c>
      <c r="I63" s="3149" t="s">
        <v>2371</v>
      </c>
      <c r="J63" s="3150">
        <v>70</v>
      </c>
      <c r="K63" s="3150">
        <v>50</v>
      </c>
      <c r="L63" s="3150">
        <v>80</v>
      </c>
      <c r="M63" s="3152">
        <v>0.02</v>
      </c>
      <c r="O63" s="2376" t="s">
        <v>2392</v>
      </c>
      <c r="P63" s="2377" t="s">
        <v>2409</v>
      </c>
      <c r="Q63" s="2378">
        <f ca="1">Q57+Q58</f>
        <v>127813</v>
      </c>
      <c r="R63" s="2381" t="s">
        <v>2393</v>
      </c>
    </row>
    <row r="64" spans="1:18" s="2058" customFormat="1" ht="16.5" thickBot="1">
      <c r="A64" s="1648" t="s">
        <v>1891</v>
      </c>
      <c r="B64" s="784" t="s">
        <v>679</v>
      </c>
      <c r="C64" s="53">
        <f ca="1">ROUND(C55*F64,1)</f>
        <v>38.4</v>
      </c>
      <c r="D64" s="2617" t="s">
        <v>680</v>
      </c>
      <c r="E64" s="784" t="s">
        <v>1748</v>
      </c>
      <c r="F64" s="818">
        <f t="shared" ca="1" si="0"/>
        <v>1.5E-3</v>
      </c>
      <c r="I64" s="3149" t="s">
        <v>2372</v>
      </c>
      <c r="J64" s="3150">
        <v>50</v>
      </c>
      <c r="K64" s="3150">
        <v>35</v>
      </c>
      <c r="L64" s="3150">
        <v>60</v>
      </c>
      <c r="M64" s="846">
        <v>0</v>
      </c>
      <c r="O64" s="2382" t="s">
        <v>2416</v>
      </c>
      <c r="P64" s="1591"/>
      <c r="Q64" s="1603"/>
      <c r="R64" s="1591"/>
    </row>
    <row r="65" spans="1:18" s="2058" customFormat="1" ht="15.75" thickBot="1">
      <c r="A65" s="1648" t="s">
        <v>1892</v>
      </c>
      <c r="B65" s="784" t="s">
        <v>666</v>
      </c>
      <c r="C65" s="53">
        <f ca="1">ROUND(C47*F65,1)</f>
        <v>0</v>
      </c>
      <c r="D65" s="2617" t="s">
        <v>683</v>
      </c>
      <c r="E65" s="784" t="s">
        <v>1748</v>
      </c>
      <c r="F65" s="794">
        <f t="shared" ca="1" si="0"/>
        <v>0.01</v>
      </c>
      <c r="I65" s="3149" t="s">
        <v>2373</v>
      </c>
      <c r="J65" s="3150">
        <v>40</v>
      </c>
      <c r="K65" s="3150">
        <v>30</v>
      </c>
      <c r="L65" s="3150">
        <v>50</v>
      </c>
      <c r="M65" s="3152">
        <v>0.02</v>
      </c>
      <c r="O65" s="2373" t="s">
        <v>2376</v>
      </c>
      <c r="P65" s="2374" t="s">
        <v>2377</v>
      </c>
      <c r="Q65" s="2375" t="s">
        <v>2378</v>
      </c>
      <c r="R65" s="2374" t="s">
        <v>2379</v>
      </c>
    </row>
    <row r="66" spans="1:18" s="2058" customFormat="1" ht="24.75" thickBot="1">
      <c r="A66" s="797" t="s">
        <v>1777</v>
      </c>
      <c r="B66" s="2986" t="s">
        <v>2823</v>
      </c>
      <c r="C66" s="799">
        <f ca="1">C47-C57</f>
        <v>-425</v>
      </c>
      <c r="D66" s="2616" t="s">
        <v>700</v>
      </c>
      <c r="E66" s="2615"/>
      <c r="F66" s="820"/>
      <c r="K66" s="2085"/>
      <c r="O66" s="2376" t="s">
        <v>2380</v>
      </c>
      <c r="P66" s="2377" t="s">
        <v>2410</v>
      </c>
      <c r="Q66" s="2378">
        <f ca="1">C40+J29</f>
        <v>127813</v>
      </c>
      <c r="R66" s="2377" t="s">
        <v>2381</v>
      </c>
    </row>
    <row r="67" spans="1:18" s="2058" customFormat="1" ht="20.25" thickBot="1">
      <c r="A67" s="781" t="s">
        <v>1781</v>
      </c>
      <c r="B67" s="2231" t="s">
        <v>2302</v>
      </c>
      <c r="C67" s="783">
        <f ca="1">ROUND(C66*(1-((1+F69)/(1+F67))^F68)/(F67-F69),0)</f>
        <v>-6690</v>
      </c>
      <c r="D67" s="814" t="s">
        <v>704</v>
      </c>
      <c r="E67" s="784" t="s">
        <v>705</v>
      </c>
      <c r="F67" s="794">
        <f ca="1">F40</f>
        <v>5.5E-2</v>
      </c>
      <c r="K67" s="2085"/>
      <c r="O67" s="2376" t="s">
        <v>2382</v>
      </c>
      <c r="P67" s="2377" t="s">
        <v>2413</v>
      </c>
      <c r="Q67" s="2378">
        <f ca="1">L60</f>
        <v>0</v>
      </c>
      <c r="R67" s="2381" t="s">
        <v>2415</v>
      </c>
    </row>
    <row r="68" spans="1:18" ht="21.75" thickBot="1">
      <c r="A68" s="786"/>
      <c r="B68" s="787"/>
      <c r="C68" s="788"/>
      <c r="D68" s="821" t="s">
        <v>1809</v>
      </c>
      <c r="E68" s="784" t="s">
        <v>1785</v>
      </c>
      <c r="F68" s="822">
        <f ca="1">F41</f>
        <v>37.5</v>
      </c>
      <c r="O68" s="2379" t="s">
        <v>2384</v>
      </c>
      <c r="P68" s="2377" t="s">
        <v>2414</v>
      </c>
      <c r="Q68" s="2383">
        <f ca="1">L51</f>
        <v>55053</v>
      </c>
      <c r="R68" s="2384" t="s">
        <v>2417</v>
      </c>
    </row>
    <row r="69" spans="1:18" ht="20.25" thickBot="1">
      <c r="A69" s="790"/>
      <c r="B69" s="791"/>
      <c r="C69" s="792"/>
      <c r="D69" s="816"/>
      <c r="E69" s="784" t="s">
        <v>710</v>
      </c>
      <c r="F69" s="2349"/>
      <c r="O69" s="2379" t="s">
        <v>2385</v>
      </c>
      <c r="P69" s="2385" t="s">
        <v>2399</v>
      </c>
      <c r="Q69" s="2378">
        <f ca="1">ROUND(Q70-Q71*Q72,0)</f>
        <v>3208</v>
      </c>
      <c r="R69" s="2381"/>
    </row>
    <row r="70" spans="1:18" ht="15.75" thickBot="1">
      <c r="A70" s="823" t="s">
        <v>1788</v>
      </c>
      <c r="B70" s="824" t="s">
        <v>1811</v>
      </c>
      <c r="C70" s="825">
        <f ca="1">ROUND(C67*10000/F70,0)</f>
        <v>-1544</v>
      </c>
      <c r="D70" s="826" t="s">
        <v>1812</v>
      </c>
      <c r="E70" s="827" t="s">
        <v>1813</v>
      </c>
      <c r="F70" s="828">
        <f ca="1">F43</f>
        <v>43329</v>
      </c>
      <c r="O70" s="2379" t="s">
        <v>2400</v>
      </c>
      <c r="P70" s="2385" t="s">
        <v>2401</v>
      </c>
      <c r="Q70" s="2378">
        <f ca="1">C39</f>
        <v>5387</v>
      </c>
      <c r="R70" s="2377" t="s">
        <v>2381</v>
      </c>
    </row>
    <row r="71" spans="1:18" ht="15.75" thickBot="1">
      <c r="O71" s="2379" t="s">
        <v>2402</v>
      </c>
      <c r="P71" s="2385" t="s">
        <v>2403</v>
      </c>
      <c r="Q71" s="2378">
        <f ca="1">C13</f>
        <v>25631</v>
      </c>
      <c r="R71" s="2377" t="s">
        <v>2381</v>
      </c>
    </row>
    <row r="72" spans="1:18" ht="15.75" thickBot="1">
      <c r="O72" s="2379" t="s">
        <v>2404</v>
      </c>
      <c r="P72" s="2385" t="s">
        <v>2405</v>
      </c>
      <c r="Q72" s="2380">
        <f ca="1">J36</f>
        <v>8.5000000000000006E-2</v>
      </c>
      <c r="R72" s="2381"/>
    </row>
    <row r="73" spans="1:18" ht="15.75" thickBot="1">
      <c r="O73" s="2379" t="s">
        <v>2387</v>
      </c>
      <c r="P73" s="2377" t="s">
        <v>2394</v>
      </c>
      <c r="Q73" s="2380">
        <f>L52</f>
        <v>0</v>
      </c>
      <c r="R73" s="2381"/>
    </row>
    <row r="74" spans="1:18" ht="20.25" thickBot="1">
      <c r="O74" s="2379" t="s">
        <v>2389</v>
      </c>
      <c r="P74" s="2377" t="s">
        <v>2395</v>
      </c>
      <c r="Q74" s="2378" t="e">
        <f ca="1">L58</f>
        <v>#DIV/0!</v>
      </c>
      <c r="R74" s="2381" t="s">
        <v>2396</v>
      </c>
    </row>
    <row r="75" spans="1:18" ht="15.75" thickBot="1">
      <c r="O75" s="2379" t="s">
        <v>2418</v>
      </c>
      <c r="P75" s="2377" t="str">
        <f>K59</f>
        <v>建设期及建筑物耐用年限下的土地年期修正系数Kn</v>
      </c>
      <c r="Q75" s="2378" t="e">
        <f ca="1">L59</f>
        <v>#DIV/0!</v>
      </c>
      <c r="R75" s="2381" t="s">
        <v>2398</v>
      </c>
    </row>
    <row r="76" spans="1:18" ht="15.75" thickBot="1">
      <c r="O76" s="2376" t="s">
        <v>2392</v>
      </c>
      <c r="P76" s="2377" t="s">
        <v>2409</v>
      </c>
      <c r="Q76" s="2378">
        <f ca="1">Q66+Q67</f>
        <v>127813</v>
      </c>
      <c r="R76" s="238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5" zoomScale="80" zoomScaleNormal="80" workbookViewId="0">
      <selection activeCell="M9" sqref="M9"/>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t="s">
        <v>1678</v>
      </c>
      <c r="E1" s="506"/>
      <c r="F1" s="2785" t="s">
        <v>3151</v>
      </c>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f>ROUND(B3*D3/10000,0)</f>
        <v>222421</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f>C50</f>
        <v>51333</v>
      </c>
      <c r="C3" s="852" t="s">
        <v>722</v>
      </c>
      <c r="D3" s="851">
        <f>SUMIF('数据-汇总表'!$C19:$C33,D1,'数据-汇总表'!$E19:$E33)</f>
        <v>43329</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415" t="s">
        <v>522</v>
      </c>
      <c r="D4" s="3416"/>
      <c r="E4" s="3449" t="s">
        <v>523</v>
      </c>
      <c r="F4" s="3450"/>
      <c r="G4" s="3415" t="s">
        <v>524</v>
      </c>
      <c r="H4" s="3416"/>
      <c r="I4" s="3415" t="s">
        <v>525</v>
      </c>
      <c r="J4" s="3416"/>
      <c r="K4" s="514" t="s">
        <v>526</v>
      </c>
      <c r="L4" s="2132"/>
      <c r="M4" s="2133"/>
      <c r="N4" s="2133"/>
      <c r="O4" s="2133"/>
      <c r="P4" s="3506" t="s">
        <v>527</v>
      </c>
      <c r="Q4" s="3418"/>
      <c r="R4" s="3423" t="s">
        <v>523</v>
      </c>
      <c r="S4" s="3424"/>
      <c r="T4" s="3423" t="s">
        <v>524</v>
      </c>
      <c r="U4" s="3424"/>
      <c r="V4" s="3410" t="s">
        <v>525</v>
      </c>
      <c r="W4" s="3410"/>
      <c r="X4" s="1566"/>
      <c r="Y4" s="3423" t="s">
        <v>527</v>
      </c>
      <c r="Z4" s="3424"/>
      <c r="AA4" s="3412" t="s">
        <v>523</v>
      </c>
      <c r="AB4" s="3412" t="s">
        <v>524</v>
      </c>
      <c r="AC4" s="3412" t="s">
        <v>525</v>
      </c>
    </row>
    <row r="5" spans="1:29" ht="15">
      <c r="A5" s="515"/>
      <c r="B5" s="516"/>
      <c r="C5" s="3431" t="s">
        <v>2932</v>
      </c>
      <c r="D5" s="3432"/>
      <c r="E5" s="3502" t="s">
        <v>3166</v>
      </c>
      <c r="F5" s="3452"/>
      <c r="G5" s="3501" t="s">
        <v>3162</v>
      </c>
      <c r="H5" s="3432"/>
      <c r="I5" s="3501" t="s">
        <v>3164</v>
      </c>
      <c r="J5" s="3432"/>
      <c r="K5" s="514"/>
      <c r="L5" s="2132"/>
      <c r="M5" s="2133"/>
      <c r="N5" s="2133"/>
      <c r="O5" s="2133"/>
      <c r="P5" s="3507"/>
      <c r="Q5" s="3420"/>
      <c r="R5" s="3425"/>
      <c r="S5" s="3426"/>
      <c r="T5" s="3425"/>
      <c r="U5" s="3426"/>
      <c r="V5" s="3410"/>
      <c r="W5" s="3410"/>
      <c r="X5" s="1566"/>
      <c r="Y5" s="3425"/>
      <c r="Z5" s="3426"/>
      <c r="AA5" s="3413"/>
      <c r="AB5" s="3413"/>
      <c r="AC5" s="3413"/>
    </row>
    <row r="6" spans="1:29" ht="15.75" thickBot="1">
      <c r="A6" s="517"/>
      <c r="B6" s="518"/>
      <c r="C6" s="3429" t="s">
        <v>2936</v>
      </c>
      <c r="D6" s="3430"/>
      <c r="E6" s="3447" t="s">
        <v>2936</v>
      </c>
      <c r="F6" s="3448"/>
      <c r="G6" s="3429" t="s">
        <v>2936</v>
      </c>
      <c r="H6" s="3430"/>
      <c r="I6" s="3429" t="s">
        <v>2936</v>
      </c>
      <c r="J6" s="3430"/>
      <c r="K6" s="514" t="s">
        <v>528</v>
      </c>
      <c r="L6" s="2132"/>
      <c r="M6" s="2133"/>
      <c r="N6" s="2133"/>
      <c r="O6" s="2133"/>
      <c r="P6" s="3508"/>
      <c r="Q6" s="3422"/>
      <c r="R6" s="3425"/>
      <c r="S6" s="3426"/>
      <c r="T6" s="3427"/>
      <c r="U6" s="3428"/>
      <c r="V6" s="3410"/>
      <c r="W6" s="3410"/>
      <c r="X6" s="1566"/>
      <c r="Y6" s="3427"/>
      <c r="Z6" s="3428"/>
      <c r="AA6" s="3414"/>
      <c r="AB6" s="3414"/>
      <c r="AC6" s="3414"/>
    </row>
    <row r="7" spans="1:29" s="1219" customFormat="1" ht="15.75" thickBot="1">
      <c r="A7" s="2890"/>
      <c r="B7" s="2897" t="s">
        <v>529</v>
      </c>
      <c r="C7" s="519">
        <f>'数据-取费表'!B2</f>
        <v>43489</v>
      </c>
      <c r="D7" s="520">
        <v>100</v>
      </c>
      <c r="E7" s="521">
        <v>43435</v>
      </c>
      <c r="F7" s="522">
        <f>SUMIF(59:59,YEAR(E7)&amp;"-"&amp;MONTH(E7),60:60)</f>
        <v>100</v>
      </c>
      <c r="G7" s="521">
        <v>43435</v>
      </c>
      <c r="H7" s="520">
        <f>SUMIF(59:59,YEAR(G7)&amp;"-"&amp;MONTH(G7),60:60)</f>
        <v>100</v>
      </c>
      <c r="I7" s="521">
        <v>43435</v>
      </c>
      <c r="J7" s="520">
        <f>SUMIF(59:59,YEAR(I7)&amp;"-"&amp;MONTH(I7),60:60)</f>
        <v>100</v>
      </c>
      <c r="K7" s="524"/>
      <c r="L7" s="2134"/>
      <c r="M7" s="2135"/>
      <c r="N7" s="2135"/>
      <c r="O7" s="2135"/>
      <c r="P7" s="3442" t="s">
        <v>530</v>
      </c>
      <c r="Q7" s="3442"/>
      <c r="R7" s="1567" t="s">
        <v>8</v>
      </c>
      <c r="S7" s="1568">
        <f t="shared" ref="S7:S15" si="0">F7</f>
        <v>100</v>
      </c>
      <c r="T7" s="1567" t="s">
        <v>8</v>
      </c>
      <c r="U7" s="1568">
        <f t="shared" ref="U7:U15" si="1">H7</f>
        <v>100</v>
      </c>
      <c r="V7" s="1567" t="s">
        <v>8</v>
      </c>
      <c r="W7" s="1568">
        <f t="shared" ref="W7:W15" si="2">J7</f>
        <v>100</v>
      </c>
      <c r="X7" s="1569"/>
      <c r="Y7" s="3440" t="s">
        <v>530</v>
      </c>
      <c r="Z7" s="3441"/>
      <c r="AA7" s="1570">
        <f>D7/F7</f>
        <v>1</v>
      </c>
      <c r="AB7" s="1570">
        <f>D7/H7</f>
        <v>1</v>
      </c>
      <c r="AC7" s="1570">
        <f>D7/J7</f>
        <v>1</v>
      </c>
    </row>
    <row r="8" spans="1:29" s="1219" customFormat="1" ht="15.75" thickBot="1">
      <c r="A8" s="2891"/>
      <c r="B8" s="2898"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4"/>
      <c r="M8" s="2135"/>
      <c r="N8" s="2135"/>
      <c r="O8" s="2135"/>
      <c r="P8" s="3442" t="s">
        <v>533</v>
      </c>
      <c r="Q8" s="3441"/>
      <c r="R8" s="1567" t="s">
        <v>8</v>
      </c>
      <c r="S8" s="1568">
        <f t="shared" si="0"/>
        <v>100</v>
      </c>
      <c r="T8" s="1567" t="s">
        <v>8</v>
      </c>
      <c r="U8" s="1568">
        <f t="shared" si="1"/>
        <v>100</v>
      </c>
      <c r="V8" s="1567" t="s">
        <v>8</v>
      </c>
      <c r="W8" s="1568">
        <f t="shared" si="2"/>
        <v>100</v>
      </c>
      <c r="X8" s="1569"/>
      <c r="Y8" s="3440" t="s">
        <v>533</v>
      </c>
      <c r="Z8" s="3441"/>
      <c r="AA8" s="1570">
        <f t="shared" ref="AA8:AA47" si="3">D8/F8</f>
        <v>1</v>
      </c>
      <c r="AB8" s="1570">
        <f t="shared" ref="AB8:AB47" si="4">D8/H8</f>
        <v>1</v>
      </c>
      <c r="AC8" s="1570">
        <f t="shared" ref="AC8:AC47" si="5">D8/J8</f>
        <v>1</v>
      </c>
    </row>
    <row r="9" spans="1:29" s="1219"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09" t="s">
        <v>535</v>
      </c>
      <c r="Q9" s="1150" t="str">
        <f t="shared" ref="Q9:Q15" si="6">B9</f>
        <v>用途</v>
      </c>
      <c r="R9" s="1567" t="s">
        <v>8</v>
      </c>
      <c r="S9" s="1568">
        <f t="shared" si="0"/>
        <v>100</v>
      </c>
      <c r="T9" s="1567" t="s">
        <v>8</v>
      </c>
      <c r="U9" s="1568">
        <f t="shared" si="1"/>
        <v>100</v>
      </c>
      <c r="V9" s="1567" t="s">
        <v>8</v>
      </c>
      <c r="W9" s="1568">
        <f t="shared" si="2"/>
        <v>100</v>
      </c>
      <c r="X9" s="1569"/>
      <c r="Y9" s="3349" t="s">
        <v>536</v>
      </c>
      <c r="Z9" s="1149" t="str">
        <f t="shared" ref="Z9:Z15" si="7">Q9</f>
        <v>用途</v>
      </c>
      <c r="AA9" s="1570">
        <f t="shared" si="3"/>
        <v>1</v>
      </c>
      <c r="AB9" s="1570">
        <f t="shared" si="4"/>
        <v>1</v>
      </c>
      <c r="AC9" s="1570">
        <f t="shared" si="5"/>
        <v>1</v>
      </c>
    </row>
    <row r="10" spans="1:29" s="1337" customFormat="1" ht="27">
      <c r="A10" s="2893"/>
      <c r="B10" s="2898" t="s">
        <v>2758</v>
      </c>
      <c r="C10" s="861" t="s">
        <v>3165</v>
      </c>
      <c r="D10" s="255">
        <v>100</v>
      </c>
      <c r="E10" s="861" t="s">
        <v>3165</v>
      </c>
      <c r="F10" s="255">
        <f>SUMIF(66:66,E10,67:67)-SUMIF(66:66,C10,67:67)+100</f>
        <v>100</v>
      </c>
      <c r="G10" s="861" t="s">
        <v>3165</v>
      </c>
      <c r="H10" s="255">
        <f>SUMIF(66:66,G10,67:67)-SUMIF(66:66,C10,67:67)+100</f>
        <v>100</v>
      </c>
      <c r="I10" s="861" t="s">
        <v>3165</v>
      </c>
      <c r="J10" s="255">
        <f>SUMIF(66:66,I10,67:67)-SUMIF(66:66,C10,67:67)+100</f>
        <v>100</v>
      </c>
      <c r="K10" s="584"/>
      <c r="L10" s="2137"/>
      <c r="M10" s="2177"/>
      <c r="N10" s="2177"/>
      <c r="O10" s="2177"/>
      <c r="P10" s="3409"/>
      <c r="Q10" s="1150" t="str">
        <f t="shared" si="6"/>
        <v>土地使用年限（年）</v>
      </c>
      <c r="R10" s="1567" t="s">
        <v>8</v>
      </c>
      <c r="S10" s="1568">
        <f t="shared" si="0"/>
        <v>100</v>
      </c>
      <c r="T10" s="1567" t="s">
        <v>8</v>
      </c>
      <c r="U10" s="1568">
        <f t="shared" si="1"/>
        <v>100</v>
      </c>
      <c r="V10" s="1567" t="s">
        <v>8</v>
      </c>
      <c r="W10" s="1568">
        <f t="shared" si="2"/>
        <v>100</v>
      </c>
      <c r="X10" s="1569"/>
      <c r="Y10" s="3349"/>
      <c r="Z10" s="1149" t="str">
        <f t="shared" si="7"/>
        <v>土地使用年限（年）</v>
      </c>
      <c r="AA10" s="1570">
        <f t="shared" si="3"/>
        <v>1</v>
      </c>
      <c r="AB10" s="1570">
        <f t="shared" si="4"/>
        <v>1</v>
      </c>
      <c r="AC10" s="1570">
        <f t="shared" si="5"/>
        <v>1</v>
      </c>
    </row>
    <row r="11" spans="1:29" ht="15.75" thickBot="1">
      <c r="A11" s="2894"/>
      <c r="B11" s="2898" t="s">
        <v>2759</v>
      </c>
      <c r="C11" s="533">
        <f>'数据-汇总表'!I6</f>
        <v>6.5</v>
      </c>
      <c r="D11" s="255">
        <v>100</v>
      </c>
      <c r="E11" s="533">
        <v>4.43</v>
      </c>
      <c r="F11" s="255">
        <f>LOOKUP(E11,69:69,70:70)-LOOKUP(C11,69:69,70:70)+100</f>
        <v>100</v>
      </c>
      <c r="G11" s="534">
        <v>5.83</v>
      </c>
      <c r="H11" s="255">
        <f>LOOKUP(G11,69:69,70:70)-LOOKUP(C11,69:69,70:70)+100</f>
        <v>100</v>
      </c>
      <c r="I11" s="533">
        <v>3.7</v>
      </c>
      <c r="J11" s="255">
        <f>LOOKUP(I11,69:69,70:70)-LOOKUP(C11,69:69,70:70)+100</f>
        <v>100</v>
      </c>
      <c r="K11" s="584"/>
      <c r="L11" s="2139"/>
      <c r="M11" s="2133"/>
      <c r="N11" s="2133"/>
      <c r="O11" s="2133"/>
      <c r="P11" s="3409"/>
      <c r="Q11" s="1150" t="str">
        <f t="shared" si="6"/>
        <v>容积率</v>
      </c>
      <c r="R11" s="1567" t="s">
        <v>8</v>
      </c>
      <c r="S11" s="1568">
        <f t="shared" si="0"/>
        <v>100</v>
      </c>
      <c r="T11" s="1567" t="s">
        <v>8</v>
      </c>
      <c r="U11" s="1568">
        <f t="shared" si="1"/>
        <v>100</v>
      </c>
      <c r="V11" s="1567" t="s">
        <v>8</v>
      </c>
      <c r="W11" s="1568">
        <f t="shared" si="2"/>
        <v>100</v>
      </c>
      <c r="X11" s="1569"/>
      <c r="Y11" s="3349"/>
      <c r="Z11" s="1149" t="str">
        <f t="shared" si="7"/>
        <v>容积率</v>
      </c>
      <c r="AA11" s="1570">
        <f t="shared" si="3"/>
        <v>1</v>
      </c>
      <c r="AB11" s="1570">
        <f t="shared" si="4"/>
        <v>1</v>
      </c>
      <c r="AC11" s="1570">
        <f t="shared" si="5"/>
        <v>1</v>
      </c>
    </row>
    <row r="12" spans="1:29" s="1219" customFormat="1" ht="15" hidden="1">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09"/>
      <c r="Q12" s="1150">
        <f t="shared" si="6"/>
        <v>111</v>
      </c>
      <c r="R12" s="1567" t="s">
        <v>8</v>
      </c>
      <c r="S12" s="1568">
        <f t="shared" si="0"/>
        <v>100</v>
      </c>
      <c r="T12" s="1567" t="s">
        <v>8</v>
      </c>
      <c r="U12" s="1568">
        <f t="shared" si="1"/>
        <v>100</v>
      </c>
      <c r="V12" s="1567" t="s">
        <v>8</v>
      </c>
      <c r="W12" s="1568">
        <f t="shared" si="2"/>
        <v>100</v>
      </c>
      <c r="X12" s="1569"/>
      <c r="Y12" s="3349"/>
      <c r="Z12" s="1149">
        <f t="shared" si="7"/>
        <v>111</v>
      </c>
      <c r="AA12" s="1570">
        <f>D12/F12</f>
        <v>1</v>
      </c>
      <c r="AB12" s="1570">
        <f>D12/H12</f>
        <v>1</v>
      </c>
      <c r="AC12" s="1570">
        <f>D12/J12</f>
        <v>1</v>
      </c>
    </row>
    <row r="13" spans="1:29" ht="15" hidden="1">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09"/>
      <c r="Q13" s="1150">
        <f t="shared" si="6"/>
        <v>111</v>
      </c>
      <c r="R13" s="1567" t="s">
        <v>8</v>
      </c>
      <c r="S13" s="1568">
        <f t="shared" si="0"/>
        <v>100</v>
      </c>
      <c r="T13" s="1567" t="s">
        <v>8</v>
      </c>
      <c r="U13" s="1568">
        <f t="shared" si="1"/>
        <v>100</v>
      </c>
      <c r="V13" s="1567" t="s">
        <v>8</v>
      </c>
      <c r="W13" s="1568">
        <f t="shared" si="2"/>
        <v>100</v>
      </c>
      <c r="X13" s="1569"/>
      <c r="Y13" s="3349"/>
      <c r="Z13" s="1149">
        <f t="shared" si="7"/>
        <v>111</v>
      </c>
      <c r="AA13" s="1570">
        <f t="shared" si="3"/>
        <v>1</v>
      </c>
      <c r="AB13" s="1570">
        <f t="shared" si="4"/>
        <v>1</v>
      </c>
      <c r="AC13" s="1570">
        <f t="shared" si="5"/>
        <v>1</v>
      </c>
    </row>
    <row r="14" spans="1:29" ht="15.75" hidden="1"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09"/>
      <c r="Q14" s="1150">
        <f t="shared" si="6"/>
        <v>111</v>
      </c>
      <c r="R14" s="1567" t="s">
        <v>8</v>
      </c>
      <c r="S14" s="1568">
        <f t="shared" si="0"/>
        <v>100</v>
      </c>
      <c r="T14" s="1567" t="s">
        <v>8</v>
      </c>
      <c r="U14" s="1568">
        <f t="shared" si="1"/>
        <v>100</v>
      </c>
      <c r="V14" s="1567" t="s">
        <v>8</v>
      </c>
      <c r="W14" s="1568">
        <f t="shared" si="2"/>
        <v>100</v>
      </c>
      <c r="X14" s="1569"/>
      <c r="Y14" s="3349"/>
      <c r="Z14" s="1149">
        <f t="shared" si="7"/>
        <v>111</v>
      </c>
      <c r="AA14" s="1570">
        <f t="shared" si="3"/>
        <v>1</v>
      </c>
      <c r="AB14" s="1570">
        <f t="shared" si="4"/>
        <v>1</v>
      </c>
      <c r="AC14" s="1570">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v>3</v>
      </c>
      <c r="L15" s="2141"/>
      <c r="M15" s="2133"/>
      <c r="N15" s="2133"/>
      <c r="O15" s="2133"/>
      <c r="P15" s="3443" t="s">
        <v>540</v>
      </c>
      <c r="Q15" s="1571" t="str">
        <f t="shared" si="6"/>
        <v>办公集聚程度</v>
      </c>
      <c r="R15" s="1572" t="s">
        <v>8</v>
      </c>
      <c r="S15" s="1573">
        <f t="shared" si="0"/>
        <v>100</v>
      </c>
      <c r="T15" s="1572" t="s">
        <v>8</v>
      </c>
      <c r="U15" s="1573">
        <f t="shared" si="1"/>
        <v>100</v>
      </c>
      <c r="V15" s="1572" t="s">
        <v>8</v>
      </c>
      <c r="W15" s="1573">
        <f t="shared" si="2"/>
        <v>100</v>
      </c>
      <c r="X15" s="1566"/>
      <c r="Y15" s="3443" t="s">
        <v>540</v>
      </c>
      <c r="Z15" s="1574" t="str">
        <f t="shared" si="7"/>
        <v>办公集聚程度</v>
      </c>
      <c r="AA15" s="1575">
        <f t="shared" si="3"/>
        <v>1</v>
      </c>
      <c r="AB15" s="1575">
        <f t="shared" si="4"/>
        <v>1</v>
      </c>
      <c r="AC15" s="1575">
        <f t="shared" si="5"/>
        <v>1</v>
      </c>
    </row>
    <row r="16" spans="1:29" ht="15">
      <c r="A16" s="532"/>
      <c r="B16" s="553"/>
      <c r="C16" s="554" t="s">
        <v>3109</v>
      </c>
      <c r="D16" s="555"/>
      <c r="E16" s="554" t="s">
        <v>3109</v>
      </c>
      <c r="F16" s="555"/>
      <c r="G16" s="554" t="s">
        <v>3109</v>
      </c>
      <c r="H16" s="559"/>
      <c r="I16" s="554" t="s">
        <v>3109</v>
      </c>
      <c r="J16" s="555"/>
      <c r="K16" s="898"/>
      <c r="L16" s="2141"/>
      <c r="M16" s="2133"/>
      <c r="N16" s="2133"/>
      <c r="O16" s="2133"/>
      <c r="P16" s="3444"/>
      <c r="Q16" s="1571"/>
      <c r="R16" s="1572"/>
      <c r="S16" s="1573"/>
      <c r="T16" s="1572"/>
      <c r="U16" s="1573"/>
      <c r="V16" s="1572"/>
      <c r="W16" s="1573"/>
      <c r="X16" s="1566"/>
      <c r="Y16" s="3444"/>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97</v>
      </c>
      <c r="G17" s="562"/>
      <c r="H17" s="565">
        <f>SUMIF(79:79,G18,80:80)-SUMIF(79:79,C18,80:80)+100</f>
        <v>97</v>
      </c>
      <c r="I17" s="562"/>
      <c r="J17" s="565">
        <f>SUMIF(79:79,I18,80:80)-SUMIF(79:79,C18,80:80)+100</f>
        <v>97</v>
      </c>
      <c r="K17" s="897">
        <v>3</v>
      </c>
      <c r="L17" s="2141"/>
      <c r="M17" s="2133"/>
      <c r="N17" s="2133"/>
      <c r="O17" s="2133"/>
      <c r="P17" s="3444"/>
      <c r="Q17" s="1571" t="str">
        <f>B17</f>
        <v>交通便捷度</v>
      </c>
      <c r="R17" s="1572" t="s">
        <v>8</v>
      </c>
      <c r="S17" s="1573">
        <f>F17</f>
        <v>97</v>
      </c>
      <c r="T17" s="1572" t="s">
        <v>8</v>
      </c>
      <c r="U17" s="1573">
        <f>H17</f>
        <v>97</v>
      </c>
      <c r="V17" s="1572" t="s">
        <v>8</v>
      </c>
      <c r="W17" s="1573">
        <f>J17</f>
        <v>97</v>
      </c>
      <c r="X17" s="1566"/>
      <c r="Y17" s="3444"/>
      <c r="Z17" s="1574" t="str">
        <f>Q17</f>
        <v>交通便捷度</v>
      </c>
      <c r="AA17" s="1575">
        <f t="shared" si="3"/>
        <v>1.0309278350515463</v>
      </c>
      <c r="AB17" s="1575">
        <f t="shared" si="4"/>
        <v>1.0309278350515463</v>
      </c>
      <c r="AC17" s="1575">
        <f t="shared" si="5"/>
        <v>1.0309278350515463</v>
      </c>
    </row>
    <row r="18" spans="1:29" ht="15">
      <c r="A18" s="532"/>
      <c r="B18" s="566"/>
      <c r="C18" s="567" t="s">
        <v>3108</v>
      </c>
      <c r="D18" s="559"/>
      <c r="E18" s="569" t="s">
        <v>3109</v>
      </c>
      <c r="F18" s="559"/>
      <c r="G18" s="569" t="s">
        <v>3109</v>
      </c>
      <c r="H18" s="555"/>
      <c r="I18" s="568" t="s">
        <v>3109</v>
      </c>
      <c r="J18" s="555"/>
      <c r="K18" s="898"/>
      <c r="L18" s="2141"/>
      <c r="M18" s="2133"/>
      <c r="N18" s="2133"/>
      <c r="O18" s="2133"/>
      <c r="P18" s="3444"/>
      <c r="Q18" s="1571"/>
      <c r="R18" s="1572"/>
      <c r="S18" s="1573"/>
      <c r="T18" s="1572"/>
      <c r="U18" s="1573"/>
      <c r="V18" s="1572"/>
      <c r="W18" s="1573"/>
      <c r="X18" s="1566"/>
      <c r="Y18" s="3444"/>
      <c r="Z18" s="1574"/>
      <c r="AA18" s="1575">
        <v>1</v>
      </c>
      <c r="AB18" s="1575">
        <v>1</v>
      </c>
      <c r="AC18" s="1575">
        <v>1</v>
      </c>
    </row>
    <row r="19" spans="1:29" ht="42.75">
      <c r="A19" s="532"/>
      <c r="B19" s="2581"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v>3</v>
      </c>
      <c r="L19" s="2141"/>
      <c r="M19" s="2133"/>
      <c r="N19" s="2133"/>
      <c r="O19" s="2133"/>
      <c r="P19" s="3444"/>
      <c r="Q19" s="1571" t="str">
        <f>B19</f>
        <v>公共配套设施</v>
      </c>
      <c r="R19" s="1572" t="s">
        <v>8</v>
      </c>
      <c r="S19" s="1573">
        <f>F19</f>
        <v>100</v>
      </c>
      <c r="T19" s="1572" t="s">
        <v>8</v>
      </c>
      <c r="U19" s="1573">
        <f>H19</f>
        <v>100</v>
      </c>
      <c r="V19" s="1572" t="s">
        <v>8</v>
      </c>
      <c r="W19" s="1573">
        <f>J19</f>
        <v>100</v>
      </c>
      <c r="X19" s="1566"/>
      <c r="Y19" s="3444"/>
      <c r="Z19" s="1574" t="str">
        <f>Q19</f>
        <v>公共配套设施</v>
      </c>
      <c r="AA19" s="1575">
        <f t="shared" si="3"/>
        <v>1</v>
      </c>
      <c r="AB19" s="1575">
        <f t="shared" si="4"/>
        <v>1</v>
      </c>
      <c r="AC19" s="1575">
        <f t="shared" si="5"/>
        <v>1</v>
      </c>
    </row>
    <row r="20" spans="1:29" ht="15">
      <c r="A20" s="532"/>
      <c r="B20" s="566"/>
      <c r="C20" s="554" t="s">
        <v>3108</v>
      </c>
      <c r="D20" s="555"/>
      <c r="E20" s="554" t="s">
        <v>3108</v>
      </c>
      <c r="F20" s="555"/>
      <c r="G20" s="554" t="s">
        <v>3108</v>
      </c>
      <c r="H20" s="555"/>
      <c r="I20" s="554" t="s">
        <v>3108</v>
      </c>
      <c r="J20" s="555"/>
      <c r="K20" s="898"/>
      <c r="L20" s="2141"/>
      <c r="M20" s="2133"/>
      <c r="N20" s="2133"/>
      <c r="O20" s="2133"/>
      <c r="P20" s="3444"/>
      <c r="Q20" s="1571"/>
      <c r="R20" s="1572"/>
      <c r="S20" s="1573"/>
      <c r="T20" s="1572"/>
      <c r="U20" s="1573"/>
      <c r="V20" s="1572"/>
      <c r="W20" s="1573"/>
      <c r="X20" s="1566"/>
      <c r="Y20" s="3444"/>
      <c r="Z20" s="1574"/>
      <c r="AA20" s="1575">
        <v>1</v>
      </c>
      <c r="AB20" s="1575">
        <v>1</v>
      </c>
      <c r="AC20" s="1575">
        <v>1</v>
      </c>
    </row>
    <row r="21" spans="1:29" ht="28.5">
      <c r="A21" s="532"/>
      <c r="B21" s="2569"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v>3</v>
      </c>
      <c r="L21" s="2141"/>
      <c r="M21" s="2133"/>
      <c r="N21" s="2133"/>
      <c r="O21" s="2133"/>
      <c r="P21" s="3444"/>
      <c r="Q21" s="2557" t="str">
        <f>B21</f>
        <v>基础设施水平</v>
      </c>
      <c r="R21" s="1572" t="s">
        <v>8</v>
      </c>
      <c r="S21" s="1573">
        <f>F21</f>
        <v>100</v>
      </c>
      <c r="T21" s="1572" t="s">
        <v>8</v>
      </c>
      <c r="U21" s="1573">
        <f>H21</f>
        <v>100</v>
      </c>
      <c r="V21" s="1572" t="s">
        <v>8</v>
      </c>
      <c r="W21" s="1573">
        <f>J21</f>
        <v>100</v>
      </c>
      <c r="X21" s="2559"/>
      <c r="Y21" s="3444"/>
      <c r="Z21" s="2558" t="str">
        <f>Q21</f>
        <v>基础设施水平</v>
      </c>
      <c r="AA21" s="1575">
        <f t="shared" ref="AA21" si="8">D21/F21</f>
        <v>1</v>
      </c>
      <c r="AB21" s="1575">
        <f t="shared" ref="AB21" si="9">D21/H21</f>
        <v>1</v>
      </c>
      <c r="AC21" s="1575">
        <f t="shared" ref="AC21" si="10">D21/J21</f>
        <v>1</v>
      </c>
    </row>
    <row r="22" spans="1:29" ht="15">
      <c r="A22" s="532"/>
      <c r="B22" s="578"/>
      <c r="C22" s="567" t="s">
        <v>3130</v>
      </c>
      <c r="D22" s="555"/>
      <c r="E22" s="567" t="s">
        <v>3130</v>
      </c>
      <c r="F22" s="555"/>
      <c r="G22" s="567" t="s">
        <v>3130</v>
      </c>
      <c r="H22" s="555"/>
      <c r="I22" s="567" t="s">
        <v>3130</v>
      </c>
      <c r="J22" s="555"/>
      <c r="K22" s="2580"/>
      <c r="L22" s="2141"/>
      <c r="M22" s="2133"/>
      <c r="N22" s="2133"/>
      <c r="O22" s="2133"/>
      <c r="P22" s="3444"/>
      <c r="Q22" s="2557"/>
      <c r="R22" s="1572"/>
      <c r="S22" s="1573"/>
      <c r="T22" s="1572"/>
      <c r="U22" s="1573"/>
      <c r="V22" s="1572"/>
      <c r="W22" s="1573"/>
      <c r="X22" s="2559"/>
      <c r="Y22" s="3444"/>
      <c r="Z22" s="2558"/>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v>3</v>
      </c>
      <c r="L23" s="2141"/>
      <c r="M23" s="2133"/>
      <c r="N23" s="2133"/>
      <c r="O23" s="2133"/>
      <c r="P23" s="3444"/>
      <c r="Q23" s="1571" t="str">
        <f>B23</f>
        <v>环境质量</v>
      </c>
      <c r="R23" s="1572" t="s">
        <v>8</v>
      </c>
      <c r="S23" s="1573">
        <f>F23</f>
        <v>100</v>
      </c>
      <c r="T23" s="1572" t="s">
        <v>8</v>
      </c>
      <c r="U23" s="1573">
        <f>H23</f>
        <v>100</v>
      </c>
      <c r="V23" s="1572" t="s">
        <v>8</v>
      </c>
      <c r="W23" s="1573">
        <f>J23</f>
        <v>100</v>
      </c>
      <c r="X23" s="1566"/>
      <c r="Y23" s="3444"/>
      <c r="Z23" s="1574" t="str">
        <f>Q23</f>
        <v>环境质量</v>
      </c>
      <c r="AA23" s="1575">
        <f t="shared" si="3"/>
        <v>1</v>
      </c>
      <c r="AB23" s="1575">
        <f t="shared" si="4"/>
        <v>1</v>
      </c>
      <c r="AC23" s="1575">
        <f t="shared" si="5"/>
        <v>1</v>
      </c>
    </row>
    <row r="24" spans="1:29" ht="15.75" thickBot="1">
      <c r="A24" s="532"/>
      <c r="B24" s="578"/>
      <c r="C24" s="554" t="s">
        <v>3108</v>
      </c>
      <c r="D24" s="555"/>
      <c r="E24" s="554" t="s">
        <v>3108</v>
      </c>
      <c r="F24" s="555"/>
      <c r="G24" s="554" t="s">
        <v>3108</v>
      </c>
      <c r="H24" s="555"/>
      <c r="I24" s="554" t="s">
        <v>3108</v>
      </c>
      <c r="J24" s="555"/>
      <c r="K24" s="898"/>
      <c r="L24" s="2141"/>
      <c r="M24" s="2133"/>
      <c r="N24" s="2133"/>
      <c r="O24" s="2133"/>
      <c r="P24" s="3444"/>
      <c r="Q24" s="1571"/>
      <c r="R24" s="1572"/>
      <c r="S24" s="1573"/>
      <c r="T24" s="1572"/>
      <c r="U24" s="1573"/>
      <c r="V24" s="1572"/>
      <c r="W24" s="1573"/>
      <c r="X24" s="1566"/>
      <c r="Y24" s="3444"/>
      <c r="Z24" s="1574"/>
      <c r="AA24" s="1575">
        <v>1</v>
      </c>
      <c r="AB24" s="1575">
        <v>1</v>
      </c>
      <c r="AC24" s="1575">
        <v>1</v>
      </c>
    </row>
    <row r="25" spans="1:29" ht="27" hidden="1">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44"/>
      <c r="Q25" s="1571" t="str">
        <f>B25</f>
        <v>毗邻道路的类型与等级</v>
      </c>
      <c r="R25" s="1572" t="s">
        <v>8</v>
      </c>
      <c r="S25" s="1573">
        <f>F25</f>
        <v>100</v>
      </c>
      <c r="T25" s="1572" t="s">
        <v>8</v>
      </c>
      <c r="U25" s="1573">
        <f>H25</f>
        <v>100</v>
      </c>
      <c r="V25" s="1572" t="s">
        <v>8</v>
      </c>
      <c r="W25" s="1573">
        <f>J25</f>
        <v>100</v>
      </c>
      <c r="X25" s="1566"/>
      <c r="Y25" s="3444"/>
      <c r="Z25" s="1574" t="str">
        <f>Q25</f>
        <v>毗邻道路的类型与等级</v>
      </c>
      <c r="AA25" s="1575">
        <f t="shared" si="3"/>
        <v>1</v>
      </c>
      <c r="AB25" s="1575">
        <f t="shared" si="4"/>
        <v>1</v>
      </c>
      <c r="AC25" s="1575">
        <f t="shared" si="5"/>
        <v>1</v>
      </c>
    </row>
    <row r="26" spans="1:29" ht="15" hidden="1">
      <c r="A26" s="515"/>
      <c r="B26" s="566"/>
      <c r="C26" s="580"/>
      <c r="D26" s="540"/>
      <c r="E26" s="583"/>
      <c r="F26" s="540"/>
      <c r="G26" s="580"/>
      <c r="H26" s="540"/>
      <c r="I26" s="583"/>
      <c r="J26" s="540"/>
      <c r="K26" s="898"/>
      <c r="L26" s="2141"/>
      <c r="M26" s="2133"/>
      <c r="N26" s="2133"/>
      <c r="O26" s="2133"/>
      <c r="P26" s="3444"/>
      <c r="Q26" s="1571"/>
      <c r="R26" s="1572"/>
      <c r="S26" s="1573"/>
      <c r="T26" s="1572"/>
      <c r="U26" s="1573"/>
      <c r="V26" s="1572"/>
      <c r="W26" s="1573"/>
      <c r="X26" s="1566"/>
      <c r="Y26" s="3444"/>
      <c r="Z26" s="1574"/>
      <c r="AA26" s="1575">
        <v>1</v>
      </c>
      <c r="AB26" s="1575">
        <v>1</v>
      </c>
      <c r="AC26" s="1575">
        <v>1</v>
      </c>
    </row>
    <row r="27" spans="1:29" ht="15" hidden="1">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44"/>
      <c r="Q27" s="1571" t="str">
        <f t="shared" ref="Q27:Q47" si="11">B27</f>
        <v>楼层</v>
      </c>
      <c r="R27" s="1572" t="s">
        <v>8</v>
      </c>
      <c r="S27" s="1573">
        <f>F27</f>
        <v>100</v>
      </c>
      <c r="T27" s="1572" t="s">
        <v>8</v>
      </c>
      <c r="U27" s="1573">
        <f>H27</f>
        <v>100</v>
      </c>
      <c r="V27" s="1572" t="s">
        <v>8</v>
      </c>
      <c r="W27" s="1573">
        <f>J27</f>
        <v>100</v>
      </c>
      <c r="X27" s="1566"/>
      <c r="Y27" s="3444"/>
      <c r="Z27" s="1574" t="str">
        <f>Q27</f>
        <v>楼层</v>
      </c>
      <c r="AA27" s="1575">
        <f t="shared" si="3"/>
        <v>1</v>
      </c>
      <c r="AB27" s="1575">
        <f t="shared" si="4"/>
        <v>1</v>
      </c>
      <c r="AC27" s="1575">
        <f t="shared" si="5"/>
        <v>1</v>
      </c>
    </row>
    <row r="28" spans="1:29" s="1219" customFormat="1" ht="15" hidden="1">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44"/>
      <c r="Q28" s="1150" t="str">
        <f t="shared" si="11"/>
        <v>朝向</v>
      </c>
      <c r="R28" s="1567" t="s">
        <v>8</v>
      </c>
      <c r="S28" s="1568">
        <f>F28</f>
        <v>100</v>
      </c>
      <c r="T28" s="1567" t="s">
        <v>8</v>
      </c>
      <c r="U28" s="1568">
        <f>H28</f>
        <v>100</v>
      </c>
      <c r="V28" s="1567" t="s">
        <v>8</v>
      </c>
      <c r="W28" s="1568">
        <f>J28</f>
        <v>100</v>
      </c>
      <c r="X28" s="1569"/>
      <c r="Y28" s="3444"/>
      <c r="Z28" s="1149" t="str">
        <f>Q28</f>
        <v>朝向</v>
      </c>
      <c r="AA28" s="1575">
        <f>D28/F28</f>
        <v>1</v>
      </c>
      <c r="AB28" s="1575">
        <f>D28/H28</f>
        <v>1</v>
      </c>
      <c r="AC28" s="1575">
        <f>D28/J28</f>
        <v>1</v>
      </c>
    </row>
    <row r="29" spans="1:29" ht="15" hidden="1">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44"/>
      <c r="Q29" s="1571">
        <f t="shared" si="11"/>
        <v>111</v>
      </c>
      <c r="R29" s="1572" t="s">
        <v>8</v>
      </c>
      <c r="S29" s="1573">
        <f t="shared" ref="S29:S47" si="12">F29</f>
        <v>100</v>
      </c>
      <c r="T29" s="1572" t="s">
        <v>8</v>
      </c>
      <c r="U29" s="1573">
        <f t="shared" ref="U29:U47" si="13">H29</f>
        <v>100</v>
      </c>
      <c r="V29" s="1572" t="s">
        <v>8</v>
      </c>
      <c r="W29" s="1573">
        <f t="shared" ref="W29:W47" si="14">J29</f>
        <v>100</v>
      </c>
      <c r="X29" s="1566"/>
      <c r="Y29" s="3444"/>
      <c r="Z29" s="1574">
        <f t="shared" ref="Z29:Z47" si="15">Q29</f>
        <v>111</v>
      </c>
      <c r="AA29" s="1575">
        <f t="shared" si="3"/>
        <v>1</v>
      </c>
      <c r="AB29" s="1575">
        <f t="shared" si="4"/>
        <v>1</v>
      </c>
      <c r="AC29" s="1575">
        <f t="shared" si="5"/>
        <v>1</v>
      </c>
    </row>
    <row r="30" spans="1:29" ht="15" hidden="1">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44"/>
      <c r="Q30" s="1571">
        <f t="shared" si="11"/>
        <v>111</v>
      </c>
      <c r="R30" s="1572" t="s">
        <v>8</v>
      </c>
      <c r="S30" s="1573">
        <f t="shared" si="12"/>
        <v>100</v>
      </c>
      <c r="T30" s="1572" t="s">
        <v>8</v>
      </c>
      <c r="U30" s="1573">
        <f t="shared" si="13"/>
        <v>100</v>
      </c>
      <c r="V30" s="1572" t="s">
        <v>8</v>
      </c>
      <c r="W30" s="1573">
        <f t="shared" si="14"/>
        <v>100</v>
      </c>
      <c r="X30" s="1566"/>
      <c r="Y30" s="3444"/>
      <c r="Z30" s="1574">
        <f t="shared" si="15"/>
        <v>111</v>
      </c>
      <c r="AA30" s="1575">
        <f t="shared" si="3"/>
        <v>1</v>
      </c>
      <c r="AB30" s="1575">
        <f t="shared" si="4"/>
        <v>1</v>
      </c>
      <c r="AC30" s="1575">
        <f t="shared" si="5"/>
        <v>1</v>
      </c>
    </row>
    <row r="31" spans="1:29" ht="15" hidden="1">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44"/>
      <c r="Q31" s="1571">
        <f t="shared" si="11"/>
        <v>111</v>
      </c>
      <c r="R31" s="1572" t="s">
        <v>8</v>
      </c>
      <c r="S31" s="1573">
        <f t="shared" si="12"/>
        <v>100</v>
      </c>
      <c r="T31" s="1572" t="s">
        <v>8</v>
      </c>
      <c r="U31" s="1573">
        <f t="shared" si="13"/>
        <v>100</v>
      </c>
      <c r="V31" s="1572" t="s">
        <v>8</v>
      </c>
      <c r="W31" s="1573">
        <f t="shared" si="14"/>
        <v>100</v>
      </c>
      <c r="X31" s="1566"/>
      <c r="Y31" s="3444"/>
      <c r="Z31" s="1574">
        <f t="shared" si="15"/>
        <v>111</v>
      </c>
      <c r="AA31" s="1575">
        <f t="shared" si="3"/>
        <v>1</v>
      </c>
      <c r="AB31" s="1575">
        <f t="shared" si="4"/>
        <v>1</v>
      </c>
      <c r="AC31" s="1575">
        <f t="shared" si="5"/>
        <v>1</v>
      </c>
    </row>
    <row r="32" spans="1:29" ht="15.75" hidden="1"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44"/>
      <c r="Q32" s="1571">
        <f t="shared" si="11"/>
        <v>111</v>
      </c>
      <c r="R32" s="1572" t="s">
        <v>8</v>
      </c>
      <c r="S32" s="1573">
        <f t="shared" si="12"/>
        <v>100</v>
      </c>
      <c r="T32" s="1572" t="s">
        <v>8</v>
      </c>
      <c r="U32" s="1573">
        <f t="shared" si="13"/>
        <v>100</v>
      </c>
      <c r="V32" s="1572" t="s">
        <v>8</v>
      </c>
      <c r="W32" s="1573">
        <f t="shared" si="14"/>
        <v>100</v>
      </c>
      <c r="X32" s="1566"/>
      <c r="Y32" s="3444"/>
      <c r="Z32" s="1574">
        <f t="shared" si="15"/>
        <v>111</v>
      </c>
      <c r="AA32" s="1575">
        <f t="shared" si="3"/>
        <v>1</v>
      </c>
      <c r="AB32" s="1575">
        <f t="shared" si="4"/>
        <v>1</v>
      </c>
      <c r="AC32" s="1575">
        <f t="shared" si="5"/>
        <v>1</v>
      </c>
    </row>
    <row r="33" spans="1:29" ht="15">
      <c r="A33" s="2885" t="s">
        <v>2756</v>
      </c>
      <c r="B33" s="172" t="s">
        <v>780</v>
      </c>
      <c r="C33" s="915" t="s">
        <v>3147</v>
      </c>
      <c r="D33" s="597">
        <v>100</v>
      </c>
      <c r="E33" s="915" t="s">
        <v>3147</v>
      </c>
      <c r="F33" s="575">
        <f>SUMIF(101:101,E33,102:102)-SUMIF(101:101,C33,102:102)+100</f>
        <v>100</v>
      </c>
      <c r="G33" s="915" t="s">
        <v>3147</v>
      </c>
      <c r="H33" s="540">
        <f>SUMIF(101:101,G33,102:102)-SUMIF(101:101,C33,102:102)+100</f>
        <v>100</v>
      </c>
      <c r="I33" s="915" t="s">
        <v>3147</v>
      </c>
      <c r="J33" s="597">
        <f>SUMIF(101:101,I33,102:102)-SUMIF(101:101,C33,102:102)+100</f>
        <v>100</v>
      </c>
      <c r="K33" s="584">
        <v>2</v>
      </c>
      <c r="L33" s="2141"/>
      <c r="M33" s="2133"/>
      <c r="N33" s="2133"/>
      <c r="O33" s="2133"/>
      <c r="P33" s="3445" t="s">
        <v>550</v>
      </c>
      <c r="Q33" s="1571" t="str">
        <f t="shared" si="11"/>
        <v>建筑类型</v>
      </c>
      <c r="R33" s="1572" t="s">
        <v>8</v>
      </c>
      <c r="S33" s="1573">
        <f t="shared" si="12"/>
        <v>100</v>
      </c>
      <c r="T33" s="1572" t="s">
        <v>8</v>
      </c>
      <c r="U33" s="1573">
        <f t="shared" si="13"/>
        <v>100</v>
      </c>
      <c r="V33" s="1572" t="s">
        <v>8</v>
      </c>
      <c r="W33" s="1573">
        <f t="shared" si="14"/>
        <v>100</v>
      </c>
      <c r="X33" s="1566"/>
      <c r="Y33" s="3446" t="s">
        <v>550</v>
      </c>
      <c r="Z33" s="1574" t="str">
        <f t="shared" si="15"/>
        <v>建筑类型</v>
      </c>
      <c r="AA33" s="1575">
        <f t="shared" si="3"/>
        <v>1</v>
      </c>
      <c r="AB33" s="1575">
        <f t="shared" si="4"/>
        <v>1</v>
      </c>
      <c r="AC33" s="1575">
        <f t="shared" si="5"/>
        <v>1</v>
      </c>
    </row>
    <row r="34" spans="1:29" s="1338" customFormat="1" ht="15" hidden="1">
      <c r="A34" s="603"/>
      <c r="B34" s="527" t="s">
        <v>726</v>
      </c>
      <c r="C34" s="879"/>
      <c r="D34" s="255">
        <v>100</v>
      </c>
      <c r="E34" s="879"/>
      <c r="F34" s="863">
        <f>LOOKUP(E34,104:104,105:105)-LOOKUP(C34,104:104,105:105)+100</f>
        <v>100</v>
      </c>
      <c r="G34" s="879"/>
      <c r="H34" s="255">
        <f>LOOKUP(G34,104:104,105:105)-LOOKUP(C34,104:104,105:105)+100</f>
        <v>100</v>
      </c>
      <c r="I34" s="879"/>
      <c r="J34" s="255">
        <f>LOOKUP(I34,104:104,105:105)-LOOKUP(C34,104:104,105:105)+100</f>
        <v>100</v>
      </c>
      <c r="K34" s="581"/>
      <c r="L34" s="2139"/>
      <c r="M34" s="2170"/>
      <c r="N34" s="2170"/>
      <c r="O34" s="2170"/>
      <c r="P34" s="3446"/>
      <c r="Q34" s="1604" t="str">
        <f t="shared" si="11"/>
        <v>项目建筑规模</v>
      </c>
      <c r="R34" s="1576" t="s">
        <v>8</v>
      </c>
      <c r="S34" s="1577">
        <f t="shared" si="12"/>
        <v>100</v>
      </c>
      <c r="T34" s="1576" t="s">
        <v>8</v>
      </c>
      <c r="U34" s="1577">
        <f t="shared" si="13"/>
        <v>100</v>
      </c>
      <c r="V34" s="1576" t="s">
        <v>8</v>
      </c>
      <c r="W34" s="1577">
        <f t="shared" si="14"/>
        <v>100</v>
      </c>
      <c r="X34" s="1578"/>
      <c r="Y34" s="3446"/>
      <c r="Z34" s="1579" t="str">
        <f t="shared" si="15"/>
        <v>项目建筑规模</v>
      </c>
      <c r="AA34" s="1575">
        <f t="shared" si="3"/>
        <v>1</v>
      </c>
      <c r="AB34" s="1575">
        <f t="shared" si="4"/>
        <v>1</v>
      </c>
      <c r="AC34" s="1575">
        <f t="shared" si="5"/>
        <v>1</v>
      </c>
    </row>
    <row r="35" spans="1:29" ht="15">
      <c r="A35" s="594"/>
      <c r="B35" s="527" t="s">
        <v>727</v>
      </c>
      <c r="C35" s="574" t="s">
        <v>3129</v>
      </c>
      <c r="D35" s="540">
        <v>100</v>
      </c>
      <c r="E35" s="574" t="s">
        <v>3129</v>
      </c>
      <c r="F35" s="575">
        <f>SUMIF(106:106,E35,107:107)-SUMIF(106:106,C35,107:107)+100</f>
        <v>100</v>
      </c>
      <c r="G35" s="574" t="s">
        <v>3129</v>
      </c>
      <c r="H35" s="540">
        <f>SUMIF(106:106,G35,107:107)-SUMIF(106:106,C35,107:107)+100</f>
        <v>100</v>
      </c>
      <c r="I35" s="574" t="s">
        <v>3129</v>
      </c>
      <c r="J35" s="540">
        <f>SUMIF(106:106,I35,107:107)-SUMIF(106:106,C35,107:107)+100</f>
        <v>100</v>
      </c>
      <c r="K35" s="584">
        <v>2</v>
      </c>
      <c r="L35" s="2141"/>
      <c r="M35" s="2133"/>
      <c r="N35" s="2133"/>
      <c r="O35" s="2133"/>
      <c r="P35" s="3446"/>
      <c r="Q35" s="1571" t="str">
        <f t="shared" si="11"/>
        <v>建筑结构</v>
      </c>
      <c r="R35" s="1572" t="s">
        <v>8</v>
      </c>
      <c r="S35" s="1573">
        <f t="shared" si="12"/>
        <v>100</v>
      </c>
      <c r="T35" s="1572" t="s">
        <v>8</v>
      </c>
      <c r="U35" s="1573">
        <f t="shared" si="13"/>
        <v>100</v>
      </c>
      <c r="V35" s="1572" t="s">
        <v>8</v>
      </c>
      <c r="W35" s="1573">
        <f t="shared" si="14"/>
        <v>100</v>
      </c>
      <c r="X35" s="1566"/>
      <c r="Y35" s="3446"/>
      <c r="Z35" s="1574" t="str">
        <f t="shared" si="15"/>
        <v>建筑结构</v>
      </c>
      <c r="AA35" s="1575">
        <f t="shared" si="3"/>
        <v>1</v>
      </c>
      <c r="AB35" s="1575">
        <f t="shared" si="4"/>
        <v>1</v>
      </c>
      <c r="AC35" s="1575">
        <f t="shared" si="5"/>
        <v>1</v>
      </c>
    </row>
    <row r="36" spans="1:29" ht="15">
      <c r="A36" s="594"/>
      <c r="B36" s="527" t="s">
        <v>763</v>
      </c>
      <c r="C36" s="574" t="s">
        <v>3140</v>
      </c>
      <c r="D36" s="540">
        <v>100</v>
      </c>
      <c r="E36" s="574" t="s">
        <v>3140</v>
      </c>
      <c r="F36" s="575">
        <f>SUMIF(108:108,E36,109:109)-SUMIF(108:108,C36,109:109)+100</f>
        <v>100</v>
      </c>
      <c r="G36" s="574" t="s">
        <v>3140</v>
      </c>
      <c r="H36" s="540">
        <f>SUMIF(108:108,G36,109:109)-SUMIF(108:108,C36,109:109)+100</f>
        <v>100</v>
      </c>
      <c r="I36" s="574" t="s">
        <v>3140</v>
      </c>
      <c r="J36" s="540">
        <f>SUMIF(108:108,I36,109:109)-SUMIF(108:108,C36,109:109)+100</f>
        <v>100</v>
      </c>
      <c r="K36" s="584">
        <v>2</v>
      </c>
      <c r="L36" s="2141"/>
      <c r="M36" s="2133"/>
      <c r="N36" s="2133"/>
      <c r="O36" s="2133"/>
      <c r="P36" s="3446"/>
      <c r="Q36" s="1571" t="str">
        <f t="shared" si="11"/>
        <v>公共部分装修</v>
      </c>
      <c r="R36" s="1572" t="s">
        <v>8</v>
      </c>
      <c r="S36" s="1573">
        <f t="shared" si="12"/>
        <v>100</v>
      </c>
      <c r="T36" s="1572" t="s">
        <v>8</v>
      </c>
      <c r="U36" s="1573">
        <f t="shared" si="13"/>
        <v>100</v>
      </c>
      <c r="V36" s="1572" t="s">
        <v>8</v>
      </c>
      <c r="W36" s="1573">
        <f t="shared" si="14"/>
        <v>100</v>
      </c>
      <c r="X36" s="1566"/>
      <c r="Y36" s="3446"/>
      <c r="Z36" s="1574" t="str">
        <f t="shared" si="15"/>
        <v>公共部分装修</v>
      </c>
      <c r="AA36" s="1575">
        <f t="shared" si="3"/>
        <v>1</v>
      </c>
      <c r="AB36" s="1575">
        <f t="shared" si="4"/>
        <v>1</v>
      </c>
      <c r="AC36" s="1575">
        <f t="shared" si="5"/>
        <v>1</v>
      </c>
    </row>
    <row r="37" spans="1:29" ht="15">
      <c r="A37" s="594"/>
      <c r="B37" s="527" t="s">
        <v>764</v>
      </c>
      <c r="C37" s="882">
        <v>1</v>
      </c>
      <c r="D37" s="540">
        <v>100</v>
      </c>
      <c r="E37" s="882">
        <v>1</v>
      </c>
      <c r="F37" s="575">
        <f>LOOKUP(E37,111:111,112:112)-LOOKUP(C37,111:111,112:112)+100</f>
        <v>100</v>
      </c>
      <c r="G37" s="882">
        <v>1</v>
      </c>
      <c r="H37" s="575">
        <f>LOOKUP(G37,111:111,112:112)-LOOKUP(C37,111:111,112:112)+100</f>
        <v>100</v>
      </c>
      <c r="I37" s="882">
        <v>1</v>
      </c>
      <c r="J37" s="540">
        <f>LOOKUP(I37,111:111,112:112)-LOOKUP(C37,111:111,112:112)+100</f>
        <v>100</v>
      </c>
      <c r="K37" s="584">
        <v>2</v>
      </c>
      <c r="L37" s="2141"/>
      <c r="M37" s="2133"/>
      <c r="N37" s="2133"/>
      <c r="O37" s="2133"/>
      <c r="P37" s="3446"/>
      <c r="Q37" s="1571" t="str">
        <f t="shared" si="11"/>
        <v>成新度</v>
      </c>
      <c r="R37" s="1572" t="s">
        <v>8</v>
      </c>
      <c r="S37" s="1573">
        <f t="shared" si="12"/>
        <v>100</v>
      </c>
      <c r="T37" s="1572" t="s">
        <v>8</v>
      </c>
      <c r="U37" s="1573">
        <f t="shared" si="13"/>
        <v>100</v>
      </c>
      <c r="V37" s="1572" t="s">
        <v>8</v>
      </c>
      <c r="W37" s="1573">
        <f t="shared" si="14"/>
        <v>100</v>
      </c>
      <c r="X37" s="1566"/>
      <c r="Y37" s="3446"/>
      <c r="Z37" s="1574" t="str">
        <f t="shared" si="15"/>
        <v>成新度</v>
      </c>
      <c r="AA37" s="1575">
        <f t="shared" si="3"/>
        <v>1</v>
      </c>
      <c r="AB37" s="1575">
        <f t="shared" si="4"/>
        <v>1</v>
      </c>
      <c r="AC37" s="1575">
        <f t="shared" si="5"/>
        <v>1</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v>2</v>
      </c>
      <c r="L38" s="2134"/>
      <c r="M38" s="2135"/>
      <c r="N38" s="2135"/>
      <c r="O38" s="2135"/>
      <c r="P38" s="3446"/>
      <c r="Q38" s="1150" t="str">
        <f t="shared" si="11"/>
        <v>写字楼等级</v>
      </c>
      <c r="R38" s="1567" t="s">
        <v>8</v>
      </c>
      <c r="S38" s="1568">
        <f t="shared" si="12"/>
        <v>100</v>
      </c>
      <c r="T38" s="1567" t="s">
        <v>8</v>
      </c>
      <c r="U38" s="1568">
        <f t="shared" si="13"/>
        <v>100</v>
      </c>
      <c r="V38" s="1567" t="s">
        <v>8</v>
      </c>
      <c r="W38" s="1568">
        <f t="shared" si="14"/>
        <v>100</v>
      </c>
      <c r="X38" s="1569"/>
      <c r="Y38" s="3446"/>
      <c r="Z38" s="1149" t="str">
        <f t="shared" si="15"/>
        <v>写字楼等级</v>
      </c>
      <c r="AA38" s="1570">
        <f t="shared" si="3"/>
        <v>1</v>
      </c>
      <c r="AB38" s="1570">
        <f t="shared" si="4"/>
        <v>1</v>
      </c>
      <c r="AC38" s="1570">
        <f t="shared" si="5"/>
        <v>1</v>
      </c>
    </row>
    <row r="39" spans="1:29" ht="15">
      <c r="A39" s="594"/>
      <c r="B39" s="527" t="s">
        <v>782</v>
      </c>
      <c r="C39" s="574" t="s">
        <v>3138</v>
      </c>
      <c r="D39" s="540">
        <v>100</v>
      </c>
      <c r="E39" s="574" t="s">
        <v>3138</v>
      </c>
      <c r="F39" s="575">
        <f>SUMIF(115:115,E39,116:116)-SUMIF(115:115,C39,116:116)+100</f>
        <v>100</v>
      </c>
      <c r="G39" s="574" t="s">
        <v>3138</v>
      </c>
      <c r="H39" s="540">
        <f>SUMIF(115:115,G39,116:116)-SUMIF(115:115,C39,116:116)+100</f>
        <v>100</v>
      </c>
      <c r="I39" s="574" t="s">
        <v>3138</v>
      </c>
      <c r="J39" s="540">
        <f>SUMIF(115:115,I39,116:116)-SUMIF(115:115,C39,116:116)+100</f>
        <v>100</v>
      </c>
      <c r="K39" s="584">
        <v>2</v>
      </c>
      <c r="L39" s="2141"/>
      <c r="M39" s="2133"/>
      <c r="N39" s="2133"/>
      <c r="O39" s="2133"/>
      <c r="P39" s="3446" t="s">
        <v>550</v>
      </c>
      <c r="Q39" s="1571" t="str">
        <f t="shared" si="11"/>
        <v>物业管理</v>
      </c>
      <c r="R39" s="1572" t="s">
        <v>8</v>
      </c>
      <c r="S39" s="1573">
        <f t="shared" si="12"/>
        <v>100</v>
      </c>
      <c r="T39" s="1572" t="s">
        <v>8</v>
      </c>
      <c r="U39" s="1573">
        <f t="shared" si="13"/>
        <v>100</v>
      </c>
      <c r="V39" s="1572" t="s">
        <v>8</v>
      </c>
      <c r="W39" s="1573">
        <f t="shared" si="14"/>
        <v>100</v>
      </c>
      <c r="X39" s="1566"/>
      <c r="Y39" s="3446" t="s">
        <v>550</v>
      </c>
      <c r="Z39" s="1574" t="str">
        <f t="shared" si="15"/>
        <v>物业管理</v>
      </c>
      <c r="AA39" s="1575">
        <f t="shared" si="3"/>
        <v>1</v>
      </c>
      <c r="AB39" s="1575">
        <f t="shared" si="4"/>
        <v>1</v>
      </c>
      <c r="AC39" s="1575">
        <f t="shared" si="5"/>
        <v>1</v>
      </c>
    </row>
    <row r="40" spans="1:29" ht="15">
      <c r="A40" s="594"/>
      <c r="B40" s="1894" t="s">
        <v>2566</v>
      </c>
      <c r="C40" s="574" t="s">
        <v>3171</v>
      </c>
      <c r="D40" s="540">
        <v>100</v>
      </c>
      <c r="E40" s="574" t="s">
        <v>3171</v>
      </c>
      <c r="F40" s="575">
        <f>SUMIF(117:117,E40,118:118)-SUMIF(117:117,C40,118:118)+100</f>
        <v>100</v>
      </c>
      <c r="G40" s="574" t="s">
        <v>3171</v>
      </c>
      <c r="H40" s="540">
        <f>SUMIF(117:117,G40,118:118)-SUMIF(117:117,C40,118:118)+100</f>
        <v>100</v>
      </c>
      <c r="I40" s="574" t="s">
        <v>3171</v>
      </c>
      <c r="J40" s="540">
        <f>SUMIF(117:117,I40,118:118)-SUMIF(117:117,C40,118:118)+100</f>
        <v>100</v>
      </c>
      <c r="K40" s="584">
        <v>2</v>
      </c>
      <c r="L40" s="2141"/>
      <c r="M40" s="2133"/>
      <c r="N40" s="2133"/>
      <c r="O40" s="2133"/>
      <c r="P40" s="3446"/>
      <c r="Q40" s="1571" t="str">
        <f t="shared" si="11"/>
        <v>市政基础设施</v>
      </c>
      <c r="R40" s="1572" t="s">
        <v>8</v>
      </c>
      <c r="S40" s="1573">
        <f t="shared" si="12"/>
        <v>100</v>
      </c>
      <c r="T40" s="1572" t="s">
        <v>8</v>
      </c>
      <c r="U40" s="1573">
        <f t="shared" si="13"/>
        <v>100</v>
      </c>
      <c r="V40" s="1572" t="s">
        <v>8</v>
      </c>
      <c r="W40" s="1573">
        <f t="shared" si="14"/>
        <v>100</v>
      </c>
      <c r="X40" s="1566"/>
      <c r="Y40" s="3446"/>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v>2</v>
      </c>
      <c r="L41" s="2141"/>
      <c r="M41" s="2133"/>
      <c r="N41" s="2133"/>
      <c r="O41" s="2133"/>
      <c r="P41" s="3446"/>
      <c r="Q41" s="1571" t="str">
        <f t="shared" si="11"/>
        <v>层高</v>
      </c>
      <c r="R41" s="1572" t="s">
        <v>8</v>
      </c>
      <c r="S41" s="1573">
        <f t="shared" si="12"/>
        <v>100</v>
      </c>
      <c r="T41" s="1572" t="s">
        <v>8</v>
      </c>
      <c r="U41" s="1573">
        <f t="shared" si="13"/>
        <v>100</v>
      </c>
      <c r="V41" s="1572" t="s">
        <v>8</v>
      </c>
      <c r="W41" s="1573">
        <f t="shared" si="14"/>
        <v>100</v>
      </c>
      <c r="X41" s="1566"/>
      <c r="Y41" s="3446"/>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46"/>
      <c r="Q42" s="1604" t="str">
        <f t="shared" si="11"/>
        <v>单套建筑面积</v>
      </c>
      <c r="R42" s="1576" t="s">
        <v>8</v>
      </c>
      <c r="S42" s="1577">
        <f t="shared" si="12"/>
        <v>100</v>
      </c>
      <c r="T42" s="1576" t="s">
        <v>8</v>
      </c>
      <c r="U42" s="1577">
        <f t="shared" si="13"/>
        <v>100</v>
      </c>
      <c r="V42" s="1576" t="s">
        <v>8</v>
      </c>
      <c r="W42" s="1577">
        <f t="shared" si="14"/>
        <v>100</v>
      </c>
      <c r="X42" s="1578"/>
      <c r="Y42" s="3446"/>
      <c r="Z42" s="1579" t="str">
        <f t="shared" si="15"/>
        <v>单套建筑面积</v>
      </c>
      <c r="AA42" s="1575">
        <f t="shared" si="3"/>
        <v>1</v>
      </c>
      <c r="AB42" s="1575">
        <f t="shared" si="4"/>
        <v>1</v>
      </c>
      <c r="AC42" s="1575">
        <f t="shared" si="5"/>
        <v>1</v>
      </c>
    </row>
    <row r="43" spans="1:29" ht="15">
      <c r="A43" s="594"/>
      <c r="B43" s="527" t="s">
        <v>770</v>
      </c>
      <c r="C43" s="574" t="s">
        <v>3144</v>
      </c>
      <c r="D43" s="540">
        <v>100</v>
      </c>
      <c r="E43" s="574" t="s">
        <v>3144</v>
      </c>
      <c r="F43" s="575">
        <f>SUMIF(123:123,E43,124:124)-SUMIF(123:123,C43,124:124)+100</f>
        <v>100</v>
      </c>
      <c r="G43" s="574" t="s">
        <v>3144</v>
      </c>
      <c r="H43" s="540">
        <f>SUMIF(123:123,G43,124:124)-SUMIF(123:123,C43,124:124)+100</f>
        <v>100</v>
      </c>
      <c r="I43" s="574" t="s">
        <v>3144</v>
      </c>
      <c r="J43" s="540">
        <f>SUMIF(123:123,I43,124:124)-SUMIF(123:123,C43,124:124)+100</f>
        <v>100</v>
      </c>
      <c r="K43" s="584">
        <v>2</v>
      </c>
      <c r="L43" s="2141"/>
      <c r="M43" s="2133"/>
      <c r="N43" s="2133"/>
      <c r="O43" s="2133"/>
      <c r="P43" s="3446"/>
      <c r="Q43" s="1571" t="str">
        <f t="shared" si="11"/>
        <v>内部装修</v>
      </c>
      <c r="R43" s="1572" t="s">
        <v>8</v>
      </c>
      <c r="S43" s="1573">
        <f t="shared" si="12"/>
        <v>100</v>
      </c>
      <c r="T43" s="1572" t="s">
        <v>8</v>
      </c>
      <c r="U43" s="1573">
        <f t="shared" si="13"/>
        <v>100</v>
      </c>
      <c r="V43" s="1572" t="s">
        <v>8</v>
      </c>
      <c r="W43" s="1573">
        <f t="shared" si="14"/>
        <v>100</v>
      </c>
      <c r="X43" s="1566"/>
      <c r="Y43" s="3446"/>
      <c r="Z43" s="1574" t="str">
        <f t="shared" si="15"/>
        <v>内部装修</v>
      </c>
      <c r="AA43" s="1575">
        <f t="shared" si="3"/>
        <v>1</v>
      </c>
      <c r="AB43" s="1575">
        <f t="shared" si="4"/>
        <v>1</v>
      </c>
      <c r="AC43" s="1575">
        <f t="shared" si="5"/>
        <v>1</v>
      </c>
    </row>
    <row r="44" spans="1:29" ht="27.75" thickBot="1">
      <c r="A44" s="594"/>
      <c r="B44" s="527" t="s">
        <v>735</v>
      </c>
      <c r="C44" s="574" t="s">
        <v>3108</v>
      </c>
      <c r="D44" s="540">
        <v>100</v>
      </c>
      <c r="E44" s="574" t="s">
        <v>3108</v>
      </c>
      <c r="F44" s="575">
        <f>SUMIF(125:125,E44,126:126)-SUMIF(125:125,C44,126:126)+100</f>
        <v>100</v>
      </c>
      <c r="G44" s="574" t="s">
        <v>3108</v>
      </c>
      <c r="H44" s="540">
        <f>SUMIF(125:125,G44,126:126)-SUMIF(125:125,C44,126:126)+100</f>
        <v>100</v>
      </c>
      <c r="I44" s="574" t="s">
        <v>3108</v>
      </c>
      <c r="J44" s="540">
        <f>SUMIF(125:125,I44,126:126)-SUMIF(125:125,C44,126:126)+100</f>
        <v>100</v>
      </c>
      <c r="K44" s="584">
        <v>2</v>
      </c>
      <c r="L44" s="2141"/>
      <c r="M44" s="2133"/>
      <c r="N44" s="2133"/>
      <c r="O44" s="2133"/>
      <c r="P44" s="3446"/>
      <c r="Q44" s="1571" t="str">
        <f t="shared" si="11"/>
        <v>内部装修维护情况</v>
      </c>
      <c r="R44" s="1572" t="s">
        <v>8</v>
      </c>
      <c r="S44" s="1573">
        <f t="shared" si="12"/>
        <v>100</v>
      </c>
      <c r="T44" s="1572" t="s">
        <v>8</v>
      </c>
      <c r="U44" s="1573">
        <f t="shared" si="13"/>
        <v>100</v>
      </c>
      <c r="V44" s="1572" t="s">
        <v>8</v>
      </c>
      <c r="W44" s="1573">
        <f t="shared" si="14"/>
        <v>100</v>
      </c>
      <c r="X44" s="1566"/>
      <c r="Y44" s="3446"/>
      <c r="Z44" s="1574" t="str">
        <f t="shared" si="15"/>
        <v>内部装修维护情况</v>
      </c>
      <c r="AA44" s="1575">
        <f t="shared" si="3"/>
        <v>1</v>
      </c>
      <c r="AB44" s="1575">
        <f t="shared" si="4"/>
        <v>1</v>
      </c>
      <c r="AC44" s="1575">
        <f t="shared" si="5"/>
        <v>1</v>
      </c>
    </row>
    <row r="45" spans="1:29" s="1219" customFormat="1" ht="15" hidden="1">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46"/>
      <c r="Q45" s="1150">
        <f t="shared" si="11"/>
        <v>111</v>
      </c>
      <c r="R45" s="1567" t="s">
        <v>8</v>
      </c>
      <c r="S45" s="1568">
        <f t="shared" si="12"/>
        <v>100</v>
      </c>
      <c r="T45" s="1567" t="s">
        <v>8</v>
      </c>
      <c r="U45" s="1568">
        <f t="shared" si="13"/>
        <v>100</v>
      </c>
      <c r="V45" s="1567" t="s">
        <v>8</v>
      </c>
      <c r="W45" s="1568">
        <f t="shared" si="14"/>
        <v>100</v>
      </c>
      <c r="X45" s="1569"/>
      <c r="Y45" s="3446"/>
      <c r="Z45" s="1149">
        <f t="shared" si="15"/>
        <v>111</v>
      </c>
      <c r="AA45" s="1570">
        <f t="shared" si="3"/>
        <v>1</v>
      </c>
      <c r="AB45" s="1570">
        <f t="shared" si="4"/>
        <v>1</v>
      </c>
      <c r="AC45" s="1570">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46"/>
      <c r="Q46" s="1571">
        <f t="shared" si="11"/>
        <v>111</v>
      </c>
      <c r="R46" s="1572" t="s">
        <v>8</v>
      </c>
      <c r="S46" s="1573">
        <f t="shared" si="12"/>
        <v>100</v>
      </c>
      <c r="T46" s="1572" t="s">
        <v>8</v>
      </c>
      <c r="U46" s="1573">
        <f t="shared" si="13"/>
        <v>100</v>
      </c>
      <c r="V46" s="1572" t="s">
        <v>8</v>
      </c>
      <c r="W46" s="1573">
        <f t="shared" si="14"/>
        <v>100</v>
      </c>
      <c r="X46" s="1566"/>
      <c r="Y46" s="3446"/>
      <c r="Z46" s="1574">
        <f t="shared" si="15"/>
        <v>111</v>
      </c>
      <c r="AA46" s="1575">
        <f t="shared" si="3"/>
        <v>1</v>
      </c>
      <c r="AB46" s="1575">
        <f t="shared" si="4"/>
        <v>1</v>
      </c>
      <c r="AC46" s="1575">
        <f t="shared" si="5"/>
        <v>1</v>
      </c>
    </row>
    <row r="47" spans="1:29" ht="15.75" hidden="1"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0"/>
      <c r="Q47" s="1571">
        <f t="shared" si="11"/>
        <v>111</v>
      </c>
      <c r="R47" s="1572" t="s">
        <v>8</v>
      </c>
      <c r="S47" s="1573">
        <f t="shared" si="12"/>
        <v>100</v>
      </c>
      <c r="T47" s="1572" t="s">
        <v>8</v>
      </c>
      <c r="U47" s="1573">
        <f t="shared" si="13"/>
        <v>100</v>
      </c>
      <c r="V47" s="1572" t="s">
        <v>8</v>
      </c>
      <c r="W47" s="1573">
        <f t="shared" si="14"/>
        <v>100</v>
      </c>
      <c r="X47" s="1566"/>
      <c r="Y47" s="3500"/>
      <c r="Z47" s="1574">
        <f t="shared" si="15"/>
        <v>111</v>
      </c>
      <c r="AA47" s="1575">
        <f t="shared" si="3"/>
        <v>1</v>
      </c>
      <c r="AB47" s="1575">
        <f t="shared" si="4"/>
        <v>1</v>
      </c>
      <c r="AC47" s="1575">
        <f t="shared" si="5"/>
        <v>1</v>
      </c>
    </row>
    <row r="48" spans="1:29" ht="15">
      <c r="A48" s="607" t="s">
        <v>736</v>
      </c>
      <c r="B48" s="886"/>
      <c r="C48" s="2605" t="s">
        <v>1</v>
      </c>
      <c r="D48" s="2606"/>
      <c r="E48" s="2607">
        <f>ROUND(52000*0.97,0)</f>
        <v>50440</v>
      </c>
      <c r="F48" s="2608"/>
      <c r="G48" s="2609">
        <f>ROUND(48000*0.97,0)</f>
        <v>46560</v>
      </c>
      <c r="H48" s="2610"/>
      <c r="I48" s="2607">
        <f>ROUND(54000*0.97,0)</f>
        <v>52380</v>
      </c>
      <c r="J48" s="2610"/>
      <c r="K48" s="1610"/>
      <c r="L48" s="2143"/>
      <c r="M48" s="2133"/>
      <c r="N48" s="2133"/>
      <c r="O48" s="2133"/>
      <c r="P48" s="3407" t="str">
        <f>A48</f>
        <v>成交单价（元/平方米）</v>
      </c>
      <c r="Q48" s="3409"/>
      <c r="R48" s="3499">
        <f>E48</f>
        <v>50440</v>
      </c>
      <c r="S48" s="3499"/>
      <c r="T48" s="3499">
        <f>G48</f>
        <v>46560</v>
      </c>
      <c r="U48" s="3499"/>
      <c r="V48" s="3499">
        <f>I48</f>
        <v>52380</v>
      </c>
      <c r="W48" s="3499"/>
      <c r="X48" s="1558"/>
      <c r="Y48" s="1580"/>
      <c r="Z48" s="1558"/>
      <c r="AA48" s="1558"/>
      <c r="AB48" s="1558"/>
      <c r="AC48" s="1558"/>
    </row>
    <row r="49" spans="1:29" ht="15.75" thickBot="1">
      <c r="A49" s="615" t="s">
        <v>2761</v>
      </c>
      <c r="B49" s="887"/>
      <c r="C49" s="2611">
        <f>R50</f>
        <v>51333</v>
      </c>
      <c r="D49" s="2612"/>
      <c r="E49" s="2613">
        <f>R49</f>
        <v>52000</v>
      </c>
      <c r="F49" s="2613"/>
      <c r="G49" s="2611">
        <f>T49</f>
        <v>48000</v>
      </c>
      <c r="H49" s="2612"/>
      <c r="I49" s="2613">
        <f>V49</f>
        <v>54000</v>
      </c>
      <c r="J49" s="2612"/>
      <c r="K49" s="1611"/>
      <c r="L49" s="2143"/>
      <c r="M49" s="2133"/>
      <c r="N49" s="2133"/>
      <c r="O49" s="2133"/>
      <c r="P49" s="3407" t="str">
        <f>A49</f>
        <v>比较价格（元/平方米）</v>
      </c>
      <c r="Q49" s="3409"/>
      <c r="R49" s="3499">
        <f>IF(F1="售价",ROUND(PRODUCT(R48,AA7:AA47),0),ROUND(PRODUCT(R48,AA7:AA47),1))</f>
        <v>52000</v>
      </c>
      <c r="S49" s="3499"/>
      <c r="T49" s="3499">
        <f>IF(F1="售价",ROUND(PRODUCT(T48,AB7:AB47),0),ROUND(PRODUCT(T48,AB7:AB47),1))</f>
        <v>48000</v>
      </c>
      <c r="U49" s="3499"/>
      <c r="V49" s="3499">
        <f>IF(F1="售价",ROUND(PRODUCT(V48,AC7:AC47),0),ROUND(PRODUCT(V48,AC7:AC47),1))</f>
        <v>54000</v>
      </c>
      <c r="W49" s="3499"/>
      <c r="X49" s="1558"/>
      <c r="Y49" s="1558"/>
      <c r="Z49" s="1558"/>
      <c r="AA49" s="1558"/>
      <c r="AB49" s="1558"/>
      <c r="AC49" s="1558"/>
    </row>
    <row r="50" spans="1:29" ht="15.75" thickBot="1">
      <c r="A50" s="621" t="s">
        <v>2938</v>
      </c>
      <c r="B50" s="622"/>
      <c r="C50" s="2614">
        <f>R50</f>
        <v>51333</v>
      </c>
      <c r="D50" s="2614"/>
      <c r="E50" s="2614"/>
      <c r="F50" s="2614"/>
      <c r="G50" s="2614"/>
      <c r="H50" s="2614"/>
      <c r="I50" s="2614"/>
      <c r="J50" s="2614"/>
      <c r="K50" s="1612"/>
      <c r="L50" s="2143"/>
      <c r="M50" s="2133"/>
      <c r="N50" s="2133"/>
      <c r="O50" s="2133"/>
      <c r="P50" s="3505" t="str">
        <f>A50</f>
        <v>估价对象XX用房的比较价格（楼面单价，元/平方米）</v>
      </c>
      <c r="Q50" s="3407"/>
      <c r="R50" s="3498">
        <f>IF(F1="售价",ROUND(AVERAGE(R49:V49),0),ROUND(AVERAGE(R49:V49),1))</f>
        <v>51333</v>
      </c>
      <c r="S50" s="3498"/>
      <c r="T50" s="3498"/>
      <c r="U50" s="3498"/>
      <c r="V50" s="3498"/>
      <c r="W50" s="3498"/>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3.0927835051546282E-2</v>
      </c>
      <c r="F53" s="627" t="str">
        <f>IF(OR(E53&gt;=0.3,E53&lt;=-0.3),"超过30%","")</f>
        <v/>
      </c>
      <c r="G53" s="626">
        <f>IF(G48&lt;G49,G49/G48-1,G48/G49-1)</f>
        <v>3.0927835051546282E-2</v>
      </c>
      <c r="H53" s="627" t="str">
        <f>IF(OR(G53&gt;=0.3,G53&lt;=-0.3),"超过30%","")</f>
        <v/>
      </c>
      <c r="I53" s="626">
        <f>IF(I48&lt;I49,I49/I48-1,I48/I49-1)</f>
        <v>3.0927835051546282E-2</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8.3333333333333259E-2</v>
      </c>
      <c r="F54" s="627" t="str">
        <f>IF(OR(E54&gt;=0.2,E54&lt;=-0.2),"超过20%","")</f>
        <v/>
      </c>
      <c r="G54" s="626">
        <f>IF(G49&lt;I49,I49/G49-1,G49/I49-1)</f>
        <v>0.125</v>
      </c>
      <c r="H54" s="627" t="str">
        <f>IF(OR(G54&gt;=0.2,G54&lt;=-0.2),"超过20%","")</f>
        <v/>
      </c>
      <c r="I54" s="626">
        <f>IF(I49&lt;E49,E49/I49-1,I49/E49-1)</f>
        <v>3.8461538461538547E-2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8.3333333333333259E-2</v>
      </c>
      <c r="F55" s="627" t="str">
        <f>IF(OR(E55&gt;=0.3,E55&lt;=-0.3),"超过30%","")</f>
        <v/>
      </c>
      <c r="G55" s="626">
        <f>IF(G48&lt;I48,I48/G48-1,G48/I48-1)</f>
        <v>0.125</v>
      </c>
      <c r="H55" s="627" t="str">
        <f>IF(OR(G55&gt;=0.3,G55&lt;=-0.3),"超过30%","")</f>
        <v/>
      </c>
      <c r="I55" s="626">
        <f>IF(I48&lt;E48,E48/I48-1,I48/E48-1)</f>
        <v>3.8461538461538547E-2</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f>C60</f>
        <v>100</v>
      </c>
      <c r="E60" s="650">
        <f t="shared" ref="E60:K60" si="17">D60</f>
        <v>100</v>
      </c>
      <c r="F60" s="650">
        <f t="shared" si="17"/>
        <v>100</v>
      </c>
      <c r="G60" s="650">
        <f t="shared" si="17"/>
        <v>100</v>
      </c>
      <c r="H60" s="650">
        <f t="shared" si="17"/>
        <v>100</v>
      </c>
      <c r="I60" s="650">
        <f t="shared" si="17"/>
        <v>100</v>
      </c>
      <c r="J60" s="650">
        <f t="shared" si="17"/>
        <v>100</v>
      </c>
      <c r="K60" s="650">
        <f t="shared" si="17"/>
        <v>100</v>
      </c>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0（含）-</v>
      </c>
      <c r="D68" s="682" t="str">
        <f t="shared" ref="D68:L68" si="18">D69&amp;"（含）"&amp;"-"&amp;E69</f>
        <v>（含）-</v>
      </c>
      <c r="E68" s="682" t="str">
        <f t="shared" si="18"/>
        <v>（含）-</v>
      </c>
      <c r="F68" s="682" t="str">
        <f t="shared" si="18"/>
        <v>（含）-</v>
      </c>
      <c r="G68" s="682" t="str">
        <f t="shared" si="18"/>
        <v>（含）-</v>
      </c>
      <c r="H68" s="682" t="str">
        <f t="shared" si="18"/>
        <v>（含）-</v>
      </c>
      <c r="I68" s="682" t="str">
        <f t="shared" si="18"/>
        <v>（含）-</v>
      </c>
      <c r="J68" s="682" t="str">
        <f t="shared" si="18"/>
        <v>（含）-</v>
      </c>
      <c r="K68" s="682" t="str">
        <f t="shared" si="18"/>
        <v>（含）-</v>
      </c>
      <c r="L68" s="682" t="str">
        <f t="shared" si="18"/>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0</v>
      </c>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9">C70-$K11</f>
        <v>100</v>
      </c>
      <c r="E70" s="679">
        <f t="shared" si="19"/>
        <v>100</v>
      </c>
      <c r="F70" s="679">
        <f t="shared" si="19"/>
        <v>100</v>
      </c>
      <c r="G70" s="679">
        <f t="shared" si="19"/>
        <v>100</v>
      </c>
      <c r="H70" s="679">
        <f t="shared" si="19"/>
        <v>100</v>
      </c>
      <c r="I70" s="679">
        <f t="shared" si="19"/>
        <v>100</v>
      </c>
      <c r="J70" s="679">
        <f t="shared" si="19"/>
        <v>100</v>
      </c>
      <c r="K70" s="679">
        <f t="shared" si="19"/>
        <v>100</v>
      </c>
      <c r="L70" s="679">
        <f t="shared" si="19"/>
        <v>100</v>
      </c>
      <c r="M70" s="680">
        <f t="shared" si="19"/>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97</v>
      </c>
      <c r="E78" s="679">
        <f>D78-$K15</f>
        <v>94</v>
      </c>
      <c r="F78" s="679">
        <f>E78-$K15</f>
        <v>91</v>
      </c>
      <c r="G78" s="679">
        <f>F78-$K15</f>
        <v>88</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97</v>
      </c>
      <c r="E80" s="679">
        <f>D80-$K17</f>
        <v>94</v>
      </c>
      <c r="F80" s="679">
        <f>E80-$K17</f>
        <v>91</v>
      </c>
      <c r="G80" s="679">
        <f>F80-$K17</f>
        <v>88</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2558</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97</v>
      </c>
      <c r="E82" s="679">
        <f>D82-$K19</f>
        <v>94</v>
      </c>
      <c r="F82" s="679">
        <f>E82-$K19</f>
        <v>91</v>
      </c>
      <c r="G82" s="679">
        <f>F82-$K19</f>
        <v>88</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2559</v>
      </c>
      <c r="C83" s="2576" t="s">
        <v>2560</v>
      </c>
      <c r="D83" s="2576" t="s">
        <v>2561</v>
      </c>
      <c r="E83" s="2576" t="s">
        <v>2562</v>
      </c>
      <c r="F83" s="2576" t="s">
        <v>2563</v>
      </c>
      <c r="G83" s="2576" t="s">
        <v>2564</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97</v>
      </c>
      <c r="E84" s="679">
        <f>D84-$K21</f>
        <v>94</v>
      </c>
      <c r="F84" s="679">
        <f>E84-$K21</f>
        <v>91</v>
      </c>
      <c r="G84" s="679">
        <f>F84-$K21</f>
        <v>88</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97</v>
      </c>
      <c r="E86" s="679">
        <f>D86-$K23</f>
        <v>94</v>
      </c>
      <c r="F86" s="679">
        <f>E86-$K23</f>
        <v>91</v>
      </c>
      <c r="G86" s="679">
        <f>F86-$K23</f>
        <v>88</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20">C88-$K25</f>
        <v>100</v>
      </c>
      <c r="E88" s="679">
        <f t="shared" si="20"/>
        <v>100</v>
      </c>
      <c r="F88" s="679">
        <f t="shared" si="20"/>
        <v>100</v>
      </c>
      <c r="G88" s="679">
        <f t="shared" si="20"/>
        <v>100</v>
      </c>
      <c r="H88" s="679">
        <f t="shared" si="20"/>
        <v>100</v>
      </c>
      <c r="I88" s="679">
        <f t="shared" si="20"/>
        <v>100</v>
      </c>
      <c r="J88" s="679">
        <f t="shared" si="20"/>
        <v>100</v>
      </c>
      <c r="K88" s="679">
        <f t="shared" si="20"/>
        <v>100</v>
      </c>
      <c r="L88" s="679">
        <f t="shared" si="20"/>
        <v>100</v>
      </c>
      <c r="M88" s="679">
        <f t="shared" si="20"/>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1">D90-$K27</f>
        <v>100</v>
      </c>
      <c r="F90" s="679">
        <f t="shared" si="21"/>
        <v>100</v>
      </c>
      <c r="G90" s="679">
        <f t="shared" si="21"/>
        <v>100</v>
      </c>
      <c r="H90" s="679">
        <f t="shared" si="21"/>
        <v>100</v>
      </c>
      <c r="I90" s="679">
        <f t="shared" si="21"/>
        <v>100</v>
      </c>
      <c r="J90" s="679">
        <f t="shared" si="21"/>
        <v>100</v>
      </c>
      <c r="K90" s="679">
        <f t="shared" si="21"/>
        <v>100</v>
      </c>
      <c r="L90" s="679">
        <f t="shared" si="21"/>
        <v>100</v>
      </c>
      <c r="M90" s="679">
        <f t="shared" si="21"/>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2">C92-$K28</f>
        <v>100</v>
      </c>
      <c r="E92" s="679">
        <f t="shared" si="22"/>
        <v>100</v>
      </c>
      <c r="F92" s="679">
        <f t="shared" si="22"/>
        <v>100</v>
      </c>
      <c r="G92" s="679">
        <f t="shared" si="22"/>
        <v>100</v>
      </c>
      <c r="H92" s="679">
        <f t="shared" si="22"/>
        <v>100</v>
      </c>
      <c r="I92" s="679">
        <f t="shared" si="22"/>
        <v>100</v>
      </c>
      <c r="J92" s="679">
        <f t="shared" si="22"/>
        <v>100</v>
      </c>
      <c r="K92" s="679">
        <f t="shared" si="22"/>
        <v>100</v>
      </c>
      <c r="L92" s="679">
        <f t="shared" si="22"/>
        <v>100</v>
      </c>
      <c r="M92" s="679">
        <f t="shared" si="22"/>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3177" t="s">
        <v>3167</v>
      </c>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3">C102-$K33</f>
        <v>98</v>
      </c>
      <c r="E102" s="679">
        <f t="shared" si="23"/>
        <v>96</v>
      </c>
      <c r="F102" s="679">
        <f t="shared" si="23"/>
        <v>94</v>
      </c>
      <c r="G102" s="679">
        <f t="shared" si="23"/>
        <v>92</v>
      </c>
      <c r="H102" s="679">
        <f t="shared" si="23"/>
        <v>90</v>
      </c>
      <c r="I102" s="679">
        <f t="shared" si="23"/>
        <v>88</v>
      </c>
      <c r="J102" s="679">
        <f t="shared" si="23"/>
        <v>86</v>
      </c>
      <c r="K102" s="679">
        <f t="shared" si="23"/>
        <v>84</v>
      </c>
      <c r="L102" s="679">
        <f t="shared" si="23"/>
        <v>82</v>
      </c>
      <c r="M102" s="680">
        <f t="shared" si="23"/>
        <v>80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0(含)-</v>
      </c>
      <c r="D103" s="708" t="str">
        <f t="shared" ref="D103:L103" si="24">D104&amp;"(含)"&amp;"-"&amp;E104</f>
        <v>(含)-</v>
      </c>
      <c r="E103" s="708" t="str">
        <f t="shared" si="24"/>
        <v>(含)-</v>
      </c>
      <c r="F103" s="708" t="str">
        <f t="shared" si="24"/>
        <v>(含)-</v>
      </c>
      <c r="G103" s="708" t="str">
        <f t="shared" si="24"/>
        <v>(含)-</v>
      </c>
      <c r="H103" s="708" t="str">
        <f t="shared" si="24"/>
        <v>(含)-</v>
      </c>
      <c r="I103" s="708" t="str">
        <f t="shared" si="24"/>
        <v>(含)-</v>
      </c>
      <c r="J103" s="708" t="str">
        <f t="shared" si="24"/>
        <v>(含)-</v>
      </c>
      <c r="K103" s="708" t="str">
        <f t="shared" si="24"/>
        <v>(含)-</v>
      </c>
      <c r="L103" s="708" t="str">
        <f t="shared" si="24"/>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v>0</v>
      </c>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3180" t="s">
        <v>3168</v>
      </c>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5">C107-$K35</f>
        <v>98</v>
      </c>
      <c r="E107" s="679">
        <f t="shared" si="25"/>
        <v>96</v>
      </c>
      <c r="F107" s="679">
        <f t="shared" si="25"/>
        <v>94</v>
      </c>
      <c r="G107" s="679">
        <f t="shared" si="25"/>
        <v>92</v>
      </c>
      <c r="H107" s="679">
        <f t="shared" si="25"/>
        <v>90</v>
      </c>
      <c r="I107" s="679">
        <f t="shared" si="25"/>
        <v>88</v>
      </c>
      <c r="J107" s="679">
        <f t="shared" si="25"/>
        <v>86</v>
      </c>
      <c r="K107" s="679">
        <f t="shared" si="25"/>
        <v>84</v>
      </c>
      <c r="L107" s="679">
        <f t="shared" si="25"/>
        <v>82</v>
      </c>
      <c r="M107" s="680">
        <f t="shared" si="25"/>
        <v>80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3180" t="s">
        <v>3169</v>
      </c>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6">C109-$K36</f>
        <v>98</v>
      </c>
      <c r="E109" s="679">
        <f t="shared" si="26"/>
        <v>96</v>
      </c>
      <c r="F109" s="679">
        <f t="shared" si="26"/>
        <v>94</v>
      </c>
      <c r="G109" s="679">
        <f t="shared" si="26"/>
        <v>92</v>
      </c>
      <c r="H109" s="679">
        <f t="shared" si="26"/>
        <v>90</v>
      </c>
      <c r="I109" s="679">
        <f t="shared" si="26"/>
        <v>88</v>
      </c>
      <c r="J109" s="679">
        <f t="shared" si="26"/>
        <v>86</v>
      </c>
      <c r="K109" s="679">
        <f t="shared" si="26"/>
        <v>84</v>
      </c>
      <c r="L109" s="679">
        <f t="shared" si="26"/>
        <v>82</v>
      </c>
      <c r="M109" s="680">
        <f t="shared" si="26"/>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102</v>
      </c>
      <c r="E112" s="679">
        <f t="shared" ref="E112:M112" si="27">D112+$K37</f>
        <v>104</v>
      </c>
      <c r="F112" s="679">
        <f t="shared" si="27"/>
        <v>106</v>
      </c>
      <c r="G112" s="679">
        <f t="shared" si="27"/>
        <v>108</v>
      </c>
      <c r="H112" s="679">
        <f t="shared" si="27"/>
        <v>110</v>
      </c>
      <c r="I112" s="679">
        <f t="shared" si="27"/>
        <v>112</v>
      </c>
      <c r="J112" s="679">
        <f t="shared" si="27"/>
        <v>114</v>
      </c>
      <c r="K112" s="679">
        <f t="shared" si="27"/>
        <v>116</v>
      </c>
      <c r="L112" s="679">
        <f t="shared" si="27"/>
        <v>118</v>
      </c>
      <c r="M112" s="679">
        <f t="shared" si="27"/>
        <v>120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98</v>
      </c>
      <c r="E114" s="679">
        <f t="shared" ref="E114:M114" si="28">D114-$K38</f>
        <v>96</v>
      </c>
      <c r="F114" s="679">
        <f t="shared" si="28"/>
        <v>94</v>
      </c>
      <c r="G114" s="679">
        <f t="shared" si="28"/>
        <v>92</v>
      </c>
      <c r="H114" s="679">
        <f t="shared" si="28"/>
        <v>90</v>
      </c>
      <c r="I114" s="679">
        <f t="shared" si="28"/>
        <v>88</v>
      </c>
      <c r="J114" s="679">
        <f t="shared" si="28"/>
        <v>86</v>
      </c>
      <c r="K114" s="679">
        <f t="shared" si="28"/>
        <v>84</v>
      </c>
      <c r="L114" s="679">
        <f t="shared" si="28"/>
        <v>82</v>
      </c>
      <c r="M114" s="679">
        <f t="shared" si="28"/>
        <v>80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3180" t="s">
        <v>3170</v>
      </c>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9">C116-$K39</f>
        <v>98</v>
      </c>
      <c r="E116" s="679">
        <f t="shared" si="29"/>
        <v>96</v>
      </c>
      <c r="F116" s="679">
        <f t="shared" si="29"/>
        <v>94</v>
      </c>
      <c r="G116" s="679">
        <f t="shared" si="29"/>
        <v>92</v>
      </c>
      <c r="H116" s="679">
        <f t="shared" si="29"/>
        <v>90</v>
      </c>
      <c r="I116" s="679">
        <f t="shared" si="29"/>
        <v>88</v>
      </c>
      <c r="J116" s="679">
        <f t="shared" si="29"/>
        <v>86</v>
      </c>
      <c r="K116" s="679">
        <f t="shared" si="29"/>
        <v>84</v>
      </c>
      <c r="L116" s="679">
        <f t="shared" si="29"/>
        <v>82</v>
      </c>
      <c r="M116" s="680">
        <f t="shared" si="29"/>
        <v>80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2557</v>
      </c>
      <c r="C117" s="3180" t="s">
        <v>3172</v>
      </c>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98</v>
      </c>
      <c r="E118" s="679">
        <f>D118-$K40</f>
        <v>96</v>
      </c>
      <c r="F118" s="679">
        <f>E118-$K40</f>
        <v>94</v>
      </c>
      <c r="G118" s="679">
        <f>F118-$K40</f>
        <v>92</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98</v>
      </c>
      <c r="E120" s="679">
        <f t="shared" ref="E120:M120" si="30">D120-$K41</f>
        <v>96</v>
      </c>
      <c r="F120" s="679">
        <f t="shared" si="30"/>
        <v>94</v>
      </c>
      <c r="G120" s="679">
        <f t="shared" si="30"/>
        <v>92</v>
      </c>
      <c r="H120" s="679">
        <f t="shared" si="30"/>
        <v>90</v>
      </c>
      <c r="I120" s="679">
        <f t="shared" si="30"/>
        <v>88</v>
      </c>
      <c r="J120" s="679">
        <f t="shared" si="30"/>
        <v>86</v>
      </c>
      <c r="K120" s="679">
        <f t="shared" si="30"/>
        <v>84</v>
      </c>
      <c r="L120" s="679">
        <f t="shared" si="30"/>
        <v>82</v>
      </c>
      <c r="M120" s="679">
        <f t="shared" si="30"/>
        <v>80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3180" t="s">
        <v>3173</v>
      </c>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1">C124-$K43</f>
        <v>98</v>
      </c>
      <c r="E124" s="679">
        <f t="shared" si="31"/>
        <v>96</v>
      </c>
      <c r="F124" s="679">
        <f t="shared" si="31"/>
        <v>94</v>
      </c>
      <c r="G124" s="679">
        <f t="shared" si="31"/>
        <v>92</v>
      </c>
      <c r="H124" s="679">
        <f t="shared" si="31"/>
        <v>90</v>
      </c>
      <c r="I124" s="679">
        <f t="shared" si="31"/>
        <v>88</v>
      </c>
      <c r="J124" s="679">
        <f t="shared" si="31"/>
        <v>86</v>
      </c>
      <c r="K124" s="679">
        <f t="shared" si="31"/>
        <v>84</v>
      </c>
      <c r="L124" s="679">
        <f t="shared" si="31"/>
        <v>82</v>
      </c>
      <c r="M124" s="680">
        <f t="shared" si="31"/>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98</v>
      </c>
      <c r="E126" s="679">
        <f>D126-$K44</f>
        <v>96</v>
      </c>
      <c r="F126" s="679">
        <f>E126-$K44</f>
        <v>94</v>
      </c>
      <c r="G126" s="679">
        <f>F126-$K44</f>
        <v>92</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16" stopIfTrue="1" operator="containsText" text="超过">
      <formula>NOT(ISERROR(SEARCH("超过",F53)))</formula>
    </cfRule>
  </conditionalFormatting>
  <conditionalFormatting sqref="H55">
    <cfRule type="containsText" dxfId="74" priority="15" stopIfTrue="1" operator="containsText" text="超过">
      <formula>NOT(ISERROR(SEARCH("超过",H55)))</formula>
    </cfRule>
  </conditionalFormatting>
  <conditionalFormatting sqref="F55">
    <cfRule type="containsText" dxfId="73" priority="14" stopIfTrue="1" operator="containsText" text="超过">
      <formula>NOT(ISERROR(SEARCH("超过",F55)))</formula>
    </cfRule>
  </conditionalFormatting>
  <conditionalFormatting sqref="F54 H54">
    <cfRule type="containsText" dxfId="72" priority="13" stopIfTrue="1" operator="containsText" text="超过">
      <formula>NOT(ISERROR(SEARCH("超过",F54)))</formula>
    </cfRule>
  </conditionalFormatting>
  <conditionalFormatting sqref="E53">
    <cfRule type="expression" dxfId="71" priority="12"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G55">
    <cfRule type="expression" dxfId="68" priority="9" stopIfTrue="1">
      <formula>$H$55="超过30%"</formula>
    </cfRule>
  </conditionalFormatting>
  <conditionalFormatting sqref="G53">
    <cfRule type="expression" dxfId="67" priority="8" stopIfTrue="1">
      <formula>$H$53="超过30%"</formula>
    </cfRule>
  </conditionalFormatting>
  <conditionalFormatting sqref="G54">
    <cfRule type="expression" dxfId="66" priority="7" stopIfTrue="1">
      <formula>$H$54="超过20%"</formula>
    </cfRule>
  </conditionalFormatting>
  <conditionalFormatting sqref="J53">
    <cfRule type="containsText" dxfId="65" priority="6" stopIfTrue="1" operator="containsText" text="超过">
      <formula>NOT(ISERROR(SEARCH("超过",J53)))</formula>
    </cfRule>
  </conditionalFormatting>
  <conditionalFormatting sqref="J55">
    <cfRule type="containsText" dxfId="64" priority="5" stopIfTrue="1" operator="containsText" text="超过">
      <formula>NOT(ISERROR(SEARCH("超过",J55)))</formula>
    </cfRule>
  </conditionalFormatting>
  <conditionalFormatting sqref="J54">
    <cfRule type="containsText" dxfId="63" priority="4" stopIfTrue="1" operator="containsText" text="超过">
      <formula>NOT(ISERROR(SEARCH("超过",J54)))</formula>
    </cfRule>
  </conditionalFormatting>
  <conditionalFormatting sqref="I53">
    <cfRule type="expression" dxfId="62" priority="3" stopIfTrue="1">
      <formula>$J$53="超过30%"</formula>
    </cfRule>
  </conditionalFormatting>
  <conditionalFormatting sqref="I54">
    <cfRule type="expression" dxfId="61" priority="2" stopIfTrue="1">
      <formula>$J$53+$J$54="超过20%"</formula>
    </cfRule>
  </conditionalFormatting>
  <conditionalFormatting sqref="I55">
    <cfRule type="expression" dxfId="6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09" t="s">
        <v>2472</v>
      </c>
      <c r="B1" s="3510"/>
      <c r="C1" s="3511"/>
      <c r="D1" s="3512">
        <f>SUM(I10,I15,I20,I21,I23)</f>
        <v>0</v>
      </c>
      <c r="E1" s="3512"/>
      <c r="F1" s="3512"/>
      <c r="G1" s="3512"/>
      <c r="H1" s="3512"/>
      <c r="I1" s="3513"/>
    </row>
    <row r="2" spans="1:9">
      <c r="A2" s="3514" t="s">
        <v>2473</v>
      </c>
      <c r="B2" s="3515" t="s">
        <v>2474</v>
      </c>
      <c r="C2" s="3515"/>
      <c r="D2" s="2485" t="s">
        <v>2475</v>
      </c>
      <c r="E2" s="2485" t="s">
        <v>2476</v>
      </c>
      <c r="F2" s="2485" t="s">
        <v>2477</v>
      </c>
      <c r="G2" s="2485" t="s">
        <v>2478</v>
      </c>
      <c r="H2" s="2485" t="s">
        <v>2479</v>
      </c>
      <c r="I2" s="2486" t="s">
        <v>2480</v>
      </c>
    </row>
    <row r="3" spans="1:9">
      <c r="A3" s="3514"/>
      <c r="B3" s="3515" t="s">
        <v>2481</v>
      </c>
      <c r="C3" s="3515"/>
      <c r="D3" s="2487"/>
      <c r="E3" s="2485"/>
      <c r="F3" s="2488"/>
      <c r="G3" s="2488"/>
      <c r="H3" s="2489"/>
      <c r="I3" s="2490">
        <f>ROUND(D3*E3*F3*G3*H3/10000,0)</f>
        <v>0</v>
      </c>
    </row>
    <row r="4" spans="1:9">
      <c r="A4" s="3514"/>
      <c r="B4" s="3515" t="s">
        <v>2482</v>
      </c>
      <c r="C4" s="3515"/>
      <c r="D4" s="2487"/>
      <c r="E4" s="2485"/>
      <c r="F4" s="2488"/>
      <c r="G4" s="2488"/>
      <c r="H4" s="2489"/>
      <c r="I4" s="2490">
        <f t="shared" ref="I4:I9" si="0">ROUND(D4*E4*F4*G4*H4/10000,0)</f>
        <v>0</v>
      </c>
    </row>
    <row r="5" spans="1:9">
      <c r="A5" s="3514"/>
      <c r="B5" s="3515" t="s">
        <v>2483</v>
      </c>
      <c r="C5" s="3515"/>
      <c r="D5" s="2487"/>
      <c r="E5" s="2485"/>
      <c r="F5" s="2488"/>
      <c r="G5" s="2488"/>
      <c r="H5" s="2489"/>
      <c r="I5" s="2490">
        <f t="shared" si="0"/>
        <v>0</v>
      </c>
    </row>
    <row r="6" spans="1:9">
      <c r="A6" s="3514"/>
      <c r="B6" s="3515" t="s">
        <v>2484</v>
      </c>
      <c r="C6" s="3515"/>
      <c r="D6" s="2487"/>
      <c r="E6" s="2485"/>
      <c r="F6" s="2488"/>
      <c r="G6" s="2488"/>
      <c r="H6" s="2489"/>
      <c r="I6" s="2490">
        <f t="shared" si="0"/>
        <v>0</v>
      </c>
    </row>
    <row r="7" spans="1:9">
      <c r="A7" s="3514"/>
      <c r="B7" s="3515" t="s">
        <v>2485</v>
      </c>
      <c r="C7" s="3515"/>
      <c r="D7" s="2487"/>
      <c r="E7" s="2485"/>
      <c r="F7" s="2488"/>
      <c r="G7" s="2488"/>
      <c r="H7" s="2489"/>
      <c r="I7" s="2490">
        <f t="shared" si="0"/>
        <v>0</v>
      </c>
    </row>
    <row r="8" spans="1:9">
      <c r="A8" s="3514"/>
      <c r="B8" s="3515" t="s">
        <v>2486</v>
      </c>
      <c r="C8" s="3515"/>
      <c r="D8" s="2487"/>
      <c r="E8" s="2485"/>
      <c r="F8" s="2488"/>
      <c r="G8" s="2488"/>
      <c r="H8" s="2489"/>
      <c r="I8" s="2490">
        <f t="shared" si="0"/>
        <v>0</v>
      </c>
    </row>
    <row r="9" spans="1:9">
      <c r="A9" s="3514"/>
      <c r="B9" s="3515" t="s">
        <v>2487</v>
      </c>
      <c r="C9" s="3515"/>
      <c r="D9" s="2487"/>
      <c r="E9" s="2485"/>
      <c r="F9" s="2488"/>
      <c r="G9" s="2488"/>
      <c r="H9" s="2489"/>
      <c r="I9" s="2490">
        <f t="shared" si="0"/>
        <v>0</v>
      </c>
    </row>
    <row r="10" spans="1:9">
      <c r="A10" s="3514"/>
      <c r="B10" s="3516" t="s">
        <v>2488</v>
      </c>
      <c r="C10" s="3516"/>
      <c r="D10" s="2491">
        <v>527</v>
      </c>
      <c r="E10" s="2491" t="e">
        <f>ROUND(D1*10000/D10/H9,0)</f>
        <v>#DIV/0!</v>
      </c>
      <c r="F10" s="2492"/>
      <c r="G10" s="2492"/>
      <c r="H10" s="2493"/>
      <c r="I10" s="2494">
        <f>SUM(I3:I9)</f>
        <v>0</v>
      </c>
    </row>
    <row r="11" spans="1:9" ht="14.25">
      <c r="A11" s="3514" t="s">
        <v>2489</v>
      </c>
      <c r="B11" s="3515" t="s">
        <v>2490</v>
      </c>
      <c r="C11" s="3515"/>
      <c r="D11" s="2487" t="s">
        <v>2491</v>
      </c>
      <c r="E11" s="2487" t="s">
        <v>2492</v>
      </c>
      <c r="F11" s="2488" t="s">
        <v>2493</v>
      </c>
      <c r="G11" s="2488" t="s">
        <v>2494</v>
      </c>
      <c r="H11" s="2495" t="s">
        <v>2495</v>
      </c>
      <c r="I11" s="2486" t="s">
        <v>2496</v>
      </c>
    </row>
    <row r="12" spans="1:9">
      <c r="A12" s="3514"/>
      <c r="B12" s="3515" t="s">
        <v>2497</v>
      </c>
      <c r="C12" s="3515"/>
      <c r="D12" s="2487"/>
      <c r="E12" s="2487"/>
      <c r="F12" s="2488"/>
      <c r="G12" s="2489"/>
      <c r="H12" s="2496"/>
      <c r="I12" s="2486">
        <f>ROUND(D12*E12*F12*G12/10000,0)</f>
        <v>0</v>
      </c>
    </row>
    <row r="13" spans="1:9">
      <c r="A13" s="3514"/>
      <c r="B13" s="3515" t="s">
        <v>2498</v>
      </c>
      <c r="C13" s="3515"/>
      <c r="D13" s="2487"/>
      <c r="E13" s="2487"/>
      <c r="F13" s="2488"/>
      <c r="G13" s="2489"/>
      <c r="H13" s="2496"/>
      <c r="I13" s="2486">
        <f>ROUND(D13*E13*F13*G13/10000,0)</f>
        <v>0</v>
      </c>
    </row>
    <row r="14" spans="1:9">
      <c r="A14" s="3514"/>
      <c r="B14" s="3515" t="s">
        <v>2499</v>
      </c>
      <c r="C14" s="3515"/>
      <c r="D14" s="2487"/>
      <c r="E14" s="2487"/>
      <c r="F14" s="2488"/>
      <c r="G14" s="2489"/>
      <c r="H14" s="2496"/>
      <c r="I14" s="2486">
        <f>ROUND(D14*E14*F14*G14/10000,0)</f>
        <v>0</v>
      </c>
    </row>
    <row r="15" spans="1:9">
      <c r="A15" s="3514"/>
      <c r="B15" s="3516" t="s">
        <v>2488</v>
      </c>
      <c r="C15" s="3516"/>
      <c r="D15" s="2491"/>
      <c r="E15" s="2491">
        <f>SUM(E12:E14)</f>
        <v>0</v>
      </c>
      <c r="F15" s="2492"/>
      <c r="G15" s="2489"/>
      <c r="H15" s="2496"/>
      <c r="I15" s="2497">
        <f>SUM(I12:I14)</f>
        <v>0</v>
      </c>
    </row>
    <row r="16" spans="1:9" ht="24">
      <c r="A16" s="3514" t="s">
        <v>2500</v>
      </c>
      <c r="B16" s="3515" t="s">
        <v>2501</v>
      </c>
      <c r="C16" s="3515"/>
      <c r="D16" s="2487" t="s">
        <v>2502</v>
      </c>
      <c r="E16" s="2498" t="s">
        <v>2503</v>
      </c>
      <c r="F16" s="2488" t="s">
        <v>2504</v>
      </c>
      <c r="G16" s="2489" t="s">
        <v>2494</v>
      </c>
      <c r="H16" s="2495" t="s">
        <v>2495</v>
      </c>
      <c r="I16" s="2486" t="s">
        <v>2496</v>
      </c>
    </row>
    <row r="17" spans="1:9" ht="14.25">
      <c r="A17" s="3514"/>
      <c r="B17" s="3515" t="s">
        <v>2505</v>
      </c>
      <c r="C17" s="3515"/>
      <c r="D17" s="2487"/>
      <c r="E17" s="2487"/>
      <c r="F17" s="2488"/>
      <c r="G17" s="2489"/>
      <c r="H17" s="2499"/>
      <c r="I17" s="2500">
        <f>ROUND(D17*E17*F17*G17/10000,0)</f>
        <v>0</v>
      </c>
    </row>
    <row r="18" spans="1:9" ht="14.25">
      <c r="A18" s="3514"/>
      <c r="B18" s="3515" t="s">
        <v>2506</v>
      </c>
      <c r="C18" s="3515"/>
      <c r="D18" s="2487"/>
      <c r="E18" s="2487"/>
      <c r="F18" s="2488"/>
      <c r="G18" s="2489"/>
      <c r="H18" s="2499"/>
      <c r="I18" s="2500">
        <f>ROUND(D18*E18*F18*G18/10000,0)</f>
        <v>0</v>
      </c>
    </row>
    <row r="19" spans="1:9" ht="14.25">
      <c r="A19" s="3514"/>
      <c r="B19" s="3515" t="s">
        <v>2507</v>
      </c>
      <c r="C19" s="3515"/>
      <c r="D19" s="2487"/>
      <c r="E19" s="2487"/>
      <c r="F19" s="2488"/>
      <c r="G19" s="2489"/>
      <c r="H19" s="2499"/>
      <c r="I19" s="2500">
        <f>ROUND(D19*E19*F19*G19/10000,0)</f>
        <v>0</v>
      </c>
    </row>
    <row r="20" spans="1:9">
      <c r="A20" s="3514"/>
      <c r="B20" s="3516" t="s">
        <v>2488</v>
      </c>
      <c r="C20" s="3516"/>
      <c r="D20" s="2491">
        <f>SUM(D17:D19)</f>
        <v>0</v>
      </c>
      <c r="E20" s="2491"/>
      <c r="F20" s="2492"/>
      <c r="G20" s="2489"/>
      <c r="H20" s="2496"/>
      <c r="I20" s="2497">
        <f>SUM(I17:I19)</f>
        <v>0</v>
      </c>
    </row>
    <row r="21" spans="1:9">
      <c r="A21" s="3514" t="s">
        <v>2508</v>
      </c>
      <c r="B21" s="3518"/>
      <c r="C21" s="3518"/>
      <c r="D21" s="3518"/>
      <c r="E21" s="3518"/>
      <c r="F21" s="3518"/>
      <c r="G21" s="3518"/>
      <c r="H21" s="2501">
        <v>0.1</v>
      </c>
      <c r="I21" s="2494">
        <f>ROUND(I10*H21,0)</f>
        <v>0</v>
      </c>
    </row>
    <row r="22" spans="1:9" ht="14.25">
      <c r="A22" s="3519" t="s">
        <v>2509</v>
      </c>
      <c r="B22" s="3520"/>
      <c r="C22" s="3521"/>
      <c r="D22" s="2502" t="s">
        <v>2510</v>
      </c>
      <c r="E22" s="2502" t="s">
        <v>2511</v>
      </c>
      <c r="F22" s="2503" t="s">
        <v>2512</v>
      </c>
      <c r="G22" s="2503" t="s">
        <v>2513</v>
      </c>
      <c r="H22" s="2495" t="s">
        <v>2514</v>
      </c>
      <c r="I22" s="2486" t="s">
        <v>2515</v>
      </c>
    </row>
    <row r="23" spans="1:9" ht="14.25" thickBot="1">
      <c r="A23" s="3522"/>
      <c r="B23" s="3523"/>
      <c r="C23" s="3524"/>
      <c r="D23" s="2504"/>
      <c r="E23" s="2504"/>
      <c r="F23" s="2504"/>
      <c r="G23" s="2505"/>
      <c r="H23" s="2506"/>
      <c r="I23" s="2507">
        <f>ROUND(E23*D23*F23*(1-G23)/10000,0)</f>
        <v>0</v>
      </c>
    </row>
    <row r="26" spans="1:9">
      <c r="A26" s="2508" t="s">
        <v>2516</v>
      </c>
      <c r="B26" s="2508"/>
      <c r="C26" s="2508"/>
      <c r="D26" s="2508"/>
      <c r="E26" s="3525">
        <f>C27-C30-C31-C32</f>
        <v>0</v>
      </c>
      <c r="F26" s="3525"/>
      <c r="G26" s="3525"/>
      <c r="H26" s="3019" t="s">
        <v>2844</v>
      </c>
    </row>
    <row r="27" spans="1:9">
      <c r="A27" s="2509">
        <v>1</v>
      </c>
      <c r="B27" s="2510" t="s">
        <v>2517</v>
      </c>
      <c r="C27" s="2510"/>
      <c r="D27" s="2510"/>
      <c r="E27" s="3526"/>
      <c r="F27" s="3526"/>
      <c r="G27" s="3526"/>
    </row>
    <row r="28" spans="1:9">
      <c r="A28" s="2511" t="s">
        <v>2518</v>
      </c>
      <c r="B28" s="2510" t="s">
        <v>2519</v>
      </c>
      <c r="C28" s="2510"/>
      <c r="D28" s="2510"/>
      <c r="E28" s="3526"/>
      <c r="F28" s="3526"/>
      <c r="G28" s="3526"/>
    </row>
    <row r="29" spans="1:9">
      <c r="A29" s="2511" t="s">
        <v>2520</v>
      </c>
      <c r="B29" s="2510" t="s">
        <v>2461</v>
      </c>
      <c r="C29" s="2510"/>
      <c r="D29" s="2510"/>
      <c r="E29" s="2510" t="s">
        <v>2521</v>
      </c>
      <c r="F29" s="2510"/>
      <c r="G29" s="2510"/>
    </row>
    <row r="30" spans="1:9">
      <c r="A30" s="2509">
        <v>2</v>
      </c>
      <c r="B30" s="2510" t="s">
        <v>2522</v>
      </c>
      <c r="C30" s="2510">
        <f>C27*D30</f>
        <v>0</v>
      </c>
      <c r="D30" s="2512">
        <v>0.2</v>
      </c>
      <c r="E30" s="2510" t="s">
        <v>2523</v>
      </c>
      <c r="F30" s="2510"/>
      <c r="G30" s="2510"/>
    </row>
    <row r="31" spans="1:9">
      <c r="A31" s="2509">
        <v>3</v>
      </c>
      <c r="B31" s="2510" t="s">
        <v>2524</v>
      </c>
      <c r="C31" s="2510">
        <f>C25*D31</f>
        <v>0</v>
      </c>
      <c r="D31" s="2512">
        <v>0.15</v>
      </c>
      <c r="E31" s="2510" t="s">
        <v>2525</v>
      </c>
      <c r="F31" s="2510"/>
      <c r="G31" s="2510"/>
    </row>
    <row r="32" spans="1:9">
      <c r="A32" s="2509">
        <v>4</v>
      </c>
      <c r="B32" s="2510" t="s">
        <v>2526</v>
      </c>
      <c r="C32" s="2510">
        <f>C27*D32</f>
        <v>0</v>
      </c>
      <c r="D32" s="2512">
        <v>0.05</v>
      </c>
      <c r="E32" s="3517"/>
      <c r="F32" s="3517"/>
      <c r="G32" s="3517"/>
    </row>
    <row r="33" spans="1:7" hidden="1">
      <c r="A33" s="3527" t="s">
        <v>2527</v>
      </c>
      <c r="B33" s="3528"/>
      <c r="C33" s="3528"/>
      <c r="D33" s="3529"/>
      <c r="E33" s="3525"/>
      <c r="F33" s="3525"/>
      <c r="G33" s="3525"/>
    </row>
    <row r="34" spans="1:7" hidden="1">
      <c r="A34" s="2513">
        <v>1</v>
      </c>
      <c r="B34" s="2510" t="s">
        <v>2528</v>
      </c>
      <c r="C34" s="2510"/>
      <c r="D34" s="2510"/>
      <c r="E34" s="3526"/>
      <c r="F34" s="3526"/>
      <c r="G34" s="3526"/>
    </row>
    <row r="35" spans="1:7" hidden="1">
      <c r="A35" s="2513">
        <v>2</v>
      </c>
      <c r="B35" s="2510" t="s">
        <v>2529</v>
      </c>
      <c r="C35" s="2510"/>
      <c r="D35" s="2510"/>
      <c r="E35" s="3526"/>
      <c r="F35" s="3526"/>
      <c r="G35" s="3526"/>
    </row>
    <row r="36" spans="1:7" hidden="1">
      <c r="A36" s="2513">
        <v>3</v>
      </c>
      <c r="B36" s="2510" t="s">
        <v>2530</v>
      </c>
      <c r="C36" s="2510"/>
      <c r="D36" s="2510"/>
      <c r="E36" s="3526"/>
      <c r="F36" s="3526"/>
      <c r="G36" s="3526"/>
    </row>
    <row r="37" spans="1:7" hidden="1">
      <c r="A37" s="2513">
        <v>4</v>
      </c>
      <c r="B37" s="2510" t="s">
        <v>2531</v>
      </c>
      <c r="C37" s="2510"/>
      <c r="D37" s="2510"/>
      <c r="E37" s="3526"/>
      <c r="F37" s="3526"/>
      <c r="G37" s="3526"/>
    </row>
    <row r="38" spans="1:7" hidden="1">
      <c r="A38" s="3527" t="s">
        <v>2532</v>
      </c>
      <c r="B38" s="3528"/>
      <c r="C38" s="3528"/>
      <c r="D38" s="3529"/>
      <c r="E38" s="3525"/>
      <c r="F38" s="3525"/>
      <c r="G38" s="35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2441</v>
      </c>
      <c r="B8" s="2450" t="s">
        <v>2443</v>
      </c>
      <c r="C8" s="2451"/>
      <c r="D8" s="749"/>
      <c r="E8" s="750"/>
      <c r="F8" s="750"/>
      <c r="G8" s="751"/>
    </row>
    <row r="9" spans="1:25" s="2182" customFormat="1" ht="13.5" customHeight="1">
      <c r="A9" s="2447" t="s">
        <v>2442</v>
      </c>
      <c r="B9" s="2450" t="s">
        <v>2444</v>
      </c>
      <c r="C9" s="2451"/>
      <c r="D9" s="749"/>
      <c r="E9" s="750"/>
      <c r="F9" s="750"/>
      <c r="G9" s="751"/>
    </row>
    <row r="10" spans="1:25" s="2182" customFormat="1" ht="36">
      <c r="A10" s="2447">
        <v>2</v>
      </c>
      <c r="B10" s="748" t="s">
        <v>613</v>
      </c>
      <c r="C10" s="749">
        <f>C11+C14+C15</f>
        <v>0</v>
      </c>
      <c r="D10" s="760">
        <f>'数据-汇总表'!E3</f>
        <v>180817</v>
      </c>
      <c r="E10" s="749">
        <f>'数据-取费表'!B31</f>
        <v>200</v>
      </c>
      <c r="F10" s="761"/>
      <c r="G10" s="759" t="s">
        <v>614</v>
      </c>
    </row>
    <row r="11" spans="1:25" s="2182" customFormat="1" ht="13.5" customHeight="1">
      <c r="A11" s="2447" t="s">
        <v>2441</v>
      </c>
      <c r="B11" s="752" t="s">
        <v>610</v>
      </c>
      <c r="C11" s="753">
        <f>'数据-取费表'!B29</f>
        <v>0</v>
      </c>
      <c r="D11" s="754"/>
      <c r="E11" s="753"/>
      <c r="F11" s="755"/>
      <c r="G11" s="2456" t="s">
        <v>2452</v>
      </c>
    </row>
    <row r="12" spans="1:25" s="2182" customFormat="1" ht="13.5" customHeight="1">
      <c r="A12" s="2454" t="s">
        <v>2449</v>
      </c>
      <c r="B12" s="756" t="s">
        <v>611</v>
      </c>
      <c r="C12" s="757">
        <f>ROUND(D12*E12/10000,0)</f>
        <v>2088</v>
      </c>
      <c r="D12" s="758">
        <f>'数据-汇总表'!E5</f>
        <v>126572</v>
      </c>
      <c r="E12" s="757">
        <f>'数据-取费表'!B27</f>
        <v>165</v>
      </c>
      <c r="F12" s="755"/>
      <c r="G12" s="759"/>
    </row>
    <row r="13" spans="1:25" s="2182" customFormat="1" ht="13.5" customHeight="1">
      <c r="A13" s="2454" t="s">
        <v>2448</v>
      </c>
      <c r="B13" s="756" t="s">
        <v>612</v>
      </c>
      <c r="C13" s="757">
        <f>ROUND(D13*E13/10000,0)</f>
        <v>1166</v>
      </c>
      <c r="D13" s="758">
        <f>'数据-汇总表'!E6</f>
        <v>54245</v>
      </c>
      <c r="E13" s="757">
        <f>'数据-取费表'!B28</f>
        <v>215</v>
      </c>
      <c r="F13" s="755"/>
      <c r="G13" s="759"/>
    </row>
    <row r="14" spans="1:25" s="2182" customFormat="1" ht="13.5" customHeight="1">
      <c r="A14" s="2447" t="s">
        <v>2442</v>
      </c>
      <c r="B14" s="2453" t="s">
        <v>2445</v>
      </c>
      <c r="C14" s="2451"/>
      <c r="D14" s="758"/>
      <c r="E14" s="757"/>
      <c r="F14" s="2452"/>
      <c r="G14" s="2455" t="s">
        <v>2450</v>
      </c>
    </row>
    <row r="15" spans="1:25" s="2182" customFormat="1" ht="13.5" customHeight="1">
      <c r="A15" s="2447" t="s">
        <v>2447</v>
      </c>
      <c r="B15" s="2453" t="s">
        <v>2446</v>
      </c>
      <c r="C15" s="2451"/>
      <c r="D15" s="758"/>
      <c r="E15" s="757"/>
      <c r="F15" s="2452"/>
      <c r="G15" s="2455" t="s">
        <v>2451</v>
      </c>
    </row>
    <row r="16" spans="1:25" s="2183" customFormat="1" ht="48">
      <c r="A16" s="2447">
        <v>3</v>
      </c>
      <c r="B16" s="748" t="s">
        <v>615</v>
      </c>
      <c r="C16" s="2451"/>
      <c r="D16" s="760"/>
      <c r="E16" s="749"/>
      <c r="F16" s="761"/>
      <c r="G16" s="759"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0.08</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0.92800000000000005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415" t="s">
        <v>522</v>
      </c>
      <c r="D4" s="3416"/>
      <c r="E4" s="3449" t="s">
        <v>523</v>
      </c>
      <c r="F4" s="3450"/>
      <c r="G4" s="3415" t="s">
        <v>524</v>
      </c>
      <c r="H4" s="3416"/>
      <c r="I4" s="3415" t="s">
        <v>525</v>
      </c>
      <c r="J4" s="3416"/>
      <c r="K4" s="514" t="s">
        <v>526</v>
      </c>
      <c r="L4" s="2132"/>
      <c r="M4" s="2133"/>
      <c r="N4" s="2133"/>
      <c r="O4" s="2133"/>
      <c r="P4" s="3417" t="s">
        <v>527</v>
      </c>
      <c r="Q4" s="3418"/>
      <c r="R4" s="3423" t="s">
        <v>523</v>
      </c>
      <c r="S4" s="3424"/>
      <c r="T4" s="3423" t="s">
        <v>524</v>
      </c>
      <c r="U4" s="3424"/>
      <c r="V4" s="3410" t="s">
        <v>525</v>
      </c>
      <c r="W4" s="3410"/>
      <c r="X4" s="1566"/>
      <c r="Y4" s="3423" t="s">
        <v>527</v>
      </c>
      <c r="Z4" s="3424"/>
      <c r="AA4" s="3412" t="s">
        <v>523</v>
      </c>
      <c r="AB4" s="3410" t="s">
        <v>524</v>
      </c>
      <c r="AC4" s="3412" t="s">
        <v>525</v>
      </c>
    </row>
    <row r="5" spans="1:29" ht="15">
      <c r="A5" s="515"/>
      <c r="B5" s="516"/>
      <c r="C5" s="3431" t="s">
        <v>2932</v>
      </c>
      <c r="D5" s="3432"/>
      <c r="E5" s="3451" t="s">
        <v>2933</v>
      </c>
      <c r="F5" s="3452"/>
      <c r="G5" s="3431" t="s">
        <v>2934</v>
      </c>
      <c r="H5" s="3432"/>
      <c r="I5" s="3431" t="s">
        <v>2935</v>
      </c>
      <c r="J5" s="3432"/>
      <c r="K5" s="514"/>
      <c r="L5" s="2132"/>
      <c r="M5" s="2133"/>
      <c r="N5" s="2133"/>
      <c r="O5" s="2133"/>
      <c r="P5" s="3419"/>
      <c r="Q5" s="3420"/>
      <c r="R5" s="3425"/>
      <c r="S5" s="3426"/>
      <c r="T5" s="3425"/>
      <c r="U5" s="3426"/>
      <c r="V5" s="3410"/>
      <c r="W5" s="3410"/>
      <c r="X5" s="1566"/>
      <c r="Y5" s="3425"/>
      <c r="Z5" s="3426"/>
      <c r="AA5" s="3413"/>
      <c r="AB5" s="3410"/>
      <c r="AC5" s="3413"/>
    </row>
    <row r="6" spans="1:29" ht="15.75" thickBot="1">
      <c r="A6" s="517"/>
      <c r="B6" s="518"/>
      <c r="C6" s="3429" t="s">
        <v>2936</v>
      </c>
      <c r="D6" s="3430"/>
      <c r="E6" s="3447" t="s">
        <v>2936</v>
      </c>
      <c r="F6" s="3448"/>
      <c r="G6" s="3429" t="s">
        <v>2936</v>
      </c>
      <c r="H6" s="3430"/>
      <c r="I6" s="3429" t="s">
        <v>2936</v>
      </c>
      <c r="J6" s="3430"/>
      <c r="K6" s="514" t="s">
        <v>528</v>
      </c>
      <c r="L6" s="2132"/>
      <c r="M6" s="2133"/>
      <c r="N6" s="2133"/>
      <c r="O6" s="2133"/>
      <c r="P6" s="3421"/>
      <c r="Q6" s="3422"/>
      <c r="R6" s="3425"/>
      <c r="S6" s="3426"/>
      <c r="T6" s="3427"/>
      <c r="U6" s="3428"/>
      <c r="V6" s="3410"/>
      <c r="W6" s="3410"/>
      <c r="X6" s="1566"/>
      <c r="Y6" s="3427"/>
      <c r="Z6" s="3428"/>
      <c r="AA6" s="3414"/>
      <c r="AB6" s="3410"/>
      <c r="AC6" s="3414"/>
    </row>
    <row r="7" spans="1:29" s="1219" customFormat="1" ht="15.75" thickBot="1">
      <c r="A7" s="2890"/>
      <c r="B7" s="2897" t="s">
        <v>529</v>
      </c>
      <c r="C7" s="519">
        <f>'数据-取费表'!B2</f>
        <v>43489</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40" t="s">
        <v>530</v>
      </c>
      <c r="Q7" s="3442"/>
      <c r="R7" s="1567" t="s">
        <v>8</v>
      </c>
      <c r="S7" s="1568">
        <f t="shared" ref="S7:S15" si="0">F7</f>
        <v>0</v>
      </c>
      <c r="T7" s="1567" t="s">
        <v>8</v>
      </c>
      <c r="U7" s="1568">
        <f t="shared" ref="U7:U15" si="1">H7</f>
        <v>0</v>
      </c>
      <c r="V7" s="1567" t="s">
        <v>8</v>
      </c>
      <c r="W7" s="1568">
        <f t="shared" ref="W7:W15" si="2">J7</f>
        <v>0</v>
      </c>
      <c r="X7" s="1569"/>
      <c r="Y7" s="3440" t="s">
        <v>530</v>
      </c>
      <c r="Z7" s="3441"/>
      <c r="AA7" s="1570" t="e">
        <f>D7/F7</f>
        <v>#DIV/0!</v>
      </c>
      <c r="AB7" s="1570" t="e">
        <f>D7/H7</f>
        <v>#DIV/0!</v>
      </c>
      <c r="AC7" s="1570" t="e">
        <f>D7/J7</f>
        <v>#DIV/0!</v>
      </c>
    </row>
    <row r="8" spans="1:29" s="1219"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40" t="s">
        <v>533</v>
      </c>
      <c r="Q8" s="3441"/>
      <c r="R8" s="1567" t="s">
        <v>8</v>
      </c>
      <c r="S8" s="1568">
        <f t="shared" si="0"/>
        <v>0</v>
      </c>
      <c r="T8" s="1567" t="s">
        <v>8</v>
      </c>
      <c r="U8" s="1568">
        <f t="shared" si="1"/>
        <v>0</v>
      </c>
      <c r="V8" s="1567" t="s">
        <v>8</v>
      </c>
      <c r="W8" s="1568">
        <f t="shared" si="2"/>
        <v>0</v>
      </c>
      <c r="X8" s="1569"/>
      <c r="Y8" s="3440" t="s">
        <v>533</v>
      </c>
      <c r="Z8" s="3441"/>
      <c r="AA8" s="1570" t="e">
        <f t="shared" ref="AA8:AA46" si="3">D8/F8</f>
        <v>#DIV/0!</v>
      </c>
      <c r="AB8" s="1570" t="e">
        <f t="shared" ref="AB8:AB46" si="4">D8/H8</f>
        <v>#DIV/0!</v>
      </c>
      <c r="AC8" s="1570" t="e">
        <f t="shared" ref="AC8:AC46" si="5">D8/J8</f>
        <v>#DIV/0!</v>
      </c>
    </row>
    <row r="9" spans="1:29" s="1219"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409" t="s">
        <v>535</v>
      </c>
      <c r="Q9" s="1150" t="str">
        <f t="shared" ref="Q9:Q15" si="6">B9</f>
        <v>用途</v>
      </c>
      <c r="R9" s="1567" t="s">
        <v>8</v>
      </c>
      <c r="S9" s="1568">
        <f t="shared" si="0"/>
        <v>100</v>
      </c>
      <c r="T9" s="1567" t="s">
        <v>8</v>
      </c>
      <c r="U9" s="1568">
        <f t="shared" si="1"/>
        <v>100</v>
      </c>
      <c r="V9" s="1567" t="s">
        <v>8</v>
      </c>
      <c r="W9" s="1568">
        <f t="shared" si="2"/>
        <v>100</v>
      </c>
      <c r="X9" s="1569"/>
      <c r="Y9" s="3349"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409"/>
      <c r="Q10" s="1150" t="str">
        <f t="shared" si="6"/>
        <v>土地使用年限（年）</v>
      </c>
      <c r="R10" s="1567" t="s">
        <v>8</v>
      </c>
      <c r="S10" s="1568">
        <f t="shared" si="0"/>
        <v>100</v>
      </c>
      <c r="T10" s="1567" t="s">
        <v>8</v>
      </c>
      <c r="U10" s="1568">
        <f t="shared" si="1"/>
        <v>100</v>
      </c>
      <c r="V10" s="1567" t="s">
        <v>8</v>
      </c>
      <c r="W10" s="1568">
        <f t="shared" si="2"/>
        <v>100</v>
      </c>
      <c r="X10" s="1569"/>
      <c r="Y10" s="3349"/>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409"/>
      <c r="Q11" s="1150" t="str">
        <f t="shared" si="6"/>
        <v>容积率</v>
      </c>
      <c r="R11" s="1567" t="s">
        <v>8</v>
      </c>
      <c r="S11" s="1568" t="e">
        <f t="shared" si="0"/>
        <v>#N/A</v>
      </c>
      <c r="T11" s="1567" t="s">
        <v>8</v>
      </c>
      <c r="U11" s="1568" t="e">
        <f t="shared" si="1"/>
        <v>#N/A</v>
      </c>
      <c r="V11" s="1567" t="s">
        <v>8</v>
      </c>
      <c r="W11" s="1568" t="e">
        <f t="shared" si="2"/>
        <v>#N/A</v>
      </c>
      <c r="X11" s="1569"/>
      <c r="Y11" s="3349"/>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09"/>
      <c r="Q12" s="1150">
        <f t="shared" si="6"/>
        <v>111</v>
      </c>
      <c r="R12" s="1567" t="s">
        <v>8</v>
      </c>
      <c r="S12" s="1568">
        <f t="shared" si="0"/>
        <v>100</v>
      </c>
      <c r="T12" s="1567" t="s">
        <v>8</v>
      </c>
      <c r="U12" s="1568">
        <f t="shared" si="1"/>
        <v>100</v>
      </c>
      <c r="V12" s="1567" t="s">
        <v>8</v>
      </c>
      <c r="W12" s="1568">
        <f t="shared" si="2"/>
        <v>100</v>
      </c>
      <c r="X12" s="1569"/>
      <c r="Y12" s="3349"/>
      <c r="Z12" s="1149">
        <f t="shared" si="7"/>
        <v>111</v>
      </c>
      <c r="AA12" s="1570">
        <f>D12/F12</f>
        <v>1</v>
      </c>
      <c r="AB12" s="1570">
        <f>D12/H12</f>
        <v>1</v>
      </c>
      <c r="AC12" s="1570">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09"/>
      <c r="Q13" s="1150">
        <f t="shared" si="6"/>
        <v>111</v>
      </c>
      <c r="R13" s="1567" t="s">
        <v>8</v>
      </c>
      <c r="S13" s="1568">
        <f t="shared" si="0"/>
        <v>100</v>
      </c>
      <c r="T13" s="1567" t="s">
        <v>8</v>
      </c>
      <c r="U13" s="1568">
        <f t="shared" si="1"/>
        <v>100</v>
      </c>
      <c r="V13" s="1567" t="s">
        <v>8</v>
      </c>
      <c r="W13" s="1568">
        <f t="shared" si="2"/>
        <v>100</v>
      </c>
      <c r="X13" s="1569"/>
      <c r="Y13" s="3349"/>
      <c r="Z13" s="1149">
        <f t="shared" si="7"/>
        <v>111</v>
      </c>
      <c r="AA13" s="1570">
        <f t="shared" si="3"/>
        <v>1</v>
      </c>
      <c r="AB13" s="1570">
        <f t="shared" si="4"/>
        <v>1</v>
      </c>
      <c r="AC13" s="1570">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09"/>
      <c r="Q14" s="1150">
        <f t="shared" si="6"/>
        <v>111</v>
      </c>
      <c r="R14" s="1567" t="s">
        <v>8</v>
      </c>
      <c r="S14" s="1568">
        <f t="shared" si="0"/>
        <v>100</v>
      </c>
      <c r="T14" s="1567" t="s">
        <v>8</v>
      </c>
      <c r="U14" s="1568">
        <f t="shared" si="1"/>
        <v>100</v>
      </c>
      <c r="V14" s="1567" t="s">
        <v>8</v>
      </c>
      <c r="W14" s="1568">
        <f t="shared" si="2"/>
        <v>100</v>
      </c>
      <c r="X14" s="1569"/>
      <c r="Y14" s="3349"/>
      <c r="Z14" s="1149">
        <f t="shared" si="7"/>
        <v>111</v>
      </c>
      <c r="AA14" s="1570">
        <f t="shared" si="3"/>
        <v>1</v>
      </c>
      <c r="AB14" s="1570">
        <f t="shared" si="4"/>
        <v>1</v>
      </c>
      <c r="AC14" s="1570">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43" t="s">
        <v>540</v>
      </c>
      <c r="Q15" s="1571" t="str">
        <f t="shared" si="6"/>
        <v>商业繁华度</v>
      </c>
      <c r="R15" s="1572" t="s">
        <v>8</v>
      </c>
      <c r="S15" s="1573">
        <f t="shared" si="0"/>
        <v>100</v>
      </c>
      <c r="T15" s="1572" t="s">
        <v>8</v>
      </c>
      <c r="U15" s="1573">
        <f t="shared" si="1"/>
        <v>100</v>
      </c>
      <c r="V15" s="1572" t="s">
        <v>8</v>
      </c>
      <c r="W15" s="1573">
        <f t="shared" si="2"/>
        <v>100</v>
      </c>
      <c r="X15" s="1566"/>
      <c r="Y15" s="3443"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44"/>
      <c r="Q16" s="1571"/>
      <c r="R16" s="1572"/>
      <c r="S16" s="1573"/>
      <c r="T16" s="1572"/>
      <c r="U16" s="1573"/>
      <c r="V16" s="1572"/>
      <c r="W16" s="1573"/>
      <c r="X16" s="1566"/>
      <c r="Y16" s="3444"/>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44"/>
      <c r="Q17" s="1571" t="str">
        <f>B17</f>
        <v>交通便捷度</v>
      </c>
      <c r="R17" s="1572" t="s">
        <v>8</v>
      </c>
      <c r="S17" s="1573">
        <f>F17</f>
        <v>100</v>
      </c>
      <c r="T17" s="1572" t="s">
        <v>8</v>
      </c>
      <c r="U17" s="1573">
        <f>H17</f>
        <v>100</v>
      </c>
      <c r="V17" s="1572" t="s">
        <v>8</v>
      </c>
      <c r="W17" s="1573">
        <f>J17</f>
        <v>100</v>
      </c>
      <c r="X17" s="1566"/>
      <c r="Y17" s="344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44"/>
      <c r="Q18" s="1571"/>
      <c r="R18" s="1572"/>
      <c r="S18" s="1573"/>
      <c r="T18" s="1572"/>
      <c r="U18" s="1573"/>
      <c r="V18" s="1572"/>
      <c r="W18" s="1573"/>
      <c r="X18" s="1566"/>
      <c r="Y18" s="3444"/>
      <c r="Z18" s="1574"/>
      <c r="AA18" s="1575">
        <v>1</v>
      </c>
      <c r="AB18" s="1575">
        <v>1</v>
      </c>
      <c r="AC18" s="1575">
        <v>1</v>
      </c>
    </row>
    <row r="19" spans="1:29" ht="42.75">
      <c r="A19" s="532"/>
      <c r="B19" s="2578"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44"/>
      <c r="Q19" s="1571" t="str">
        <f>B19</f>
        <v>公共配套设施</v>
      </c>
      <c r="R19" s="1572" t="s">
        <v>8</v>
      </c>
      <c r="S19" s="1573">
        <f>F19</f>
        <v>100</v>
      </c>
      <c r="T19" s="1572" t="s">
        <v>8</v>
      </c>
      <c r="U19" s="1573">
        <f>H19</f>
        <v>100</v>
      </c>
      <c r="V19" s="1572" t="s">
        <v>8</v>
      </c>
      <c r="W19" s="1573">
        <f>J19</f>
        <v>100</v>
      </c>
      <c r="X19" s="1566"/>
      <c r="Y19" s="3444"/>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44"/>
      <c r="Q20" s="1571"/>
      <c r="R20" s="1572"/>
      <c r="S20" s="1573"/>
      <c r="T20" s="1572"/>
      <c r="U20" s="1573"/>
      <c r="V20" s="1572"/>
      <c r="W20" s="1573"/>
      <c r="X20" s="1566"/>
      <c r="Y20" s="3444"/>
      <c r="Z20" s="1574"/>
      <c r="AA20" s="1575">
        <v>1</v>
      </c>
      <c r="AB20" s="1575">
        <v>1</v>
      </c>
      <c r="AC20" s="1575">
        <v>1</v>
      </c>
    </row>
    <row r="21" spans="1:29" ht="28.5">
      <c r="A21" s="532"/>
      <c r="B21" s="2571"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44"/>
      <c r="Q21" s="2557" t="str">
        <f>B21</f>
        <v>基础设施水平</v>
      </c>
      <c r="R21" s="1572" t="s">
        <v>8</v>
      </c>
      <c r="S21" s="1573">
        <f>F21</f>
        <v>100</v>
      </c>
      <c r="T21" s="1572" t="s">
        <v>8</v>
      </c>
      <c r="U21" s="1573">
        <f>H21</f>
        <v>100</v>
      </c>
      <c r="V21" s="1572" t="s">
        <v>8</v>
      </c>
      <c r="W21" s="1573">
        <f>J21</f>
        <v>100</v>
      </c>
      <c r="X21" s="2559"/>
      <c r="Y21" s="3444"/>
      <c r="Z21" s="2558"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580"/>
      <c r="L22" s="2141"/>
      <c r="M22" s="2133"/>
      <c r="N22" s="2133"/>
      <c r="O22" s="2140"/>
      <c r="P22" s="3444"/>
      <c r="Q22" s="2557"/>
      <c r="R22" s="1572"/>
      <c r="S22" s="1573"/>
      <c r="T22" s="1572"/>
      <c r="U22" s="1573"/>
      <c r="V22" s="1572"/>
      <c r="W22" s="1573"/>
      <c r="X22" s="2559"/>
      <c r="Y22" s="3444"/>
      <c r="Z22" s="2558"/>
      <c r="AA22" s="1575">
        <v>1</v>
      </c>
      <c r="AB22" s="1575">
        <v>1</v>
      </c>
      <c r="AC22" s="1575">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44"/>
      <c r="Q23" s="1571" t="str">
        <f>B23</f>
        <v>自然及人文环境</v>
      </c>
      <c r="R23" s="1572" t="s">
        <v>8</v>
      </c>
      <c r="S23" s="1573">
        <f>F23</f>
        <v>100</v>
      </c>
      <c r="T23" s="1572" t="s">
        <v>8</v>
      </c>
      <c r="U23" s="1573">
        <f>H23</f>
        <v>100</v>
      </c>
      <c r="V23" s="1572" t="s">
        <v>8</v>
      </c>
      <c r="W23" s="1573">
        <f>J23</f>
        <v>100</v>
      </c>
      <c r="X23" s="1566"/>
      <c r="Y23" s="3444"/>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44"/>
      <c r="Q24" s="1571"/>
      <c r="R24" s="1572"/>
      <c r="S24" s="1573"/>
      <c r="T24" s="1572"/>
      <c r="U24" s="1573"/>
      <c r="V24" s="1572"/>
      <c r="W24" s="1573"/>
      <c r="X24" s="1566"/>
      <c r="Y24" s="3444"/>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44"/>
      <c r="Q25" s="1571" t="str">
        <f t="shared" ref="Q25:Q46" si="11">B25</f>
        <v>临街状况</v>
      </c>
      <c r="R25" s="1572" t="s">
        <v>8</v>
      </c>
      <c r="S25" s="1573">
        <f>F25</f>
        <v>100</v>
      </c>
      <c r="T25" s="1572" t="s">
        <v>8</v>
      </c>
      <c r="U25" s="1573">
        <f>H25</f>
        <v>100</v>
      </c>
      <c r="V25" s="1572" t="s">
        <v>8</v>
      </c>
      <c r="W25" s="1573">
        <f>J25</f>
        <v>100</v>
      </c>
      <c r="X25" s="1566"/>
      <c r="Y25" s="3444"/>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44"/>
      <c r="Q26" s="1571" t="str">
        <f t="shared" si="11"/>
        <v>平面位置/可视性</v>
      </c>
      <c r="R26" s="1572" t="s">
        <v>8</v>
      </c>
      <c r="S26" s="1573">
        <f>F26</f>
        <v>100</v>
      </c>
      <c r="T26" s="1572" t="s">
        <v>8</v>
      </c>
      <c r="U26" s="1573">
        <f>H26</f>
        <v>100</v>
      </c>
      <c r="V26" s="1572" t="s">
        <v>8</v>
      </c>
      <c r="W26" s="1573">
        <f>J26</f>
        <v>100</v>
      </c>
      <c r="X26" s="1566"/>
      <c r="Y26" s="3444"/>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44"/>
      <c r="Q27" s="1150" t="str">
        <f t="shared" si="11"/>
        <v>人流量</v>
      </c>
      <c r="R27" s="1567" t="s">
        <v>8</v>
      </c>
      <c r="S27" s="1568">
        <f>F27</f>
        <v>100</v>
      </c>
      <c r="T27" s="1567" t="s">
        <v>8</v>
      </c>
      <c r="U27" s="1568">
        <f>H27</f>
        <v>100</v>
      </c>
      <c r="V27" s="1567" t="s">
        <v>8</v>
      </c>
      <c r="W27" s="1568">
        <f>J27</f>
        <v>100</v>
      </c>
      <c r="X27" s="1569"/>
      <c r="Y27" s="3444"/>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4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4"/>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44"/>
      <c r="Q29" s="1571">
        <f t="shared" si="11"/>
        <v>111</v>
      </c>
      <c r="R29" s="1572" t="s">
        <v>8</v>
      </c>
      <c r="S29" s="1573">
        <f t="shared" si="12"/>
        <v>100</v>
      </c>
      <c r="T29" s="1572" t="s">
        <v>8</v>
      </c>
      <c r="U29" s="1573">
        <f t="shared" si="13"/>
        <v>100</v>
      </c>
      <c r="V29" s="1572" t="s">
        <v>8</v>
      </c>
      <c r="W29" s="1573">
        <f t="shared" si="14"/>
        <v>100</v>
      </c>
      <c r="X29" s="1566"/>
      <c r="Y29" s="3444"/>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44"/>
      <c r="Q30" s="1571">
        <f t="shared" si="11"/>
        <v>111</v>
      </c>
      <c r="R30" s="1572" t="s">
        <v>8</v>
      </c>
      <c r="S30" s="1573">
        <f t="shared" si="12"/>
        <v>100</v>
      </c>
      <c r="T30" s="1572" t="s">
        <v>8</v>
      </c>
      <c r="U30" s="1573">
        <f t="shared" si="13"/>
        <v>100</v>
      </c>
      <c r="V30" s="1572" t="s">
        <v>8</v>
      </c>
      <c r="W30" s="1573">
        <f t="shared" si="14"/>
        <v>100</v>
      </c>
      <c r="X30" s="1566"/>
      <c r="Y30" s="3444"/>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44"/>
      <c r="Q31" s="1571">
        <f t="shared" si="11"/>
        <v>111</v>
      </c>
      <c r="R31" s="1572" t="s">
        <v>8</v>
      </c>
      <c r="S31" s="1573">
        <f t="shared" si="12"/>
        <v>100</v>
      </c>
      <c r="T31" s="1572" t="s">
        <v>8</v>
      </c>
      <c r="U31" s="1573">
        <f t="shared" si="13"/>
        <v>100</v>
      </c>
      <c r="V31" s="1572" t="s">
        <v>8</v>
      </c>
      <c r="W31" s="1573">
        <f t="shared" si="14"/>
        <v>100</v>
      </c>
      <c r="X31" s="1566"/>
      <c r="Y31" s="3444"/>
      <c r="Z31" s="1574">
        <f t="shared" si="15"/>
        <v>111</v>
      </c>
      <c r="AA31" s="1575">
        <f t="shared" si="3"/>
        <v>1</v>
      </c>
      <c r="AB31" s="1575">
        <f t="shared" si="4"/>
        <v>1</v>
      </c>
      <c r="AC31" s="1575">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45" t="s">
        <v>550</v>
      </c>
      <c r="Q32" s="1571" t="str">
        <f t="shared" si="11"/>
        <v>商业类型</v>
      </c>
      <c r="R32" s="1572" t="s">
        <v>8</v>
      </c>
      <c r="S32" s="1573">
        <f t="shared" si="12"/>
        <v>100</v>
      </c>
      <c r="T32" s="1572" t="s">
        <v>8</v>
      </c>
      <c r="U32" s="1573">
        <f t="shared" si="13"/>
        <v>100</v>
      </c>
      <c r="V32" s="1572" t="s">
        <v>8</v>
      </c>
      <c r="W32" s="1573">
        <f t="shared" si="14"/>
        <v>100</v>
      </c>
      <c r="X32" s="1566"/>
      <c r="Y32" s="3446"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46"/>
      <c r="Q33" s="1604" t="str">
        <f t="shared" si="11"/>
        <v>项目建筑规模</v>
      </c>
      <c r="R33" s="1576" t="s">
        <v>8</v>
      </c>
      <c r="S33" s="1577" t="e">
        <f t="shared" si="12"/>
        <v>#N/A</v>
      </c>
      <c r="T33" s="1576" t="s">
        <v>8</v>
      </c>
      <c r="U33" s="1577" t="e">
        <f t="shared" si="13"/>
        <v>#N/A</v>
      </c>
      <c r="V33" s="1576" t="s">
        <v>8</v>
      </c>
      <c r="W33" s="1577" t="e">
        <f t="shared" si="14"/>
        <v>#N/A</v>
      </c>
      <c r="X33" s="1578"/>
      <c r="Y33" s="3446"/>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46"/>
      <c r="Q34" s="1571" t="str">
        <f t="shared" si="11"/>
        <v>建筑结构</v>
      </c>
      <c r="R34" s="1572" t="s">
        <v>8</v>
      </c>
      <c r="S34" s="1573">
        <f t="shared" si="12"/>
        <v>100</v>
      </c>
      <c r="T34" s="1572" t="s">
        <v>8</v>
      </c>
      <c r="U34" s="1573">
        <f t="shared" si="13"/>
        <v>100</v>
      </c>
      <c r="V34" s="1572" t="s">
        <v>8</v>
      </c>
      <c r="W34" s="1573">
        <f t="shared" si="14"/>
        <v>100</v>
      </c>
      <c r="X34" s="1566"/>
      <c r="Y34" s="3446"/>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46"/>
      <c r="Q35" s="1571" t="str">
        <f t="shared" si="11"/>
        <v>公共部分装修</v>
      </c>
      <c r="R35" s="1572" t="s">
        <v>8</v>
      </c>
      <c r="S35" s="1573">
        <f t="shared" si="12"/>
        <v>100</v>
      </c>
      <c r="T35" s="1572" t="s">
        <v>8</v>
      </c>
      <c r="U35" s="1573">
        <f t="shared" si="13"/>
        <v>100</v>
      </c>
      <c r="V35" s="1572" t="s">
        <v>8</v>
      </c>
      <c r="W35" s="1573">
        <f t="shared" si="14"/>
        <v>100</v>
      </c>
      <c r="X35" s="1566"/>
      <c r="Y35" s="3446"/>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46"/>
      <c r="Q36" s="1571" t="str">
        <f t="shared" si="11"/>
        <v>成新度</v>
      </c>
      <c r="R36" s="1572" t="s">
        <v>8</v>
      </c>
      <c r="S36" s="1573" t="e">
        <f t="shared" si="12"/>
        <v>#N/A</v>
      </c>
      <c r="T36" s="1572" t="s">
        <v>8</v>
      </c>
      <c r="U36" s="1573" t="e">
        <f t="shared" si="13"/>
        <v>#N/A</v>
      </c>
      <c r="V36" s="1572" t="s">
        <v>8</v>
      </c>
      <c r="W36" s="1573" t="e">
        <f t="shared" si="14"/>
        <v>#N/A</v>
      </c>
      <c r="X36" s="1566"/>
      <c r="Y36" s="3446"/>
      <c r="Z36" s="1574" t="str">
        <f t="shared" si="15"/>
        <v>成新度</v>
      </c>
      <c r="AA36" s="1575" t="e">
        <f t="shared" si="3"/>
        <v>#N/A</v>
      </c>
      <c r="AB36" s="1575" t="e">
        <f t="shared" si="4"/>
        <v>#N/A</v>
      </c>
      <c r="AC36" s="1575" t="e">
        <f t="shared" si="5"/>
        <v>#N/A</v>
      </c>
    </row>
    <row r="37" spans="1:29" s="1219" customFormat="1" ht="15">
      <c r="A37" s="600"/>
      <c r="B37" s="1894"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46"/>
      <c r="Q37" s="1150" t="str">
        <f t="shared" si="11"/>
        <v>市政基础设施</v>
      </c>
      <c r="R37" s="1567" t="s">
        <v>8</v>
      </c>
      <c r="S37" s="1568">
        <f t="shared" si="12"/>
        <v>100</v>
      </c>
      <c r="T37" s="1567" t="s">
        <v>8</v>
      </c>
      <c r="U37" s="1568">
        <f t="shared" si="13"/>
        <v>100</v>
      </c>
      <c r="V37" s="1567" t="s">
        <v>8</v>
      </c>
      <c r="W37" s="1568">
        <f t="shared" si="14"/>
        <v>100</v>
      </c>
      <c r="X37" s="1569"/>
      <c r="Y37" s="3446"/>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46" t="s">
        <v>766</v>
      </c>
      <c r="Q38" s="1571" t="str">
        <f t="shared" si="11"/>
        <v>业态</v>
      </c>
      <c r="R38" s="1572" t="s">
        <v>8</v>
      </c>
      <c r="S38" s="1573">
        <f t="shared" si="12"/>
        <v>100</v>
      </c>
      <c r="T38" s="1572" t="s">
        <v>8</v>
      </c>
      <c r="U38" s="1573">
        <f t="shared" si="13"/>
        <v>100</v>
      </c>
      <c r="V38" s="1572" t="s">
        <v>8</v>
      </c>
      <c r="W38" s="1573">
        <f t="shared" si="14"/>
        <v>100</v>
      </c>
      <c r="X38" s="1566"/>
      <c r="Y38" s="3446"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46"/>
      <c r="Q39" s="1571" t="str">
        <f t="shared" si="11"/>
        <v>层高</v>
      </c>
      <c r="R39" s="1572" t="s">
        <v>8</v>
      </c>
      <c r="S39" s="1573">
        <f t="shared" si="12"/>
        <v>100</v>
      </c>
      <c r="T39" s="1572" t="s">
        <v>8</v>
      </c>
      <c r="U39" s="1573">
        <f t="shared" si="13"/>
        <v>100</v>
      </c>
      <c r="V39" s="1572" t="s">
        <v>8</v>
      </c>
      <c r="W39" s="1573">
        <f t="shared" si="14"/>
        <v>100</v>
      </c>
      <c r="X39" s="1566"/>
      <c r="Y39" s="3446"/>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46"/>
      <c r="Q40" s="1571" t="str">
        <f t="shared" si="11"/>
        <v>单套建筑面积</v>
      </c>
      <c r="R40" s="1572" t="s">
        <v>8</v>
      </c>
      <c r="S40" s="1573">
        <f t="shared" si="12"/>
        <v>100</v>
      </c>
      <c r="T40" s="1572" t="s">
        <v>8</v>
      </c>
      <c r="U40" s="1573">
        <f t="shared" si="13"/>
        <v>100</v>
      </c>
      <c r="V40" s="1572" t="s">
        <v>8</v>
      </c>
      <c r="W40" s="1573">
        <f t="shared" si="14"/>
        <v>100</v>
      </c>
      <c r="X40" s="1566"/>
      <c r="Y40" s="3446"/>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46"/>
      <c r="Q41" s="1604" t="str">
        <f t="shared" si="11"/>
        <v>进深比</v>
      </c>
      <c r="R41" s="1576" t="s">
        <v>8</v>
      </c>
      <c r="S41" s="1577">
        <f t="shared" si="12"/>
        <v>100</v>
      </c>
      <c r="T41" s="1576" t="s">
        <v>8</v>
      </c>
      <c r="U41" s="1577">
        <f t="shared" si="13"/>
        <v>100</v>
      </c>
      <c r="V41" s="1576" t="s">
        <v>8</v>
      </c>
      <c r="W41" s="1577">
        <f t="shared" si="14"/>
        <v>100</v>
      </c>
      <c r="X41" s="1578"/>
      <c r="Y41" s="3446"/>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46"/>
      <c r="Q42" s="1571" t="str">
        <f t="shared" si="11"/>
        <v>内部装修</v>
      </c>
      <c r="R42" s="1572" t="s">
        <v>8</v>
      </c>
      <c r="S42" s="1573">
        <f t="shared" si="12"/>
        <v>100</v>
      </c>
      <c r="T42" s="1572" t="s">
        <v>8</v>
      </c>
      <c r="U42" s="1573">
        <f t="shared" si="13"/>
        <v>100</v>
      </c>
      <c r="V42" s="1572" t="s">
        <v>8</v>
      </c>
      <c r="W42" s="1573">
        <f t="shared" si="14"/>
        <v>100</v>
      </c>
      <c r="X42" s="1566"/>
      <c r="Y42" s="3446"/>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46"/>
      <c r="Q43" s="1571" t="str">
        <f t="shared" si="11"/>
        <v>内部装修维护情况</v>
      </c>
      <c r="R43" s="1572" t="s">
        <v>8</v>
      </c>
      <c r="S43" s="1573">
        <f t="shared" si="12"/>
        <v>100</v>
      </c>
      <c r="T43" s="1572" t="s">
        <v>8</v>
      </c>
      <c r="U43" s="1573">
        <f t="shared" si="13"/>
        <v>100</v>
      </c>
      <c r="V43" s="1572" t="s">
        <v>8</v>
      </c>
      <c r="W43" s="1573">
        <f t="shared" si="14"/>
        <v>100</v>
      </c>
      <c r="X43" s="1566"/>
      <c r="Y43" s="3446"/>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46"/>
      <c r="Q44" s="1150">
        <f t="shared" si="11"/>
        <v>111</v>
      </c>
      <c r="R44" s="1567" t="s">
        <v>8</v>
      </c>
      <c r="S44" s="1568">
        <f t="shared" si="12"/>
        <v>100</v>
      </c>
      <c r="T44" s="1567" t="s">
        <v>8</v>
      </c>
      <c r="U44" s="1568">
        <f t="shared" si="13"/>
        <v>100</v>
      </c>
      <c r="V44" s="1567" t="s">
        <v>8</v>
      </c>
      <c r="W44" s="1568">
        <f t="shared" si="14"/>
        <v>100</v>
      </c>
      <c r="X44" s="1569"/>
      <c r="Y44" s="3446"/>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46"/>
      <c r="Q45" s="1571">
        <f t="shared" si="11"/>
        <v>111</v>
      </c>
      <c r="R45" s="1572" t="s">
        <v>8</v>
      </c>
      <c r="S45" s="1573">
        <f t="shared" si="12"/>
        <v>100</v>
      </c>
      <c r="T45" s="1572" t="s">
        <v>8</v>
      </c>
      <c r="U45" s="1573">
        <f t="shared" si="13"/>
        <v>100</v>
      </c>
      <c r="V45" s="1572" t="s">
        <v>8</v>
      </c>
      <c r="W45" s="1573">
        <f t="shared" si="14"/>
        <v>100</v>
      </c>
      <c r="X45" s="1566"/>
      <c r="Y45" s="3446"/>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0"/>
      <c r="Q46" s="1571">
        <f t="shared" si="11"/>
        <v>111</v>
      </c>
      <c r="R46" s="1572" t="s">
        <v>8</v>
      </c>
      <c r="S46" s="1573">
        <f t="shared" si="12"/>
        <v>100</v>
      </c>
      <c r="T46" s="1572" t="s">
        <v>8</v>
      </c>
      <c r="U46" s="1573">
        <f t="shared" si="13"/>
        <v>100</v>
      </c>
      <c r="V46" s="1572" t="s">
        <v>8</v>
      </c>
      <c r="W46" s="1573">
        <f t="shared" si="14"/>
        <v>100</v>
      </c>
      <c r="X46" s="1566"/>
      <c r="Y46" s="3500"/>
      <c r="Z46" s="1574">
        <f t="shared" si="15"/>
        <v>111</v>
      </c>
      <c r="AA46" s="1575">
        <f t="shared" si="3"/>
        <v>1</v>
      </c>
      <c r="AB46" s="1575">
        <f t="shared" si="4"/>
        <v>1</v>
      </c>
      <c r="AC46" s="1575">
        <f t="shared" si="5"/>
        <v>1</v>
      </c>
    </row>
    <row r="47" spans="1:29" ht="15">
      <c r="A47" s="607" t="s">
        <v>736</v>
      </c>
      <c r="B47" s="886"/>
      <c r="C47" s="2605" t="s">
        <v>1</v>
      </c>
      <c r="D47" s="2606"/>
      <c r="E47" s="2607"/>
      <c r="F47" s="2608"/>
      <c r="G47" s="2609"/>
      <c r="H47" s="2610"/>
      <c r="I47" s="2607"/>
      <c r="J47" s="2610"/>
      <c r="K47" s="1610"/>
      <c r="L47" s="2143"/>
      <c r="M47" s="2144"/>
      <c r="N47" s="2133"/>
      <c r="O47" s="2144"/>
      <c r="P47" s="3409" t="str">
        <f>A47</f>
        <v>成交单价（元/平方米）</v>
      </c>
      <c r="Q47" s="3409"/>
      <c r="R47" s="3499">
        <f>E47</f>
        <v>0</v>
      </c>
      <c r="S47" s="3499"/>
      <c r="T47" s="3499">
        <f>G47</f>
        <v>0</v>
      </c>
      <c r="U47" s="3499"/>
      <c r="V47" s="3499">
        <f>I47</f>
        <v>0</v>
      </c>
      <c r="W47" s="3499"/>
      <c r="X47" s="1558"/>
      <c r="Y47" s="1580"/>
      <c r="Z47" s="1558"/>
      <c r="AA47" s="1558"/>
      <c r="AB47" s="1558"/>
      <c r="AC47" s="1558"/>
    </row>
    <row r="48" spans="1:29" ht="15.75" thickBot="1">
      <c r="A48" s="615" t="s">
        <v>2761</v>
      </c>
      <c r="B48" s="887"/>
      <c r="C48" s="2611" t="e">
        <f>R49</f>
        <v>#DIV/0!</v>
      </c>
      <c r="D48" s="2612"/>
      <c r="E48" s="2613" t="e">
        <f>R48</f>
        <v>#DIV/0!</v>
      </c>
      <c r="F48" s="2613"/>
      <c r="G48" s="2611" t="e">
        <f>T48</f>
        <v>#DIV/0!</v>
      </c>
      <c r="H48" s="2612"/>
      <c r="I48" s="2613" t="e">
        <f>V48</f>
        <v>#DIV/0!</v>
      </c>
      <c r="J48" s="2612"/>
      <c r="K48" s="1611"/>
      <c r="L48" s="2143"/>
      <c r="M48" s="2144"/>
      <c r="N48" s="2133"/>
      <c r="O48" s="2144"/>
      <c r="P48" s="3409" t="str">
        <f>A48</f>
        <v>比较价格（元/平方米）</v>
      </c>
      <c r="Q48" s="3409"/>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58"/>
      <c r="Y48" s="1558"/>
      <c r="Z48" s="1558"/>
      <c r="AA48" s="1558"/>
      <c r="AB48" s="1558"/>
      <c r="AC48" s="1558"/>
    </row>
    <row r="49" spans="1:29" ht="15.75" thickBot="1">
      <c r="A49" s="621" t="s">
        <v>2938</v>
      </c>
      <c r="B49" s="622"/>
      <c r="C49" s="2614" t="e">
        <f>R49</f>
        <v>#DIV/0!</v>
      </c>
      <c r="D49" s="2614"/>
      <c r="E49" s="2614"/>
      <c r="F49" s="2614"/>
      <c r="G49" s="2614"/>
      <c r="H49" s="2614"/>
      <c r="I49" s="2614"/>
      <c r="J49" s="2614"/>
      <c r="K49" s="1612"/>
      <c r="L49" s="2143"/>
      <c r="M49" s="2144"/>
      <c r="N49" s="2133"/>
      <c r="O49" s="2144"/>
      <c r="P49" s="3406" t="str">
        <f>A49</f>
        <v>估价对象XX用房的比较价格（楼面单价，元/平方米）</v>
      </c>
      <c r="Q49" s="3407"/>
      <c r="R49" s="3498" t="e">
        <f>IF(F1="售价",ROUND(AVERAGE(R48:V48),0),ROUND(AVERAGE(R48:V48),1))</f>
        <v>#DIV/0!</v>
      </c>
      <c r="S49" s="3498"/>
      <c r="T49" s="3498"/>
      <c r="U49" s="3498"/>
      <c r="V49" s="3498"/>
      <c r="W49" s="3498"/>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2558</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2559</v>
      </c>
      <c r="C82" s="2576" t="s">
        <v>2560</v>
      </c>
      <c r="D82" s="2576" t="s">
        <v>2561</v>
      </c>
      <c r="E82" s="2576" t="s">
        <v>2562</v>
      </c>
      <c r="F82" s="2576" t="s">
        <v>2563</v>
      </c>
      <c r="G82" s="2576" t="s">
        <v>2564</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2557</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9" priority="17" stopIfTrue="1" operator="containsText" text="超过">
      <formula>NOT(ISERROR(SEARCH("超过",F52)))</formula>
    </cfRule>
  </conditionalFormatting>
  <conditionalFormatting sqref="H54">
    <cfRule type="containsText" dxfId="58" priority="15" stopIfTrue="1" operator="containsText" text="超过">
      <formula>NOT(ISERROR(SEARCH("超过",H54)))</formula>
    </cfRule>
  </conditionalFormatting>
  <conditionalFormatting sqref="F54">
    <cfRule type="containsText" dxfId="57" priority="14" stopIfTrue="1" operator="containsText" text="超过">
      <formula>NOT(ISERROR(SEARCH("超过",F54)))</formula>
    </cfRule>
  </conditionalFormatting>
  <conditionalFormatting sqref="F53 H53">
    <cfRule type="containsText" dxfId="56" priority="13" stopIfTrue="1" operator="containsText" text="超过">
      <formula>NOT(ISERROR(SEARCH("超过",F53)))</formula>
    </cfRule>
  </conditionalFormatting>
  <conditionalFormatting sqref="E52">
    <cfRule type="expression" dxfId="55" priority="12" stopIfTrue="1">
      <formula>$F$52="超过30%"</formula>
    </cfRule>
  </conditionalFormatting>
  <conditionalFormatting sqref="E53">
    <cfRule type="expression" dxfId="54" priority="11" stopIfTrue="1">
      <formula>$F$53="超过20%"</formula>
    </cfRule>
  </conditionalFormatting>
  <conditionalFormatting sqref="E54">
    <cfRule type="expression" dxfId="53" priority="10" stopIfTrue="1">
      <formula>$F$54="超过30%"</formula>
    </cfRule>
  </conditionalFormatting>
  <conditionalFormatting sqref="G54">
    <cfRule type="expression" dxfId="52" priority="9" stopIfTrue="1">
      <formula>$H$54="超过30%"</formula>
    </cfRule>
  </conditionalFormatting>
  <conditionalFormatting sqref="G52">
    <cfRule type="expression" dxfId="51" priority="8" stopIfTrue="1">
      <formula>$H$52="超过30%"</formula>
    </cfRule>
  </conditionalFormatting>
  <conditionalFormatting sqref="G53">
    <cfRule type="expression" dxfId="50" priority="7" stopIfTrue="1">
      <formula>$H$53="超过20%"</formula>
    </cfRule>
  </conditionalFormatting>
  <conditionalFormatting sqref="J52">
    <cfRule type="containsText" dxfId="49" priority="6" stopIfTrue="1" operator="containsText" text="超过">
      <formula>NOT(ISERROR(SEARCH("超过",J52)))</formula>
    </cfRule>
  </conditionalFormatting>
  <conditionalFormatting sqref="J54">
    <cfRule type="containsText" dxfId="48" priority="5" stopIfTrue="1" operator="containsText" text="超过">
      <formula>NOT(ISERROR(SEARCH("超过",J54)))</formula>
    </cfRule>
  </conditionalFormatting>
  <conditionalFormatting sqref="J53">
    <cfRule type="containsText" dxfId="47" priority="4" stopIfTrue="1" operator="containsText" text="超过">
      <formula>NOT(ISERROR(SEARCH("超过",J53)))</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415" t="s">
        <v>522</v>
      </c>
      <c r="D4" s="3416"/>
      <c r="E4" s="3449" t="s">
        <v>523</v>
      </c>
      <c r="F4" s="3450"/>
      <c r="G4" s="3415" t="s">
        <v>524</v>
      </c>
      <c r="H4" s="3416"/>
      <c r="I4" s="3415" t="s">
        <v>525</v>
      </c>
      <c r="J4" s="3416"/>
      <c r="K4" s="514" t="s">
        <v>526</v>
      </c>
      <c r="L4" s="2132"/>
      <c r="M4" s="2133"/>
      <c r="N4" s="2133"/>
      <c r="O4" s="2133"/>
      <c r="P4" s="3417" t="s">
        <v>527</v>
      </c>
      <c r="Q4" s="3418"/>
      <c r="R4" s="3423" t="s">
        <v>523</v>
      </c>
      <c r="S4" s="3424"/>
      <c r="T4" s="3423" t="s">
        <v>524</v>
      </c>
      <c r="U4" s="3424"/>
      <c r="V4" s="3410" t="s">
        <v>525</v>
      </c>
      <c r="W4" s="3410"/>
      <c r="X4" s="1566"/>
      <c r="Y4" s="3423" t="s">
        <v>527</v>
      </c>
      <c r="Z4" s="3424"/>
      <c r="AA4" s="3412" t="s">
        <v>523</v>
      </c>
      <c r="AB4" s="3413" t="s">
        <v>524</v>
      </c>
      <c r="AC4" s="3412" t="s">
        <v>525</v>
      </c>
    </row>
    <row r="5" spans="1:29" ht="15">
      <c r="A5" s="515"/>
      <c r="B5" s="516"/>
      <c r="C5" s="3431" t="s">
        <v>2932</v>
      </c>
      <c r="D5" s="3432"/>
      <c r="E5" s="3451" t="s">
        <v>2933</v>
      </c>
      <c r="F5" s="3452"/>
      <c r="G5" s="3431" t="s">
        <v>2934</v>
      </c>
      <c r="H5" s="3432"/>
      <c r="I5" s="3431" t="s">
        <v>2935</v>
      </c>
      <c r="J5" s="3432"/>
      <c r="K5" s="514"/>
      <c r="L5" s="2132"/>
      <c r="M5" s="2133"/>
      <c r="N5" s="2133"/>
      <c r="O5" s="2133"/>
      <c r="P5" s="3419"/>
      <c r="Q5" s="3420"/>
      <c r="R5" s="3425"/>
      <c r="S5" s="3426"/>
      <c r="T5" s="3425"/>
      <c r="U5" s="3426"/>
      <c r="V5" s="3410"/>
      <c r="W5" s="3410"/>
      <c r="X5" s="1566"/>
      <c r="Y5" s="3425"/>
      <c r="Z5" s="3426"/>
      <c r="AA5" s="3413"/>
      <c r="AB5" s="3413"/>
      <c r="AC5" s="3413"/>
    </row>
    <row r="6" spans="1:29" ht="15.75" thickBot="1">
      <c r="A6" s="517"/>
      <c r="B6" s="518"/>
      <c r="C6" s="3429" t="s">
        <v>2936</v>
      </c>
      <c r="D6" s="3430"/>
      <c r="E6" s="3447" t="s">
        <v>2936</v>
      </c>
      <c r="F6" s="3448"/>
      <c r="G6" s="3429" t="s">
        <v>2936</v>
      </c>
      <c r="H6" s="3430"/>
      <c r="I6" s="3429" t="s">
        <v>2936</v>
      </c>
      <c r="J6" s="3430"/>
      <c r="K6" s="514" t="s">
        <v>528</v>
      </c>
      <c r="L6" s="2132"/>
      <c r="M6" s="2133"/>
      <c r="N6" s="2133"/>
      <c r="O6" s="2133"/>
      <c r="P6" s="3421"/>
      <c r="Q6" s="3422"/>
      <c r="R6" s="3425"/>
      <c r="S6" s="3426"/>
      <c r="T6" s="3427"/>
      <c r="U6" s="3428"/>
      <c r="V6" s="3410"/>
      <c r="W6" s="3410"/>
      <c r="X6" s="1566"/>
      <c r="Y6" s="3427"/>
      <c r="Z6" s="3428"/>
      <c r="AA6" s="3414"/>
      <c r="AB6" s="3414"/>
      <c r="AC6" s="3414"/>
    </row>
    <row r="7" spans="1:29" s="1219" customFormat="1" ht="15.75" thickBot="1">
      <c r="A7" s="2890"/>
      <c r="B7" s="2897" t="s">
        <v>529</v>
      </c>
      <c r="C7" s="519">
        <f>'数据-取费表'!B2</f>
        <v>43489</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40" t="s">
        <v>530</v>
      </c>
      <c r="Q7" s="3442"/>
      <c r="R7" s="1567" t="s">
        <v>8</v>
      </c>
      <c r="S7" s="1568">
        <f t="shared" ref="S7:S15" si="0">F7</f>
        <v>0</v>
      </c>
      <c r="T7" s="1567" t="s">
        <v>8</v>
      </c>
      <c r="U7" s="1568">
        <f t="shared" ref="U7:U15" si="1">H7</f>
        <v>0</v>
      </c>
      <c r="V7" s="1567" t="s">
        <v>8</v>
      </c>
      <c r="W7" s="1568">
        <f t="shared" ref="W7:W15" si="2">J7</f>
        <v>0</v>
      </c>
      <c r="X7" s="1569"/>
      <c r="Y7" s="3440" t="s">
        <v>530</v>
      </c>
      <c r="Z7" s="3441"/>
      <c r="AA7" s="1570" t="e">
        <f>D7/F7</f>
        <v>#DIV/0!</v>
      </c>
      <c r="AB7" s="1570" t="e">
        <f>D7/H7</f>
        <v>#DIV/0!</v>
      </c>
      <c r="AC7" s="1570"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40" t="s">
        <v>533</v>
      </c>
      <c r="Q8" s="3441"/>
      <c r="R8" s="1567" t="s">
        <v>8</v>
      </c>
      <c r="S8" s="1568">
        <f t="shared" si="0"/>
        <v>0</v>
      </c>
      <c r="T8" s="1567" t="s">
        <v>8</v>
      </c>
      <c r="U8" s="1568">
        <f t="shared" si="1"/>
        <v>0</v>
      </c>
      <c r="V8" s="1567" t="s">
        <v>8</v>
      </c>
      <c r="W8" s="1568">
        <f t="shared" si="2"/>
        <v>0</v>
      </c>
      <c r="X8" s="1569"/>
      <c r="Y8" s="3440" t="s">
        <v>533</v>
      </c>
      <c r="Z8" s="3441"/>
      <c r="AA8" s="1570" t="e">
        <f t="shared" ref="AA8:AA40" si="3">D8/F8</f>
        <v>#DIV/0!</v>
      </c>
      <c r="AB8" s="1570" t="e">
        <f t="shared" ref="AB8:AB40" si="4">D8/H8</f>
        <v>#DIV/0!</v>
      </c>
      <c r="AC8" s="1570" t="e">
        <f t="shared" ref="AC8:AC40" si="5">D8/J8</f>
        <v>#DIV/0!</v>
      </c>
    </row>
    <row r="9" spans="1:29" s="1219"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09" t="s">
        <v>535</v>
      </c>
      <c r="Q9" s="1150" t="str">
        <f t="shared" ref="Q9:Q15" si="6">B9</f>
        <v>用途</v>
      </c>
      <c r="R9" s="1567" t="s">
        <v>8</v>
      </c>
      <c r="S9" s="1568">
        <f t="shared" si="0"/>
        <v>100</v>
      </c>
      <c r="T9" s="1567" t="s">
        <v>8</v>
      </c>
      <c r="U9" s="1568">
        <f t="shared" si="1"/>
        <v>100</v>
      </c>
      <c r="V9" s="1567" t="s">
        <v>8</v>
      </c>
      <c r="W9" s="1568">
        <f t="shared" si="2"/>
        <v>100</v>
      </c>
      <c r="X9" s="1569"/>
      <c r="Y9" s="3349" t="s">
        <v>536</v>
      </c>
      <c r="Z9" s="1149" t="str">
        <f t="shared" ref="Z9:Z15" si="7">Q9</f>
        <v>用途</v>
      </c>
      <c r="AA9" s="1570">
        <f t="shared" si="3"/>
        <v>1</v>
      </c>
      <c r="AB9" s="1570">
        <f t="shared" si="4"/>
        <v>1</v>
      </c>
      <c r="AC9" s="1570">
        <f t="shared" si="5"/>
        <v>1</v>
      </c>
    </row>
    <row r="10" spans="1:29" s="1337"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09"/>
      <c r="Q10" s="1150" t="str">
        <f t="shared" si="6"/>
        <v>土地使用年限（年）</v>
      </c>
      <c r="R10" s="1567" t="s">
        <v>8</v>
      </c>
      <c r="S10" s="1568">
        <f t="shared" si="0"/>
        <v>100</v>
      </c>
      <c r="T10" s="1567" t="s">
        <v>8</v>
      </c>
      <c r="U10" s="1568">
        <f t="shared" si="1"/>
        <v>100</v>
      </c>
      <c r="V10" s="1567" t="s">
        <v>8</v>
      </c>
      <c r="W10" s="1568">
        <f t="shared" si="2"/>
        <v>100</v>
      </c>
      <c r="X10" s="1569"/>
      <c r="Y10" s="3349"/>
      <c r="Z10" s="1149" t="str">
        <f t="shared" si="7"/>
        <v>土地使用年限（年）</v>
      </c>
      <c r="AA10" s="1570">
        <f t="shared" si="3"/>
        <v>1</v>
      </c>
      <c r="AB10" s="1570">
        <f t="shared" si="4"/>
        <v>1</v>
      </c>
      <c r="AC10" s="1570">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09"/>
      <c r="Q11" s="1150" t="str">
        <f t="shared" si="6"/>
        <v>容积率</v>
      </c>
      <c r="R11" s="1567" t="s">
        <v>8</v>
      </c>
      <c r="S11" s="1568" t="e">
        <f t="shared" si="0"/>
        <v>#N/A</v>
      </c>
      <c r="T11" s="1567" t="s">
        <v>8</v>
      </c>
      <c r="U11" s="1568" t="e">
        <f t="shared" si="1"/>
        <v>#N/A</v>
      </c>
      <c r="V11" s="1567" t="s">
        <v>8</v>
      </c>
      <c r="W11" s="1568" t="e">
        <f t="shared" si="2"/>
        <v>#N/A</v>
      </c>
      <c r="X11" s="1569"/>
      <c r="Y11" s="3349"/>
      <c r="Z11" s="1149" t="str">
        <f t="shared" si="7"/>
        <v>容积率</v>
      </c>
      <c r="AA11" s="1570" t="e">
        <f t="shared" si="3"/>
        <v>#N/A</v>
      </c>
      <c r="AB11" s="1570" t="e">
        <f t="shared" si="4"/>
        <v>#N/A</v>
      </c>
      <c r="AC11" s="1570"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09"/>
      <c r="Q12" s="1150">
        <f t="shared" si="6"/>
        <v>111</v>
      </c>
      <c r="R12" s="1567" t="s">
        <v>8</v>
      </c>
      <c r="S12" s="1568">
        <f t="shared" si="0"/>
        <v>100</v>
      </c>
      <c r="T12" s="1567" t="s">
        <v>8</v>
      </c>
      <c r="U12" s="1568">
        <f t="shared" si="1"/>
        <v>100</v>
      </c>
      <c r="V12" s="1567" t="s">
        <v>8</v>
      </c>
      <c r="W12" s="1568">
        <f t="shared" si="2"/>
        <v>100</v>
      </c>
      <c r="X12" s="1569"/>
      <c r="Y12" s="3349"/>
      <c r="Z12" s="1149">
        <f t="shared" si="7"/>
        <v>111</v>
      </c>
      <c r="AA12" s="1570">
        <f>D12/F12</f>
        <v>1</v>
      </c>
      <c r="AB12" s="1570">
        <f>D12/H12</f>
        <v>1</v>
      </c>
      <c r="AC12" s="1570">
        <f>D12/J12</f>
        <v>1</v>
      </c>
    </row>
    <row r="13" spans="1:29" ht="15">
      <c r="A13" s="2895"/>
      <c r="B13" s="2901">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09"/>
      <c r="Q13" s="1150">
        <f t="shared" si="6"/>
        <v>111</v>
      </c>
      <c r="R13" s="1567" t="s">
        <v>8</v>
      </c>
      <c r="S13" s="1568">
        <f t="shared" si="0"/>
        <v>100</v>
      </c>
      <c r="T13" s="1567" t="s">
        <v>8</v>
      </c>
      <c r="U13" s="1568">
        <f t="shared" si="1"/>
        <v>100</v>
      </c>
      <c r="V13" s="1567" t="s">
        <v>8</v>
      </c>
      <c r="W13" s="1568">
        <f t="shared" si="2"/>
        <v>100</v>
      </c>
      <c r="X13" s="1569"/>
      <c r="Y13" s="3349"/>
      <c r="Z13" s="1149">
        <f t="shared" si="7"/>
        <v>111</v>
      </c>
      <c r="AA13" s="1570">
        <f t="shared" si="3"/>
        <v>1</v>
      </c>
      <c r="AB13" s="1570">
        <f t="shared" si="4"/>
        <v>1</v>
      </c>
      <c r="AC13" s="1570">
        <f t="shared" si="5"/>
        <v>1</v>
      </c>
    </row>
    <row r="14" spans="1:29" ht="15.75" thickBot="1">
      <c r="A14" s="2896"/>
      <c r="B14" s="2902">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09"/>
      <c r="Q14" s="1150">
        <f t="shared" si="6"/>
        <v>111</v>
      </c>
      <c r="R14" s="1567" t="s">
        <v>8</v>
      </c>
      <c r="S14" s="1568">
        <f t="shared" si="0"/>
        <v>100</v>
      </c>
      <c r="T14" s="1567" t="s">
        <v>8</v>
      </c>
      <c r="U14" s="1568">
        <f t="shared" si="1"/>
        <v>100</v>
      </c>
      <c r="V14" s="1567" t="s">
        <v>8</v>
      </c>
      <c r="W14" s="1568">
        <f t="shared" si="2"/>
        <v>100</v>
      </c>
      <c r="X14" s="1569"/>
      <c r="Y14" s="3349"/>
      <c r="Z14" s="1149">
        <f t="shared" si="7"/>
        <v>111</v>
      </c>
      <c r="AA14" s="1570">
        <f t="shared" si="3"/>
        <v>1</v>
      </c>
      <c r="AB14" s="1570">
        <f t="shared" si="4"/>
        <v>1</v>
      </c>
      <c r="AC14" s="1570">
        <f t="shared" si="5"/>
        <v>1</v>
      </c>
    </row>
    <row r="15" spans="1:29" ht="57">
      <c r="A15" s="2888"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43" t="s">
        <v>540</v>
      </c>
      <c r="Q15" s="1571" t="str">
        <f t="shared" si="6"/>
        <v>产业集聚程度</v>
      </c>
      <c r="R15" s="1572" t="s">
        <v>8</v>
      </c>
      <c r="S15" s="1573">
        <f t="shared" si="0"/>
        <v>100</v>
      </c>
      <c r="T15" s="1572" t="s">
        <v>8</v>
      </c>
      <c r="U15" s="1573">
        <f t="shared" si="1"/>
        <v>100</v>
      </c>
      <c r="V15" s="1572" t="s">
        <v>8</v>
      </c>
      <c r="W15" s="1573">
        <f t="shared" si="2"/>
        <v>100</v>
      </c>
      <c r="X15" s="1566"/>
      <c r="Y15" s="3443"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44"/>
      <c r="Q16" s="1571"/>
      <c r="R16" s="1572"/>
      <c r="S16" s="1573"/>
      <c r="T16" s="1572"/>
      <c r="U16" s="1573"/>
      <c r="V16" s="1572"/>
      <c r="W16" s="1573"/>
      <c r="X16" s="1566"/>
      <c r="Y16" s="3444"/>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44"/>
      <c r="Q17" s="1571" t="str">
        <f>B17</f>
        <v>交通便捷度</v>
      </c>
      <c r="R17" s="1572" t="s">
        <v>8</v>
      </c>
      <c r="S17" s="1573">
        <f>F17</f>
        <v>100</v>
      </c>
      <c r="T17" s="1572" t="s">
        <v>8</v>
      </c>
      <c r="U17" s="1573">
        <f>H17</f>
        <v>100</v>
      </c>
      <c r="V17" s="1572" t="s">
        <v>8</v>
      </c>
      <c r="W17" s="1573">
        <f>J17</f>
        <v>100</v>
      </c>
      <c r="X17" s="1566"/>
      <c r="Y17" s="344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44"/>
      <c r="Q18" s="1571"/>
      <c r="R18" s="1572"/>
      <c r="S18" s="1573"/>
      <c r="T18" s="1572"/>
      <c r="U18" s="1573"/>
      <c r="V18" s="1572"/>
      <c r="W18" s="1573"/>
      <c r="X18" s="1566"/>
      <c r="Y18" s="3444"/>
      <c r="Z18" s="1574"/>
      <c r="AA18" s="1575">
        <v>1</v>
      </c>
      <c r="AB18" s="1575">
        <v>1</v>
      </c>
      <c r="AC18" s="1575">
        <v>1</v>
      </c>
    </row>
    <row r="19" spans="1:29" ht="42.75">
      <c r="A19" s="532"/>
      <c r="B19" s="2581"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44"/>
      <c r="Q19" s="1571" t="str">
        <f>B19</f>
        <v>公共配套设施</v>
      </c>
      <c r="R19" s="1572" t="s">
        <v>8</v>
      </c>
      <c r="S19" s="1573">
        <f>F19</f>
        <v>100</v>
      </c>
      <c r="T19" s="1572" t="s">
        <v>8</v>
      </c>
      <c r="U19" s="1573">
        <f>H19</f>
        <v>100</v>
      </c>
      <c r="V19" s="1572" t="s">
        <v>8</v>
      </c>
      <c r="W19" s="1573">
        <f>J19</f>
        <v>100</v>
      </c>
      <c r="X19" s="1566"/>
      <c r="Y19" s="3444"/>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44"/>
      <c r="Q20" s="1571"/>
      <c r="R20" s="1572"/>
      <c r="S20" s="1573"/>
      <c r="T20" s="1572"/>
      <c r="U20" s="1573"/>
      <c r="V20" s="1572"/>
      <c r="W20" s="1573"/>
      <c r="X20" s="1566"/>
      <c r="Y20" s="3444"/>
      <c r="Z20" s="1574"/>
      <c r="AA20" s="1575">
        <v>1</v>
      </c>
      <c r="AB20" s="1575">
        <v>1</v>
      </c>
      <c r="AC20" s="1575">
        <v>1</v>
      </c>
    </row>
    <row r="21" spans="1:29" ht="28.5">
      <c r="A21" s="532"/>
      <c r="B21" s="2569"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44"/>
      <c r="Q21" s="2557" t="str">
        <f>B21</f>
        <v>基础设施水平</v>
      </c>
      <c r="R21" s="1572" t="s">
        <v>8</v>
      </c>
      <c r="S21" s="1573">
        <f>F21</f>
        <v>100</v>
      </c>
      <c r="T21" s="1572" t="s">
        <v>8</v>
      </c>
      <c r="U21" s="1573">
        <f>H21</f>
        <v>100</v>
      </c>
      <c r="V21" s="1572" t="s">
        <v>8</v>
      </c>
      <c r="W21" s="1573">
        <f>J21</f>
        <v>100</v>
      </c>
      <c r="X21" s="2559"/>
      <c r="Y21" s="3444"/>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44"/>
      <c r="Q22" s="2557"/>
      <c r="R22" s="1572"/>
      <c r="S22" s="1573"/>
      <c r="T22" s="1572"/>
      <c r="U22" s="1573"/>
      <c r="V22" s="1572"/>
      <c r="W22" s="1573"/>
      <c r="X22" s="2559"/>
      <c r="Y22" s="3444"/>
      <c r="Z22" s="2558"/>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44"/>
      <c r="Q23" s="1571" t="str">
        <f>B23</f>
        <v>环境质量</v>
      </c>
      <c r="R23" s="1572" t="s">
        <v>8</v>
      </c>
      <c r="S23" s="1573">
        <f>F23</f>
        <v>100</v>
      </c>
      <c r="T23" s="1572" t="s">
        <v>8</v>
      </c>
      <c r="U23" s="1573">
        <f>H23</f>
        <v>100</v>
      </c>
      <c r="V23" s="1572" t="s">
        <v>8</v>
      </c>
      <c r="W23" s="1573">
        <f>J23</f>
        <v>100</v>
      </c>
      <c r="X23" s="1566"/>
      <c r="Y23" s="3444"/>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44"/>
      <c r="Q24" s="1571"/>
      <c r="R24" s="1572"/>
      <c r="S24" s="1573"/>
      <c r="T24" s="1572"/>
      <c r="U24" s="1573"/>
      <c r="V24" s="1572"/>
      <c r="W24" s="1573"/>
      <c r="X24" s="1566"/>
      <c r="Y24" s="3444"/>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44"/>
      <c r="Q25" s="1571">
        <f>B25</f>
        <v>111</v>
      </c>
      <c r="R25" s="1572" t="s">
        <v>8</v>
      </c>
      <c r="S25" s="1573">
        <f>F25</f>
        <v>100</v>
      </c>
      <c r="T25" s="1572" t="s">
        <v>8</v>
      </c>
      <c r="U25" s="1573">
        <f>H25</f>
        <v>100</v>
      </c>
      <c r="V25" s="1572" t="s">
        <v>8</v>
      </c>
      <c r="W25" s="1573">
        <f>J25</f>
        <v>100</v>
      </c>
      <c r="X25" s="1566"/>
      <c r="Y25" s="3444"/>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44"/>
      <c r="Q26" s="1571">
        <f t="shared" ref="Q26:Q40" si="11">B26</f>
        <v>111</v>
      </c>
      <c r="R26" s="1572" t="s">
        <v>8</v>
      </c>
      <c r="S26" s="1573">
        <f>F26</f>
        <v>100</v>
      </c>
      <c r="T26" s="1572" t="s">
        <v>8</v>
      </c>
      <c r="U26" s="1573">
        <f>H26</f>
        <v>100</v>
      </c>
      <c r="V26" s="1572" t="s">
        <v>8</v>
      </c>
      <c r="W26" s="1573">
        <f>J26</f>
        <v>100</v>
      </c>
      <c r="X26" s="1566"/>
      <c r="Y26" s="3444"/>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44"/>
      <c r="Q27" s="1150">
        <f t="shared" si="11"/>
        <v>111</v>
      </c>
      <c r="R27" s="1567" t="s">
        <v>8</v>
      </c>
      <c r="S27" s="1568">
        <f>F27</f>
        <v>100</v>
      </c>
      <c r="T27" s="1567" t="s">
        <v>8</v>
      </c>
      <c r="U27" s="1568">
        <f>H27</f>
        <v>100</v>
      </c>
      <c r="V27" s="1567" t="s">
        <v>8</v>
      </c>
      <c r="W27" s="1568">
        <f>J27</f>
        <v>100</v>
      </c>
      <c r="X27" s="1569"/>
      <c r="Y27" s="3444"/>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44"/>
      <c r="Q28" s="1571">
        <f t="shared" si="11"/>
        <v>111</v>
      </c>
      <c r="R28" s="1572" t="s">
        <v>8</v>
      </c>
      <c r="S28" s="1573">
        <f t="shared" ref="S28:S40" si="12">F28</f>
        <v>100</v>
      </c>
      <c r="T28" s="1572" t="s">
        <v>8</v>
      </c>
      <c r="U28" s="1573">
        <f t="shared" ref="U28:U40" si="13">H28</f>
        <v>100</v>
      </c>
      <c r="V28" s="1572" t="s">
        <v>8</v>
      </c>
      <c r="W28" s="1573">
        <f t="shared" ref="W28:W40" si="14">J28</f>
        <v>100</v>
      </c>
      <c r="X28" s="1566"/>
      <c r="Y28" s="3444"/>
      <c r="Z28" s="1574">
        <f t="shared" ref="Z28:Z40" si="15">Q28</f>
        <v>111</v>
      </c>
      <c r="AA28" s="1575">
        <f t="shared" si="3"/>
        <v>1</v>
      </c>
      <c r="AB28" s="1575">
        <f t="shared" si="4"/>
        <v>1</v>
      </c>
      <c r="AC28" s="1575">
        <f t="shared" si="5"/>
        <v>1</v>
      </c>
    </row>
    <row r="29" spans="1:29" ht="15">
      <c r="A29" s="2885"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45" t="s">
        <v>550</v>
      </c>
      <c r="Q29" s="1571" t="str">
        <f t="shared" si="11"/>
        <v>建筑类型</v>
      </c>
      <c r="R29" s="1572" t="s">
        <v>8</v>
      </c>
      <c r="S29" s="1573">
        <f t="shared" si="12"/>
        <v>100</v>
      </c>
      <c r="T29" s="1572" t="s">
        <v>8</v>
      </c>
      <c r="U29" s="1573">
        <f t="shared" si="13"/>
        <v>100</v>
      </c>
      <c r="V29" s="1572" t="s">
        <v>8</v>
      </c>
      <c r="W29" s="1573">
        <f t="shared" si="14"/>
        <v>100</v>
      </c>
      <c r="X29" s="1566"/>
      <c r="Y29" s="3446"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46"/>
      <c r="Q30" s="1604" t="str">
        <f t="shared" si="11"/>
        <v>项目建筑规模</v>
      </c>
      <c r="R30" s="1576" t="s">
        <v>8</v>
      </c>
      <c r="S30" s="1577" t="e">
        <f t="shared" si="12"/>
        <v>#N/A</v>
      </c>
      <c r="T30" s="1576" t="s">
        <v>8</v>
      </c>
      <c r="U30" s="1577" t="e">
        <f t="shared" si="13"/>
        <v>#N/A</v>
      </c>
      <c r="V30" s="1576" t="s">
        <v>8</v>
      </c>
      <c r="W30" s="1577" t="e">
        <f t="shared" si="14"/>
        <v>#N/A</v>
      </c>
      <c r="X30" s="1578"/>
      <c r="Y30" s="3446"/>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46"/>
      <c r="Q31" s="1571" t="str">
        <f t="shared" si="11"/>
        <v>建筑结构</v>
      </c>
      <c r="R31" s="1572" t="s">
        <v>8</v>
      </c>
      <c r="S31" s="1573">
        <f t="shared" si="12"/>
        <v>100</v>
      </c>
      <c r="T31" s="1572" t="s">
        <v>8</v>
      </c>
      <c r="U31" s="1573">
        <f t="shared" si="13"/>
        <v>100</v>
      </c>
      <c r="V31" s="1572" t="s">
        <v>8</v>
      </c>
      <c r="W31" s="1573">
        <f t="shared" si="14"/>
        <v>100</v>
      </c>
      <c r="X31" s="1566"/>
      <c r="Y31" s="3446"/>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46"/>
      <c r="Q32" s="1571" t="str">
        <f t="shared" si="11"/>
        <v>公共部分装修</v>
      </c>
      <c r="R32" s="1572" t="s">
        <v>8</v>
      </c>
      <c r="S32" s="1573">
        <f t="shared" si="12"/>
        <v>100</v>
      </c>
      <c r="T32" s="1572" t="s">
        <v>8</v>
      </c>
      <c r="U32" s="1573">
        <f t="shared" si="13"/>
        <v>100</v>
      </c>
      <c r="V32" s="1572" t="s">
        <v>8</v>
      </c>
      <c r="W32" s="1573">
        <f t="shared" si="14"/>
        <v>100</v>
      </c>
      <c r="X32" s="1566"/>
      <c r="Y32" s="3446"/>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46"/>
      <c r="Q33" s="1571" t="str">
        <f t="shared" si="11"/>
        <v>成新度</v>
      </c>
      <c r="R33" s="1572" t="s">
        <v>8</v>
      </c>
      <c r="S33" s="1573" t="e">
        <f t="shared" si="12"/>
        <v>#N/A</v>
      </c>
      <c r="T33" s="1572" t="s">
        <v>8</v>
      </c>
      <c r="U33" s="1573" t="e">
        <f t="shared" si="13"/>
        <v>#N/A</v>
      </c>
      <c r="V33" s="1572" t="s">
        <v>8</v>
      </c>
      <c r="W33" s="1573" t="e">
        <f t="shared" si="14"/>
        <v>#N/A</v>
      </c>
      <c r="X33" s="1566"/>
      <c r="Y33" s="3446"/>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46"/>
      <c r="Q34" s="1150" t="str">
        <f t="shared" si="11"/>
        <v>物业管理</v>
      </c>
      <c r="R34" s="1567" t="s">
        <v>8</v>
      </c>
      <c r="S34" s="1568">
        <f t="shared" si="12"/>
        <v>100</v>
      </c>
      <c r="T34" s="1567" t="s">
        <v>8</v>
      </c>
      <c r="U34" s="1568">
        <f t="shared" si="13"/>
        <v>100</v>
      </c>
      <c r="V34" s="1567" t="s">
        <v>8</v>
      </c>
      <c r="W34" s="1568">
        <f t="shared" si="14"/>
        <v>100</v>
      </c>
      <c r="X34" s="1569"/>
      <c r="Y34" s="3446"/>
      <c r="Z34" s="1149" t="str">
        <f t="shared" si="15"/>
        <v>物业管理</v>
      </c>
      <c r="AA34" s="1570">
        <f t="shared" si="3"/>
        <v>1</v>
      </c>
      <c r="AB34" s="1570">
        <f t="shared" si="4"/>
        <v>1</v>
      </c>
      <c r="AC34" s="1570">
        <f t="shared" si="5"/>
        <v>1</v>
      </c>
    </row>
    <row r="35" spans="1:29" ht="15">
      <c r="A35" s="594"/>
      <c r="B35" s="1894"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46" t="s">
        <v>550</v>
      </c>
      <c r="Q35" s="1571" t="str">
        <f t="shared" si="11"/>
        <v>市政基础设施</v>
      </c>
      <c r="R35" s="1572" t="s">
        <v>8</v>
      </c>
      <c r="S35" s="1573">
        <f t="shared" si="12"/>
        <v>100</v>
      </c>
      <c r="T35" s="1572" t="s">
        <v>8</v>
      </c>
      <c r="U35" s="1573">
        <f t="shared" si="13"/>
        <v>100</v>
      </c>
      <c r="V35" s="1572" t="s">
        <v>8</v>
      </c>
      <c r="W35" s="1573">
        <f t="shared" si="14"/>
        <v>100</v>
      </c>
      <c r="X35" s="1566"/>
      <c r="Y35" s="3446"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46"/>
      <c r="Q36" s="1571" t="str">
        <f t="shared" si="11"/>
        <v>内部装修</v>
      </c>
      <c r="R36" s="1572" t="s">
        <v>8</v>
      </c>
      <c r="S36" s="1573">
        <f t="shared" si="12"/>
        <v>100</v>
      </c>
      <c r="T36" s="1572" t="s">
        <v>8</v>
      </c>
      <c r="U36" s="1573">
        <f t="shared" si="13"/>
        <v>100</v>
      </c>
      <c r="V36" s="1572" t="s">
        <v>8</v>
      </c>
      <c r="W36" s="1573">
        <f t="shared" si="14"/>
        <v>100</v>
      </c>
      <c r="X36" s="1566"/>
      <c r="Y36" s="3446"/>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46"/>
      <c r="Q37" s="1571" t="str">
        <f t="shared" si="11"/>
        <v>内部装修状况</v>
      </c>
      <c r="R37" s="1572" t="s">
        <v>8</v>
      </c>
      <c r="S37" s="1573">
        <f t="shared" si="12"/>
        <v>100</v>
      </c>
      <c r="T37" s="1572" t="s">
        <v>8</v>
      </c>
      <c r="U37" s="1573">
        <f t="shared" si="13"/>
        <v>100</v>
      </c>
      <c r="V37" s="1572" t="s">
        <v>8</v>
      </c>
      <c r="W37" s="1573">
        <f t="shared" si="14"/>
        <v>100</v>
      </c>
      <c r="X37" s="1566"/>
      <c r="Y37" s="3446"/>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46"/>
      <c r="Q38" s="1604">
        <f t="shared" si="11"/>
        <v>111</v>
      </c>
      <c r="R38" s="1576" t="s">
        <v>8</v>
      </c>
      <c r="S38" s="1577">
        <f t="shared" si="12"/>
        <v>100</v>
      </c>
      <c r="T38" s="1576" t="s">
        <v>8</v>
      </c>
      <c r="U38" s="1577">
        <f t="shared" si="13"/>
        <v>100</v>
      </c>
      <c r="V38" s="1576" t="s">
        <v>8</v>
      </c>
      <c r="W38" s="1577">
        <f t="shared" si="14"/>
        <v>100</v>
      </c>
      <c r="X38" s="1578"/>
      <c r="Y38" s="3446"/>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46"/>
      <c r="Q39" s="1571">
        <f t="shared" si="11"/>
        <v>111</v>
      </c>
      <c r="R39" s="1572" t="s">
        <v>8</v>
      </c>
      <c r="S39" s="1573">
        <f t="shared" si="12"/>
        <v>100</v>
      </c>
      <c r="T39" s="1572" t="s">
        <v>8</v>
      </c>
      <c r="U39" s="1573">
        <f t="shared" si="13"/>
        <v>100</v>
      </c>
      <c r="V39" s="1572" t="s">
        <v>8</v>
      </c>
      <c r="W39" s="1573">
        <f t="shared" si="14"/>
        <v>100</v>
      </c>
      <c r="X39" s="1566"/>
      <c r="Y39" s="3446"/>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0"/>
      <c r="Q40" s="1571">
        <f t="shared" si="11"/>
        <v>111</v>
      </c>
      <c r="R40" s="1572" t="s">
        <v>8</v>
      </c>
      <c r="S40" s="1573">
        <f t="shared" si="12"/>
        <v>100</v>
      </c>
      <c r="T40" s="1572" t="s">
        <v>8</v>
      </c>
      <c r="U40" s="1573">
        <f t="shared" si="13"/>
        <v>100</v>
      </c>
      <c r="V40" s="1572" t="s">
        <v>8</v>
      </c>
      <c r="W40" s="1573">
        <f t="shared" si="14"/>
        <v>100</v>
      </c>
      <c r="X40" s="1566"/>
      <c r="Y40" s="3500"/>
      <c r="Z40" s="1574">
        <f t="shared" si="15"/>
        <v>111</v>
      </c>
      <c r="AA40" s="1575">
        <f t="shared" si="3"/>
        <v>1</v>
      </c>
      <c r="AB40" s="1575">
        <f t="shared" si="4"/>
        <v>1</v>
      </c>
      <c r="AC40" s="1575">
        <f t="shared" si="5"/>
        <v>1</v>
      </c>
    </row>
    <row r="41" spans="1:29" ht="15">
      <c r="A41" s="607" t="s">
        <v>736</v>
      </c>
      <c r="B41" s="886"/>
      <c r="C41" s="2605" t="s">
        <v>1</v>
      </c>
      <c r="D41" s="2606"/>
      <c r="E41" s="2607"/>
      <c r="F41" s="2608"/>
      <c r="G41" s="2609"/>
      <c r="H41" s="2610"/>
      <c r="I41" s="2607"/>
      <c r="J41" s="2610"/>
      <c r="K41" s="1610"/>
      <c r="L41" s="2143"/>
      <c r="M41" s="2144"/>
      <c r="N41" s="2133"/>
      <c r="O41" s="2144"/>
      <c r="P41" s="3409" t="str">
        <f>A41</f>
        <v>成交单价（元/平方米）</v>
      </c>
      <c r="Q41" s="3409"/>
      <c r="R41" s="3499">
        <f>E41</f>
        <v>0</v>
      </c>
      <c r="S41" s="3499"/>
      <c r="T41" s="3499">
        <f>G41</f>
        <v>0</v>
      </c>
      <c r="U41" s="3499"/>
      <c r="V41" s="3499">
        <f>I41</f>
        <v>0</v>
      </c>
      <c r="W41" s="3499"/>
      <c r="X41" s="1558"/>
      <c r="Y41" s="1580"/>
      <c r="Z41" s="1558"/>
      <c r="AA41" s="1558"/>
      <c r="AB41" s="1558"/>
      <c r="AC41" s="1558"/>
    </row>
    <row r="42" spans="1:29" ht="15.75" thickBot="1">
      <c r="A42" s="615" t="s">
        <v>2761</v>
      </c>
      <c r="B42" s="887"/>
      <c r="C42" s="2611" t="e">
        <f>R43</f>
        <v>#DIV/0!</v>
      </c>
      <c r="D42" s="2612"/>
      <c r="E42" s="2613" t="e">
        <f>R42</f>
        <v>#DIV/0!</v>
      </c>
      <c r="F42" s="2613"/>
      <c r="G42" s="2611" t="e">
        <f>T42</f>
        <v>#DIV/0!</v>
      </c>
      <c r="H42" s="2612"/>
      <c r="I42" s="2613" t="e">
        <f>V42</f>
        <v>#DIV/0!</v>
      </c>
      <c r="J42" s="2612"/>
      <c r="K42" s="1611"/>
      <c r="L42" s="2143"/>
      <c r="M42" s="2144"/>
      <c r="N42" s="2133"/>
      <c r="O42" s="2144"/>
      <c r="P42" s="3409" t="str">
        <f>A42</f>
        <v>比较价格（元/平方米）</v>
      </c>
      <c r="Q42" s="3409"/>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58"/>
      <c r="Y42" s="1558"/>
      <c r="Z42" s="1558"/>
      <c r="AA42" s="1558"/>
      <c r="AB42" s="1558"/>
      <c r="AC42" s="1558"/>
    </row>
    <row r="43" spans="1:29" ht="15.75" thickBot="1">
      <c r="A43" s="621" t="s">
        <v>2938</v>
      </c>
      <c r="B43" s="622"/>
      <c r="C43" s="2614" t="e">
        <f>R43</f>
        <v>#DIV/0!</v>
      </c>
      <c r="D43" s="2614"/>
      <c r="E43" s="2614"/>
      <c r="F43" s="2614"/>
      <c r="G43" s="2614"/>
      <c r="H43" s="2614"/>
      <c r="I43" s="2614"/>
      <c r="J43" s="2614"/>
      <c r="K43" s="1612"/>
      <c r="L43" s="2143"/>
      <c r="M43" s="2144"/>
      <c r="N43" s="2144"/>
      <c r="O43" s="2144"/>
      <c r="P43" s="3406" t="str">
        <f>A43</f>
        <v>估价对象XX用房的比较价格（楼面单价，元/平方米）</v>
      </c>
      <c r="Q43" s="3407"/>
      <c r="R43" s="3498" t="e">
        <f>IF(F1="售价",ROUND(AVERAGE(R42:V42),0),ROUND(AVERAGE(R42:V42),1))</f>
        <v>#DIV/0!</v>
      </c>
      <c r="S43" s="3498"/>
      <c r="T43" s="3498"/>
      <c r="U43" s="3498"/>
      <c r="V43" s="3498"/>
      <c r="W43" s="3498"/>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2558</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2559</v>
      </c>
      <c r="C76" s="2576" t="s">
        <v>2560</v>
      </c>
      <c r="D76" s="2576" t="s">
        <v>2561</v>
      </c>
      <c r="E76" s="2576" t="s">
        <v>2562</v>
      </c>
      <c r="F76" s="2576" t="s">
        <v>2563</v>
      </c>
      <c r="G76" s="2576" t="s">
        <v>2564</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2557</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2077</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15" t="s">
        <v>798</v>
      </c>
      <c r="D4" s="3416"/>
      <c r="E4" s="3415" t="s">
        <v>799</v>
      </c>
      <c r="F4" s="3416"/>
      <c r="G4" s="3415" t="s">
        <v>800</v>
      </c>
      <c r="H4" s="3416"/>
      <c r="I4" s="3415" t="s">
        <v>801</v>
      </c>
      <c r="J4" s="3416"/>
      <c r="K4" s="514" t="s">
        <v>802</v>
      </c>
      <c r="L4" s="2132"/>
      <c r="M4" s="2133"/>
      <c r="N4" s="2133"/>
      <c r="O4" s="2133"/>
      <c r="P4" s="3417" t="s">
        <v>803</v>
      </c>
      <c r="Q4" s="3418"/>
      <c r="R4" s="3423" t="s">
        <v>799</v>
      </c>
      <c r="S4" s="3424"/>
      <c r="T4" s="3423" t="s">
        <v>800</v>
      </c>
      <c r="U4" s="3424"/>
      <c r="V4" s="3410" t="s">
        <v>801</v>
      </c>
      <c r="W4" s="3410"/>
      <c r="X4" s="1566"/>
      <c r="Y4" s="3423" t="s">
        <v>803</v>
      </c>
      <c r="Z4" s="3424"/>
      <c r="AA4" s="3412" t="s">
        <v>799</v>
      </c>
      <c r="AB4" s="3413" t="s">
        <v>800</v>
      </c>
      <c r="AC4" s="3412" t="s">
        <v>801</v>
      </c>
    </row>
    <row r="5" spans="1:29" ht="15">
      <c r="A5" s="515"/>
      <c r="B5" s="516"/>
      <c r="C5" s="3431" t="s">
        <v>2932</v>
      </c>
      <c r="D5" s="3432"/>
      <c r="E5" s="3431" t="s">
        <v>2933</v>
      </c>
      <c r="F5" s="3432"/>
      <c r="G5" s="3431" t="s">
        <v>2934</v>
      </c>
      <c r="H5" s="3432"/>
      <c r="I5" s="3431" t="s">
        <v>2935</v>
      </c>
      <c r="J5" s="3432"/>
      <c r="K5" s="514"/>
      <c r="L5" s="2132"/>
      <c r="M5" s="2133"/>
      <c r="N5" s="2133"/>
      <c r="O5" s="2133"/>
      <c r="P5" s="3419"/>
      <c r="Q5" s="3420"/>
      <c r="R5" s="3425"/>
      <c r="S5" s="3426"/>
      <c r="T5" s="3425"/>
      <c r="U5" s="3426"/>
      <c r="V5" s="3410"/>
      <c r="W5" s="3410"/>
      <c r="X5" s="1566"/>
      <c r="Y5" s="3425"/>
      <c r="Z5" s="3426"/>
      <c r="AA5" s="3413"/>
      <c r="AB5" s="3413"/>
      <c r="AC5" s="3413"/>
    </row>
    <row r="6" spans="1:29" ht="15.75" thickBot="1">
      <c r="A6" s="517"/>
      <c r="B6" s="518"/>
      <c r="C6" s="3429" t="s">
        <v>2936</v>
      </c>
      <c r="D6" s="3430"/>
      <c r="E6" s="3433" t="s">
        <v>2936</v>
      </c>
      <c r="F6" s="3434"/>
      <c r="G6" s="3429" t="s">
        <v>2936</v>
      </c>
      <c r="H6" s="3430"/>
      <c r="I6" s="3429" t="s">
        <v>2936</v>
      </c>
      <c r="J6" s="3430"/>
      <c r="K6" s="514" t="s">
        <v>528</v>
      </c>
      <c r="L6" s="2132"/>
      <c r="M6" s="2133"/>
      <c r="N6" s="2133"/>
      <c r="O6" s="2133"/>
      <c r="P6" s="3421"/>
      <c r="Q6" s="3422"/>
      <c r="R6" s="3425"/>
      <c r="S6" s="3426"/>
      <c r="T6" s="3427"/>
      <c r="U6" s="3428"/>
      <c r="V6" s="3410"/>
      <c r="W6" s="3410"/>
      <c r="X6" s="1566"/>
      <c r="Y6" s="3427"/>
      <c r="Z6" s="3428"/>
      <c r="AA6" s="3414"/>
      <c r="AB6" s="3414"/>
      <c r="AC6" s="3414"/>
    </row>
    <row r="7" spans="1:29" s="1219" customFormat="1" ht="15.75" thickBot="1">
      <c r="A7" s="2890"/>
      <c r="B7" s="2897" t="s">
        <v>529</v>
      </c>
      <c r="C7" s="519">
        <f>'数据-取费表'!B2</f>
        <v>43489</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40" t="s">
        <v>530</v>
      </c>
      <c r="Q7" s="3442"/>
      <c r="R7" s="1567" t="s">
        <v>8</v>
      </c>
      <c r="S7" s="1568">
        <f t="shared" ref="S7:S14" si="0">F7</f>
        <v>0</v>
      </c>
      <c r="T7" s="1567" t="s">
        <v>8</v>
      </c>
      <c r="U7" s="1568">
        <f t="shared" ref="U7:U14" si="1">H7</f>
        <v>0</v>
      </c>
      <c r="V7" s="1567" t="s">
        <v>8</v>
      </c>
      <c r="W7" s="1568">
        <f t="shared" ref="W7:W14" si="2">J7</f>
        <v>0</v>
      </c>
      <c r="X7" s="1569"/>
      <c r="Y7" s="3440" t="s">
        <v>530</v>
      </c>
      <c r="Z7" s="3441"/>
      <c r="AA7" s="1570" t="e">
        <f>D7/F7</f>
        <v>#DIV/0!</v>
      </c>
      <c r="AB7" s="1570" t="e">
        <f>D7/H7</f>
        <v>#DIV/0!</v>
      </c>
      <c r="AC7" s="1570"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40" t="s">
        <v>533</v>
      </c>
      <c r="Q8" s="3441"/>
      <c r="R8" s="1567" t="s">
        <v>8</v>
      </c>
      <c r="S8" s="1568">
        <f t="shared" si="0"/>
        <v>0</v>
      </c>
      <c r="T8" s="1567" t="s">
        <v>8</v>
      </c>
      <c r="U8" s="1568">
        <f t="shared" si="1"/>
        <v>0</v>
      </c>
      <c r="V8" s="1567" t="s">
        <v>8</v>
      </c>
      <c r="W8" s="1568">
        <f t="shared" si="2"/>
        <v>0</v>
      </c>
      <c r="X8" s="1569"/>
      <c r="Y8" s="3440" t="s">
        <v>533</v>
      </c>
      <c r="Z8" s="3441"/>
      <c r="AA8" s="1570" t="e">
        <f t="shared" ref="AA8:AA36" si="3">D8/F8</f>
        <v>#DIV/0!</v>
      </c>
      <c r="AB8" s="1570" t="e">
        <f t="shared" ref="AB8:AB36" si="4">D8/H8</f>
        <v>#DIV/0!</v>
      </c>
      <c r="AC8" s="1570" t="e">
        <f t="shared" ref="AC8:AC36" si="5">D8/J8</f>
        <v>#DIV/0!</v>
      </c>
    </row>
    <row r="9" spans="1:29" s="1219"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09" t="s">
        <v>535</v>
      </c>
      <c r="Q9" s="1150" t="str">
        <f t="shared" ref="Q9:Q14" si="6">B9</f>
        <v>用途</v>
      </c>
      <c r="R9" s="1567" t="s">
        <v>8</v>
      </c>
      <c r="S9" s="1568">
        <f t="shared" si="0"/>
        <v>100</v>
      </c>
      <c r="T9" s="1567" t="s">
        <v>8</v>
      </c>
      <c r="U9" s="1568">
        <f t="shared" si="1"/>
        <v>100</v>
      </c>
      <c r="V9" s="1567" t="s">
        <v>8</v>
      </c>
      <c r="W9" s="1568">
        <f t="shared" si="2"/>
        <v>100</v>
      </c>
      <c r="X9" s="1569"/>
      <c r="Y9" s="3349"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09"/>
      <c r="Q10" s="1150" t="str">
        <f t="shared" si="6"/>
        <v>土地使用年限（年）</v>
      </c>
      <c r="R10" s="1567" t="s">
        <v>8</v>
      </c>
      <c r="S10" s="1568">
        <f t="shared" si="0"/>
        <v>100</v>
      </c>
      <c r="T10" s="1567" t="s">
        <v>8</v>
      </c>
      <c r="U10" s="1568">
        <f t="shared" si="1"/>
        <v>100</v>
      </c>
      <c r="V10" s="1567" t="s">
        <v>8</v>
      </c>
      <c r="W10" s="1568">
        <f t="shared" si="2"/>
        <v>100</v>
      </c>
      <c r="X10" s="1569"/>
      <c r="Y10" s="3349"/>
      <c r="Z10" s="1149" t="str">
        <f t="shared" si="7"/>
        <v>土地使用年限（年）</v>
      </c>
      <c r="AA10" s="1570">
        <f t="shared" si="3"/>
        <v>1</v>
      </c>
      <c r="AB10" s="1570">
        <f t="shared" si="4"/>
        <v>1</v>
      </c>
      <c r="AC10" s="1570">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09"/>
      <c r="Q11" s="1150">
        <f t="shared" si="6"/>
        <v>111</v>
      </c>
      <c r="R11" s="1567" t="s">
        <v>8</v>
      </c>
      <c r="S11" s="1568">
        <f t="shared" si="0"/>
        <v>100</v>
      </c>
      <c r="T11" s="1567" t="s">
        <v>8</v>
      </c>
      <c r="U11" s="1568">
        <f t="shared" si="1"/>
        <v>100</v>
      </c>
      <c r="V11" s="1567" t="s">
        <v>8</v>
      </c>
      <c r="W11" s="1568">
        <f t="shared" si="2"/>
        <v>100</v>
      </c>
      <c r="X11" s="1569"/>
      <c r="Y11" s="3349"/>
      <c r="Z11" s="1149">
        <f t="shared" si="7"/>
        <v>111</v>
      </c>
      <c r="AA11" s="1570">
        <f t="shared" si="3"/>
        <v>1</v>
      </c>
      <c r="AB11" s="1570">
        <f t="shared" si="4"/>
        <v>1</v>
      </c>
      <c r="AC11" s="1570">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09"/>
      <c r="Q12" s="1150">
        <f t="shared" si="6"/>
        <v>111</v>
      </c>
      <c r="R12" s="1567" t="s">
        <v>8</v>
      </c>
      <c r="S12" s="1568">
        <f t="shared" si="0"/>
        <v>100</v>
      </c>
      <c r="T12" s="1567" t="s">
        <v>8</v>
      </c>
      <c r="U12" s="1568">
        <f t="shared" si="1"/>
        <v>100</v>
      </c>
      <c r="V12" s="1567" t="s">
        <v>8</v>
      </c>
      <c r="W12" s="1568">
        <f t="shared" si="2"/>
        <v>100</v>
      </c>
      <c r="X12" s="1569"/>
      <c r="Y12" s="3349"/>
      <c r="Z12" s="1149">
        <f t="shared" si="7"/>
        <v>111</v>
      </c>
      <c r="AA12" s="1570">
        <f>D12/F12</f>
        <v>1</v>
      </c>
      <c r="AB12" s="1570">
        <f>D12/H12</f>
        <v>1</v>
      </c>
      <c r="AC12" s="1570">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09"/>
      <c r="Q13" s="1150">
        <f t="shared" si="6"/>
        <v>111</v>
      </c>
      <c r="R13" s="1567" t="s">
        <v>8</v>
      </c>
      <c r="S13" s="1568">
        <f t="shared" si="0"/>
        <v>100</v>
      </c>
      <c r="T13" s="1567" t="s">
        <v>8</v>
      </c>
      <c r="U13" s="1568">
        <f t="shared" si="1"/>
        <v>100</v>
      </c>
      <c r="V13" s="1567" t="s">
        <v>8</v>
      </c>
      <c r="W13" s="1568">
        <f t="shared" si="2"/>
        <v>100</v>
      </c>
      <c r="X13" s="1569"/>
      <c r="Y13" s="3349"/>
      <c r="Z13" s="1149">
        <f t="shared" si="7"/>
        <v>111</v>
      </c>
      <c r="AA13" s="1570">
        <f t="shared" si="3"/>
        <v>1</v>
      </c>
      <c r="AB13" s="1570">
        <f t="shared" si="4"/>
        <v>1</v>
      </c>
      <c r="AC13" s="1570">
        <f t="shared" si="5"/>
        <v>1</v>
      </c>
    </row>
    <row r="14" spans="1:29" ht="85.5">
      <c r="A14" s="2888" t="s">
        <v>2755</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43" t="s">
        <v>540</v>
      </c>
      <c r="Q14" s="1571" t="str">
        <f t="shared" si="6"/>
        <v>交通便捷度</v>
      </c>
      <c r="R14" s="1572" t="s">
        <v>8</v>
      </c>
      <c r="S14" s="1573">
        <f t="shared" si="0"/>
        <v>100</v>
      </c>
      <c r="T14" s="1572" t="s">
        <v>8</v>
      </c>
      <c r="U14" s="1573">
        <f t="shared" si="1"/>
        <v>100</v>
      </c>
      <c r="V14" s="1572" t="s">
        <v>8</v>
      </c>
      <c r="W14" s="1573">
        <f t="shared" si="2"/>
        <v>100</v>
      </c>
      <c r="X14" s="1566"/>
      <c r="Y14" s="3443" t="s">
        <v>540</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44"/>
      <c r="Q15" s="1571"/>
      <c r="R15" s="1572"/>
      <c r="S15" s="1573"/>
      <c r="T15" s="1572"/>
      <c r="U15" s="1573"/>
      <c r="V15" s="1572"/>
      <c r="W15" s="1573"/>
      <c r="X15" s="1566"/>
      <c r="Y15" s="3444"/>
      <c r="Z15" s="1574"/>
      <c r="AA15" s="1575">
        <v>1</v>
      </c>
      <c r="AB15" s="1575">
        <v>1</v>
      </c>
      <c r="AC15" s="1575">
        <v>1</v>
      </c>
    </row>
    <row r="16" spans="1:29" ht="42.75">
      <c r="A16" s="515"/>
      <c r="B16" s="2581"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44"/>
      <c r="Q16" s="1571" t="str">
        <f>B16</f>
        <v>公共配套设施</v>
      </c>
      <c r="R16" s="1572" t="s">
        <v>8</v>
      </c>
      <c r="S16" s="1573">
        <f>F16</f>
        <v>100</v>
      </c>
      <c r="T16" s="1572" t="s">
        <v>8</v>
      </c>
      <c r="U16" s="1573">
        <f>H16</f>
        <v>100</v>
      </c>
      <c r="V16" s="1572" t="s">
        <v>8</v>
      </c>
      <c r="W16" s="1573">
        <f>J16</f>
        <v>100</v>
      </c>
      <c r="X16" s="1566"/>
      <c r="Y16" s="3444"/>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44"/>
      <c r="Q17" s="1571"/>
      <c r="R17" s="1572"/>
      <c r="S17" s="1573"/>
      <c r="T17" s="1572"/>
      <c r="U17" s="1573"/>
      <c r="V17" s="1572"/>
      <c r="W17" s="1573"/>
      <c r="X17" s="1566"/>
      <c r="Y17" s="3444"/>
      <c r="Z17" s="1574"/>
      <c r="AA17" s="1575">
        <v>1</v>
      </c>
      <c r="AB17" s="1575">
        <v>1</v>
      </c>
      <c r="AC17" s="1575">
        <v>1</v>
      </c>
    </row>
    <row r="18" spans="1:29" ht="28.5">
      <c r="A18" s="515"/>
      <c r="B18" s="2569"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44"/>
      <c r="Q18" s="2557" t="str">
        <f>B18</f>
        <v>基础设施水平</v>
      </c>
      <c r="R18" s="1572" t="s">
        <v>8</v>
      </c>
      <c r="S18" s="1573">
        <f>F18</f>
        <v>100</v>
      </c>
      <c r="T18" s="1572" t="s">
        <v>8</v>
      </c>
      <c r="U18" s="1573">
        <f>H18</f>
        <v>100</v>
      </c>
      <c r="V18" s="1572" t="s">
        <v>8</v>
      </c>
      <c r="W18" s="1573">
        <f>J18</f>
        <v>100</v>
      </c>
      <c r="X18" s="2559"/>
      <c r="Y18" s="3444"/>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44"/>
      <c r="Q19" s="2557"/>
      <c r="R19" s="1572"/>
      <c r="S19" s="1573"/>
      <c r="T19" s="1572"/>
      <c r="U19" s="1573"/>
      <c r="V19" s="1572"/>
      <c r="W19" s="1573"/>
      <c r="X19" s="2559"/>
      <c r="Y19" s="3444"/>
      <c r="Z19" s="2558"/>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44"/>
      <c r="Q20" s="1571" t="str">
        <f>B20</f>
        <v>自然及人文环境</v>
      </c>
      <c r="R20" s="1572" t="s">
        <v>8</v>
      </c>
      <c r="S20" s="1573">
        <f>F20</f>
        <v>100</v>
      </c>
      <c r="T20" s="1572" t="s">
        <v>8</v>
      </c>
      <c r="U20" s="1573">
        <f>H20</f>
        <v>100</v>
      </c>
      <c r="V20" s="1572" t="s">
        <v>8</v>
      </c>
      <c r="W20" s="1573">
        <f>J20</f>
        <v>100</v>
      </c>
      <c r="X20" s="1566"/>
      <c r="Y20" s="3444"/>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44"/>
      <c r="Q21" s="1571"/>
      <c r="R21" s="1572"/>
      <c r="S21" s="1573"/>
      <c r="T21" s="1572"/>
      <c r="U21" s="1573"/>
      <c r="V21" s="1572"/>
      <c r="W21" s="1573"/>
      <c r="X21" s="1566"/>
      <c r="Y21" s="3444"/>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44"/>
      <c r="Q22" s="1571" t="str">
        <f>B22</f>
        <v>楼层</v>
      </c>
      <c r="R22" s="1572" t="s">
        <v>8</v>
      </c>
      <c r="S22" s="1573">
        <f>F22</f>
        <v>100</v>
      </c>
      <c r="T22" s="1572" t="s">
        <v>8</v>
      </c>
      <c r="U22" s="1573">
        <f>H22</f>
        <v>100</v>
      </c>
      <c r="V22" s="1572" t="s">
        <v>8</v>
      </c>
      <c r="W22" s="1573">
        <f>J22</f>
        <v>100</v>
      </c>
      <c r="X22" s="1566"/>
      <c r="Y22" s="3444"/>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44"/>
      <c r="Q23" s="1571">
        <f>B23</f>
        <v>111</v>
      </c>
      <c r="R23" s="1572" t="s">
        <v>8</v>
      </c>
      <c r="S23" s="1573">
        <f>F23</f>
        <v>100</v>
      </c>
      <c r="T23" s="1572" t="s">
        <v>8</v>
      </c>
      <c r="U23" s="1573">
        <f>H23</f>
        <v>100</v>
      </c>
      <c r="V23" s="1572" t="s">
        <v>8</v>
      </c>
      <c r="W23" s="1573">
        <f>J23</f>
        <v>100</v>
      </c>
      <c r="X23" s="1566"/>
      <c r="Y23" s="3444"/>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44"/>
      <c r="Q24" s="1571">
        <f t="shared" ref="Q24:Q36" si="11">B24</f>
        <v>111</v>
      </c>
      <c r="R24" s="1572" t="s">
        <v>8</v>
      </c>
      <c r="S24" s="1573">
        <f>F24</f>
        <v>100</v>
      </c>
      <c r="T24" s="1572" t="s">
        <v>8</v>
      </c>
      <c r="U24" s="1573">
        <f>H24</f>
        <v>100</v>
      </c>
      <c r="V24" s="1572" t="s">
        <v>8</v>
      </c>
      <c r="W24" s="1573">
        <f>J24</f>
        <v>100</v>
      </c>
      <c r="X24" s="1566"/>
      <c r="Y24" s="3444"/>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44"/>
      <c r="Q25" s="1150">
        <f t="shared" si="11"/>
        <v>111</v>
      </c>
      <c r="R25" s="1567" t="s">
        <v>8</v>
      </c>
      <c r="S25" s="1568">
        <f>F25</f>
        <v>100</v>
      </c>
      <c r="T25" s="1567" t="s">
        <v>8</v>
      </c>
      <c r="U25" s="1568">
        <f>H25</f>
        <v>100</v>
      </c>
      <c r="V25" s="1567" t="s">
        <v>8</v>
      </c>
      <c r="W25" s="1568">
        <f>J25</f>
        <v>100</v>
      </c>
      <c r="X25" s="1569"/>
      <c r="Y25" s="3444"/>
      <c r="Z25" s="1149">
        <f>Q25</f>
        <v>111</v>
      </c>
      <c r="AA25" s="1575">
        <f>D25/F25</f>
        <v>1</v>
      </c>
      <c r="AB25" s="1575">
        <f>D25/H25</f>
        <v>1</v>
      </c>
      <c r="AC25" s="1575">
        <f>D25/J25</f>
        <v>1</v>
      </c>
    </row>
    <row r="26" spans="1:29" ht="15">
      <c r="A26" s="2885"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45"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6"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46"/>
      <c r="Q27" s="1604" t="str">
        <f t="shared" si="11"/>
        <v>项目停车位配比</v>
      </c>
      <c r="R27" s="1576" t="s">
        <v>8</v>
      </c>
      <c r="S27" s="1577">
        <f t="shared" si="12"/>
        <v>100</v>
      </c>
      <c r="T27" s="1576" t="s">
        <v>8</v>
      </c>
      <c r="U27" s="1577">
        <f t="shared" si="13"/>
        <v>100</v>
      </c>
      <c r="V27" s="1576" t="s">
        <v>8</v>
      </c>
      <c r="W27" s="1577">
        <f t="shared" si="14"/>
        <v>100</v>
      </c>
      <c r="X27" s="1578"/>
      <c r="Y27" s="3446"/>
      <c r="Z27" s="1579" t="str">
        <f t="shared" si="15"/>
        <v>项目停车位配比</v>
      </c>
      <c r="AA27" s="1575">
        <f t="shared" si="3"/>
        <v>1</v>
      </c>
      <c r="AB27" s="1575">
        <f t="shared" si="4"/>
        <v>1</v>
      </c>
      <c r="AC27" s="1575">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46"/>
      <c r="Q28" s="1571" t="str">
        <f t="shared" si="11"/>
        <v>公共部分装修</v>
      </c>
      <c r="R28" s="1572" t="s">
        <v>8</v>
      </c>
      <c r="S28" s="1573">
        <f t="shared" si="12"/>
        <v>100</v>
      </c>
      <c r="T28" s="1572" t="s">
        <v>8</v>
      </c>
      <c r="U28" s="1573">
        <f t="shared" si="13"/>
        <v>100</v>
      </c>
      <c r="V28" s="1572" t="s">
        <v>8</v>
      </c>
      <c r="W28" s="1573">
        <f t="shared" si="14"/>
        <v>100</v>
      </c>
      <c r="X28" s="1566"/>
      <c r="Y28" s="3446"/>
      <c r="Z28" s="1574" t="str">
        <f t="shared" si="15"/>
        <v>公共部分装修</v>
      </c>
      <c r="AA28" s="1575">
        <f t="shared" si="3"/>
        <v>1</v>
      </c>
      <c r="AB28" s="1575">
        <f t="shared" si="4"/>
        <v>1</v>
      </c>
      <c r="AC28" s="1575">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46"/>
      <c r="Q29" s="1571" t="str">
        <f t="shared" si="11"/>
        <v>成新率</v>
      </c>
      <c r="R29" s="1572" t="s">
        <v>8</v>
      </c>
      <c r="S29" s="1573" t="e">
        <f t="shared" si="12"/>
        <v>#N/A</v>
      </c>
      <c r="T29" s="1572" t="s">
        <v>8</v>
      </c>
      <c r="U29" s="1573" t="e">
        <f t="shared" si="13"/>
        <v>#N/A</v>
      </c>
      <c r="V29" s="1572" t="s">
        <v>8</v>
      </c>
      <c r="W29" s="1573" t="e">
        <f t="shared" si="14"/>
        <v>#N/A</v>
      </c>
      <c r="X29" s="1566"/>
      <c r="Y29" s="3446"/>
      <c r="Z29" s="1574" t="str">
        <f t="shared" si="15"/>
        <v>成新率</v>
      </c>
      <c r="AA29" s="1575" t="e">
        <f t="shared" si="3"/>
        <v>#N/A</v>
      </c>
      <c r="AB29" s="1575" t="e">
        <f t="shared" si="4"/>
        <v>#N/A</v>
      </c>
      <c r="AC29" s="1575"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46"/>
      <c r="Q30" s="1571" t="str">
        <f t="shared" si="11"/>
        <v>物业等级</v>
      </c>
      <c r="R30" s="1572" t="s">
        <v>8</v>
      </c>
      <c r="S30" s="1573">
        <f t="shared" si="12"/>
        <v>100</v>
      </c>
      <c r="T30" s="1572" t="s">
        <v>8</v>
      </c>
      <c r="U30" s="1573">
        <f t="shared" si="13"/>
        <v>100</v>
      </c>
      <c r="V30" s="1572" t="s">
        <v>8</v>
      </c>
      <c r="W30" s="1573">
        <f t="shared" si="14"/>
        <v>100</v>
      </c>
      <c r="X30" s="1566"/>
      <c r="Y30" s="3446"/>
      <c r="Z30" s="1574" t="str">
        <f t="shared" si="15"/>
        <v>物业等级</v>
      </c>
      <c r="AA30" s="1575">
        <f t="shared" si="3"/>
        <v>1</v>
      </c>
      <c r="AB30" s="1575">
        <f t="shared" si="4"/>
        <v>1</v>
      </c>
      <c r="AC30" s="1575">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46"/>
      <c r="Q31" s="1150" t="str">
        <f t="shared" si="11"/>
        <v>停车位面积</v>
      </c>
      <c r="R31" s="1567" t="s">
        <v>8</v>
      </c>
      <c r="S31" s="1568" t="e">
        <f t="shared" si="12"/>
        <v>#N/A</v>
      </c>
      <c r="T31" s="1567" t="s">
        <v>8</v>
      </c>
      <c r="U31" s="1568" t="e">
        <f t="shared" si="13"/>
        <v>#N/A</v>
      </c>
      <c r="V31" s="1567" t="s">
        <v>8</v>
      </c>
      <c r="W31" s="1568" t="e">
        <f t="shared" si="14"/>
        <v>#N/A</v>
      </c>
      <c r="X31" s="1569"/>
      <c r="Y31" s="3446"/>
      <c r="Z31" s="1149" t="str">
        <f t="shared" si="15"/>
        <v>停车位面积</v>
      </c>
      <c r="AA31" s="1570" t="e">
        <f t="shared" si="3"/>
        <v>#N/A</v>
      </c>
      <c r="AB31" s="1570" t="e">
        <f t="shared" si="4"/>
        <v>#N/A</v>
      </c>
      <c r="AC31" s="1570"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46" t="s">
        <v>550</v>
      </c>
      <c r="Q32" s="1571" t="str">
        <f t="shared" si="11"/>
        <v>车位类型</v>
      </c>
      <c r="R32" s="1572" t="s">
        <v>8</v>
      </c>
      <c r="S32" s="1573">
        <f t="shared" si="12"/>
        <v>100</v>
      </c>
      <c r="T32" s="1572" t="s">
        <v>8</v>
      </c>
      <c r="U32" s="1573">
        <f t="shared" si="13"/>
        <v>100</v>
      </c>
      <c r="V32" s="1572" t="s">
        <v>8</v>
      </c>
      <c r="W32" s="1573">
        <f t="shared" si="14"/>
        <v>100</v>
      </c>
      <c r="X32" s="1566"/>
      <c r="Y32" s="3446" t="s">
        <v>550</v>
      </c>
      <c r="Z32" s="1574" t="str">
        <f t="shared" si="15"/>
        <v>车位类型</v>
      </c>
      <c r="AA32" s="1575">
        <f t="shared" si="3"/>
        <v>1</v>
      </c>
      <c r="AB32" s="1575">
        <f t="shared" si="4"/>
        <v>1</v>
      </c>
      <c r="AC32" s="1575">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46"/>
      <c r="Q33" s="1571" t="str">
        <f t="shared" si="11"/>
        <v>是否直接入户</v>
      </c>
      <c r="R33" s="1572" t="s">
        <v>8</v>
      </c>
      <c r="S33" s="1573">
        <f t="shared" si="12"/>
        <v>100</v>
      </c>
      <c r="T33" s="1572" t="s">
        <v>8</v>
      </c>
      <c r="U33" s="1573">
        <f t="shared" si="13"/>
        <v>100</v>
      </c>
      <c r="V33" s="1572" t="s">
        <v>8</v>
      </c>
      <c r="W33" s="1573">
        <f t="shared" si="14"/>
        <v>100</v>
      </c>
      <c r="X33" s="1566"/>
      <c r="Y33" s="3446"/>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46"/>
      <c r="Q34" s="1571">
        <f t="shared" si="11"/>
        <v>111</v>
      </c>
      <c r="R34" s="1572" t="s">
        <v>8</v>
      </c>
      <c r="S34" s="1573">
        <f t="shared" si="12"/>
        <v>100</v>
      </c>
      <c r="T34" s="1572" t="s">
        <v>8</v>
      </c>
      <c r="U34" s="1573">
        <f t="shared" si="13"/>
        <v>100</v>
      </c>
      <c r="V34" s="1572" t="s">
        <v>8</v>
      </c>
      <c r="W34" s="1573">
        <f t="shared" si="14"/>
        <v>100</v>
      </c>
      <c r="X34" s="1566"/>
      <c r="Y34" s="3446"/>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46"/>
      <c r="Q35" s="1604">
        <f t="shared" si="11"/>
        <v>111</v>
      </c>
      <c r="R35" s="1576" t="s">
        <v>8</v>
      </c>
      <c r="S35" s="1577">
        <f t="shared" si="12"/>
        <v>100</v>
      </c>
      <c r="T35" s="1576" t="s">
        <v>8</v>
      </c>
      <c r="U35" s="1577">
        <f t="shared" si="13"/>
        <v>100</v>
      </c>
      <c r="V35" s="1576" t="s">
        <v>8</v>
      </c>
      <c r="W35" s="1577">
        <f t="shared" si="14"/>
        <v>100</v>
      </c>
      <c r="X35" s="1578"/>
      <c r="Y35" s="3446"/>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46"/>
      <c r="Q36" s="1571">
        <f t="shared" si="11"/>
        <v>111</v>
      </c>
      <c r="R36" s="1572" t="s">
        <v>8</v>
      </c>
      <c r="S36" s="1573">
        <f t="shared" si="12"/>
        <v>100</v>
      </c>
      <c r="T36" s="1572" t="s">
        <v>8</v>
      </c>
      <c r="U36" s="1573">
        <f t="shared" si="13"/>
        <v>100</v>
      </c>
      <c r="V36" s="1572" t="s">
        <v>8</v>
      </c>
      <c r="W36" s="1573">
        <f t="shared" si="14"/>
        <v>100</v>
      </c>
      <c r="X36" s="1566"/>
      <c r="Y36" s="3446"/>
      <c r="Z36" s="1574">
        <f t="shared" si="15"/>
        <v>111</v>
      </c>
      <c r="AA36" s="1575">
        <f t="shared" si="3"/>
        <v>1</v>
      </c>
      <c r="AB36" s="1575">
        <f t="shared" si="4"/>
        <v>1</v>
      </c>
      <c r="AC36" s="1575">
        <f t="shared" si="5"/>
        <v>1</v>
      </c>
    </row>
    <row r="37" spans="1:29" ht="15">
      <c r="A37" s="1845" t="s">
        <v>2078</v>
      </c>
      <c r="B37" s="1846" t="s">
        <v>2079</v>
      </c>
      <c r="C37" s="2605" t="s">
        <v>1</v>
      </c>
      <c r="D37" s="2606"/>
      <c r="E37" s="2607"/>
      <c r="F37" s="2608"/>
      <c r="G37" s="2609"/>
      <c r="H37" s="2610"/>
      <c r="I37" s="2607"/>
      <c r="J37" s="2610"/>
      <c r="K37" s="1610"/>
      <c r="L37" s="2143"/>
      <c r="M37" s="2144"/>
      <c r="N37" s="2133"/>
      <c r="O37" s="2144"/>
      <c r="P37" s="3409" t="str">
        <f>A37</f>
        <v>成交单价</v>
      </c>
      <c r="Q37" s="3409"/>
      <c r="R37" s="3499">
        <f>E37</f>
        <v>0</v>
      </c>
      <c r="S37" s="3499"/>
      <c r="T37" s="3499">
        <f>G37</f>
        <v>0</v>
      </c>
      <c r="U37" s="3499"/>
      <c r="V37" s="3499">
        <f>I37</f>
        <v>0</v>
      </c>
      <c r="W37" s="3499"/>
      <c r="X37" s="1558"/>
      <c r="Y37" s="1580"/>
      <c r="Z37" s="1558"/>
      <c r="AA37" s="1558"/>
      <c r="AB37" s="1558"/>
      <c r="AC37" s="1558"/>
    </row>
    <row r="38" spans="1:29" ht="15.75" thickBot="1">
      <c r="A38" s="615" t="s">
        <v>2761</v>
      </c>
      <c r="B38" s="887"/>
      <c r="C38" s="2611" t="e">
        <f>R39</f>
        <v>#DIV/0!</v>
      </c>
      <c r="D38" s="2612"/>
      <c r="E38" s="2613" t="e">
        <f>R38</f>
        <v>#DIV/0!</v>
      </c>
      <c r="F38" s="2613"/>
      <c r="G38" s="2611" t="e">
        <f>T38</f>
        <v>#DIV/0!</v>
      </c>
      <c r="H38" s="2612"/>
      <c r="I38" s="2613" t="e">
        <f>V38</f>
        <v>#DIV/0!</v>
      </c>
      <c r="J38" s="2612"/>
      <c r="K38" s="1611"/>
      <c r="L38" s="2143"/>
      <c r="M38" s="2144"/>
      <c r="N38" s="2144"/>
      <c r="O38" s="2144"/>
      <c r="P38" s="3409" t="str">
        <f>A38</f>
        <v>比较价格（元/平方米）</v>
      </c>
      <c r="Q38" s="3409"/>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58"/>
      <c r="Y38" s="1558"/>
      <c r="Z38" s="1558"/>
      <c r="AA38" s="1558"/>
      <c r="AB38" s="1558"/>
      <c r="AC38" s="1558"/>
    </row>
    <row r="39" spans="1:29" ht="15.75" thickBot="1">
      <c r="A39" s="621" t="s">
        <v>2938</v>
      </c>
      <c r="B39" s="622"/>
      <c r="C39" s="2614" t="e">
        <f>R39</f>
        <v>#DIV/0!</v>
      </c>
      <c r="D39" s="2614"/>
      <c r="E39" s="2614"/>
      <c r="F39" s="2614"/>
      <c r="G39" s="2614"/>
      <c r="H39" s="2614"/>
      <c r="I39" s="2614"/>
      <c r="J39" s="2614"/>
      <c r="K39" s="1612"/>
      <c r="L39" s="2143"/>
      <c r="M39" s="2144"/>
      <c r="N39" s="2144"/>
      <c r="O39" s="2144"/>
      <c r="P39" s="3406" t="str">
        <f>A39</f>
        <v>估价对象XX用房的比较价格（楼面单价，元/平方米）</v>
      </c>
      <c r="Q39" s="3407"/>
      <c r="R39" s="3498" t="e">
        <f>IF(F1="售价",ROUND(AVERAGE(R38:V38),0),ROUND(AVERAGE(R38:V38),1))</f>
        <v>#DIV/0!</v>
      </c>
      <c r="S39" s="3498"/>
      <c r="T39" s="3498"/>
      <c r="U39" s="3498"/>
      <c r="V39" s="3498"/>
      <c r="W39" s="3498"/>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1">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2558</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2559</v>
      </c>
      <c r="C67" s="2576" t="s">
        <v>2560</v>
      </c>
      <c r="D67" s="2576" t="s">
        <v>2561</v>
      </c>
      <c r="E67" s="2576" t="s">
        <v>2562</v>
      </c>
      <c r="F67" s="2576" t="s">
        <v>2563</v>
      </c>
      <c r="G67" s="2576" t="s">
        <v>2564</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27818.76平方米。根据《建设工程规划许可证》[]、《出让合同》[]，估价对象规划建筑面积为180817平方米。</v>
      </c>
    </row>
    <row r="7" spans="1:4" ht="93.75">
      <c r="A7" s="2851"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2027</v>
      </c>
    </row>
    <row r="11" spans="1:4" ht="18.75">
      <c r="A11" s="1779" t="str">
        <f>TEXT(项目基本情况!D3,"yyyy年m月d日;;")&amp;IF(项目基本情况!B3=项目基本情况!D3,"（评估专业人员勘察现场之日）","")</f>
        <v>2019年1月24日（评估专业人员勘察现场之日）</v>
      </c>
    </row>
    <row r="12" spans="1:4" ht="18.75">
      <c r="A12" s="1796" t="s">
        <v>2026</v>
      </c>
    </row>
    <row r="13" spans="1:4" ht="18.75">
      <c r="A13" s="1790" t="s">
        <v>2072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2073</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2074</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根据《国有土地使用证》[]，估价对象（分摊）出让国有建设用地使用权面积为27818.76平方米。根据《建设工程规划许可证》[]、《出让合同》[]，估价对象规划建筑面积为180817平方米。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2075</v>
      </c>
    </row>
    <row r="23" spans="1:1" ht="18.75">
      <c r="A23" s="2853" t="s">
        <v>2750</v>
      </c>
    </row>
    <row r="24" spans="1:1" ht="18.75">
      <c r="A24" s="1790" t="s">
        <v>2076</v>
      </c>
    </row>
    <row r="25" spans="1:1" ht="75">
      <c r="A25" s="1790" t="str">
        <f>定义!C53</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2028</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415" t="s">
        <v>798</v>
      </c>
      <c r="D4" s="3416"/>
      <c r="E4" s="3449" t="s">
        <v>799</v>
      </c>
      <c r="F4" s="3450"/>
      <c r="G4" s="3415" t="s">
        <v>800</v>
      </c>
      <c r="H4" s="3416"/>
      <c r="I4" s="3415" t="s">
        <v>801</v>
      </c>
      <c r="J4" s="3416"/>
      <c r="K4" s="514" t="s">
        <v>802</v>
      </c>
      <c r="L4" s="2132"/>
      <c r="M4" s="2133"/>
      <c r="N4" s="2133"/>
      <c r="O4" s="2133"/>
      <c r="P4" s="3417" t="s">
        <v>803</v>
      </c>
      <c r="Q4" s="3418"/>
      <c r="R4" s="3423" t="s">
        <v>799</v>
      </c>
      <c r="S4" s="3424"/>
      <c r="T4" s="3423" t="s">
        <v>800</v>
      </c>
      <c r="U4" s="3424"/>
      <c r="V4" s="3410" t="s">
        <v>801</v>
      </c>
      <c r="W4" s="3410"/>
      <c r="X4" s="1566"/>
      <c r="Y4" s="3423" t="s">
        <v>803</v>
      </c>
      <c r="Z4" s="3424"/>
      <c r="AA4" s="3412" t="s">
        <v>799</v>
      </c>
      <c r="AB4" s="3413" t="s">
        <v>800</v>
      </c>
      <c r="AC4" s="3412" t="s">
        <v>801</v>
      </c>
    </row>
    <row r="5" spans="1:29" ht="15">
      <c r="A5" s="515"/>
      <c r="B5" s="516"/>
      <c r="C5" s="3431" t="s">
        <v>2932</v>
      </c>
      <c r="D5" s="3432"/>
      <c r="E5" s="3451" t="s">
        <v>2933</v>
      </c>
      <c r="F5" s="3452"/>
      <c r="G5" s="3431" t="s">
        <v>2934</v>
      </c>
      <c r="H5" s="3432"/>
      <c r="I5" s="3431" t="s">
        <v>2935</v>
      </c>
      <c r="J5" s="3432"/>
      <c r="K5" s="514"/>
      <c r="L5" s="2132"/>
      <c r="M5" s="2133"/>
      <c r="N5" s="2133"/>
      <c r="O5" s="2133"/>
      <c r="P5" s="3419"/>
      <c r="Q5" s="3420"/>
      <c r="R5" s="3425"/>
      <c r="S5" s="3426"/>
      <c r="T5" s="3425"/>
      <c r="U5" s="3426"/>
      <c r="V5" s="3410"/>
      <c r="W5" s="3410"/>
      <c r="X5" s="1566"/>
      <c r="Y5" s="3425"/>
      <c r="Z5" s="3426"/>
      <c r="AA5" s="3413"/>
      <c r="AB5" s="3413"/>
      <c r="AC5" s="3413"/>
    </row>
    <row r="6" spans="1:29" ht="15.75" thickBot="1">
      <c r="A6" s="517"/>
      <c r="B6" s="518"/>
      <c r="C6" s="3429" t="s">
        <v>2936</v>
      </c>
      <c r="D6" s="3430"/>
      <c r="E6" s="3447" t="s">
        <v>2936</v>
      </c>
      <c r="F6" s="3448"/>
      <c r="G6" s="3429" t="s">
        <v>2936</v>
      </c>
      <c r="H6" s="3430"/>
      <c r="I6" s="3429" t="s">
        <v>2936</v>
      </c>
      <c r="J6" s="3430"/>
      <c r="K6" s="514" t="s">
        <v>528</v>
      </c>
      <c r="L6" s="2132"/>
      <c r="M6" s="2133"/>
      <c r="N6" s="2133"/>
      <c r="O6" s="2133"/>
      <c r="P6" s="3421"/>
      <c r="Q6" s="3422"/>
      <c r="R6" s="3425"/>
      <c r="S6" s="3426"/>
      <c r="T6" s="3427"/>
      <c r="U6" s="3428"/>
      <c r="V6" s="3410"/>
      <c r="W6" s="3410"/>
      <c r="X6" s="1566"/>
      <c r="Y6" s="3427"/>
      <c r="Z6" s="3428"/>
      <c r="AA6" s="3414"/>
      <c r="AB6" s="3414"/>
      <c r="AC6" s="3414"/>
    </row>
    <row r="7" spans="1:29" s="1219" customFormat="1" ht="15.75" thickBot="1">
      <c r="A7" s="2890"/>
      <c r="B7" s="2897" t="s">
        <v>529</v>
      </c>
      <c r="C7" s="519">
        <f>'数据-取费表'!B2</f>
        <v>43489</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40" t="s">
        <v>530</v>
      </c>
      <c r="Q7" s="3442"/>
      <c r="R7" s="1567" t="s">
        <v>8</v>
      </c>
      <c r="S7" s="1568">
        <f t="shared" ref="S7:S14" si="0">F7</f>
        <v>0</v>
      </c>
      <c r="T7" s="1567" t="s">
        <v>8</v>
      </c>
      <c r="U7" s="1568">
        <f t="shared" ref="U7:U14" si="1">H7</f>
        <v>0</v>
      </c>
      <c r="V7" s="1567" t="s">
        <v>8</v>
      </c>
      <c r="W7" s="1568">
        <f t="shared" ref="W7:W14" si="2">J7</f>
        <v>0</v>
      </c>
      <c r="X7" s="1569"/>
      <c r="Y7" s="3440" t="s">
        <v>530</v>
      </c>
      <c r="Z7" s="3441"/>
      <c r="AA7" s="1570" t="e">
        <f>D7/F7</f>
        <v>#DIV/0!</v>
      </c>
      <c r="AB7" s="1570" t="e">
        <f>D7/H7</f>
        <v>#DIV/0!</v>
      </c>
      <c r="AC7" s="1570"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40" t="s">
        <v>533</v>
      </c>
      <c r="Q8" s="3441"/>
      <c r="R8" s="1567" t="s">
        <v>8</v>
      </c>
      <c r="S8" s="1568">
        <f t="shared" si="0"/>
        <v>0</v>
      </c>
      <c r="T8" s="1567" t="s">
        <v>8</v>
      </c>
      <c r="U8" s="1568">
        <f t="shared" si="1"/>
        <v>0</v>
      </c>
      <c r="V8" s="1567" t="s">
        <v>8</v>
      </c>
      <c r="W8" s="1568">
        <f t="shared" si="2"/>
        <v>0</v>
      </c>
      <c r="X8" s="1569"/>
      <c r="Y8" s="3440" t="s">
        <v>533</v>
      </c>
      <c r="Z8" s="3441"/>
      <c r="AA8" s="1570" t="e">
        <f t="shared" ref="AA8:AA34" si="3">D8/F8</f>
        <v>#DIV/0!</v>
      </c>
      <c r="AB8" s="1570" t="e">
        <f t="shared" ref="AB8:AB34" si="4">D8/H8</f>
        <v>#DIV/0!</v>
      </c>
      <c r="AC8" s="1570" t="e">
        <f t="shared" ref="AC8:AC34" si="5">D8/J8</f>
        <v>#DIV/0!</v>
      </c>
    </row>
    <row r="9" spans="1:29" s="1219"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09" t="s">
        <v>535</v>
      </c>
      <c r="Q9" s="1150" t="str">
        <f t="shared" ref="Q9:Q14" si="6">B9</f>
        <v>用途</v>
      </c>
      <c r="R9" s="1567" t="s">
        <v>8</v>
      </c>
      <c r="S9" s="1568">
        <f t="shared" si="0"/>
        <v>100</v>
      </c>
      <c r="T9" s="1567" t="s">
        <v>8</v>
      </c>
      <c r="U9" s="1568">
        <f t="shared" si="1"/>
        <v>100</v>
      </c>
      <c r="V9" s="1567" t="s">
        <v>8</v>
      </c>
      <c r="W9" s="1568">
        <f t="shared" si="2"/>
        <v>100</v>
      </c>
      <c r="X9" s="1569"/>
      <c r="Y9" s="3349" t="s">
        <v>536</v>
      </c>
      <c r="Z9" s="1149" t="str">
        <f t="shared" ref="Z9:Z14" si="7">Q9</f>
        <v>用途</v>
      </c>
      <c r="AA9" s="1570">
        <f t="shared" si="3"/>
        <v>1</v>
      </c>
      <c r="AB9" s="1570">
        <f t="shared" si="4"/>
        <v>1</v>
      </c>
      <c r="AC9" s="1570">
        <f t="shared" si="5"/>
        <v>1</v>
      </c>
    </row>
    <row r="10" spans="1:29" s="1337"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09"/>
      <c r="Q10" s="1150" t="str">
        <f t="shared" si="6"/>
        <v>土地使用年限（年）</v>
      </c>
      <c r="R10" s="1567" t="s">
        <v>8</v>
      </c>
      <c r="S10" s="1568">
        <f t="shared" si="0"/>
        <v>100</v>
      </c>
      <c r="T10" s="1567" t="s">
        <v>8</v>
      </c>
      <c r="U10" s="1568">
        <f t="shared" si="1"/>
        <v>100</v>
      </c>
      <c r="V10" s="1567" t="s">
        <v>8</v>
      </c>
      <c r="W10" s="1568">
        <f t="shared" si="2"/>
        <v>100</v>
      </c>
      <c r="X10" s="1569"/>
      <c r="Y10" s="3349"/>
      <c r="Z10" s="1149" t="str">
        <f t="shared" si="7"/>
        <v>土地使用年限（年）</v>
      </c>
      <c r="AA10" s="1570">
        <f t="shared" si="3"/>
        <v>1</v>
      </c>
      <c r="AB10" s="1570">
        <f t="shared" si="4"/>
        <v>1</v>
      </c>
      <c r="AC10" s="1570">
        <f t="shared" si="5"/>
        <v>1</v>
      </c>
    </row>
    <row r="11" spans="1:29" ht="15">
      <c r="A11" s="2895"/>
      <c r="B11" s="2901">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09"/>
      <c r="Q11" s="1150">
        <f t="shared" si="6"/>
        <v>111</v>
      </c>
      <c r="R11" s="1567" t="s">
        <v>8</v>
      </c>
      <c r="S11" s="1568">
        <f t="shared" si="0"/>
        <v>100</v>
      </c>
      <c r="T11" s="1567" t="s">
        <v>8</v>
      </c>
      <c r="U11" s="1568">
        <f t="shared" si="1"/>
        <v>100</v>
      </c>
      <c r="V11" s="1567" t="s">
        <v>8</v>
      </c>
      <c r="W11" s="1568">
        <f t="shared" si="2"/>
        <v>100</v>
      </c>
      <c r="X11" s="1569"/>
      <c r="Y11" s="3349"/>
      <c r="Z11" s="1149">
        <f t="shared" si="7"/>
        <v>111</v>
      </c>
      <c r="AA11" s="1570">
        <f t="shared" si="3"/>
        <v>1</v>
      </c>
      <c r="AB11" s="1570">
        <f t="shared" si="4"/>
        <v>1</v>
      </c>
      <c r="AC11" s="1570">
        <f t="shared" si="5"/>
        <v>1</v>
      </c>
    </row>
    <row r="12" spans="1:29" s="1219" customFormat="1" ht="15">
      <c r="A12" s="2895"/>
      <c r="B12" s="2901">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09"/>
      <c r="Q12" s="1150">
        <f t="shared" si="6"/>
        <v>111</v>
      </c>
      <c r="R12" s="1567" t="s">
        <v>8</v>
      </c>
      <c r="S12" s="1568">
        <f t="shared" si="0"/>
        <v>100</v>
      </c>
      <c r="T12" s="1567" t="s">
        <v>8</v>
      </c>
      <c r="U12" s="1568">
        <f t="shared" si="1"/>
        <v>100</v>
      </c>
      <c r="V12" s="1567" t="s">
        <v>8</v>
      </c>
      <c r="W12" s="1568">
        <f t="shared" si="2"/>
        <v>100</v>
      </c>
      <c r="X12" s="1569"/>
      <c r="Y12" s="3349"/>
      <c r="Z12" s="1149">
        <f t="shared" si="7"/>
        <v>111</v>
      </c>
      <c r="AA12" s="1570">
        <f>D12/F12</f>
        <v>1</v>
      </c>
      <c r="AB12" s="1570">
        <f>D12/H12</f>
        <v>1</v>
      </c>
      <c r="AC12" s="1570">
        <f>D12/J12</f>
        <v>1</v>
      </c>
    </row>
    <row r="13" spans="1:29" ht="15.75" thickBot="1">
      <c r="A13" s="2896"/>
      <c r="B13" s="2902">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09"/>
      <c r="Q13" s="1150">
        <f t="shared" si="6"/>
        <v>111</v>
      </c>
      <c r="R13" s="1567" t="s">
        <v>8</v>
      </c>
      <c r="S13" s="1568">
        <f t="shared" si="0"/>
        <v>100</v>
      </c>
      <c r="T13" s="1567" t="s">
        <v>8</v>
      </c>
      <c r="U13" s="1568">
        <f t="shared" si="1"/>
        <v>100</v>
      </c>
      <c r="V13" s="1567" t="s">
        <v>8</v>
      </c>
      <c r="W13" s="1568">
        <f t="shared" si="2"/>
        <v>100</v>
      </c>
      <c r="X13" s="1569"/>
      <c r="Y13" s="3349"/>
      <c r="Z13" s="1149">
        <f t="shared" si="7"/>
        <v>111</v>
      </c>
      <c r="AA13" s="1570">
        <f t="shared" si="3"/>
        <v>1</v>
      </c>
      <c r="AB13" s="1570">
        <f t="shared" si="4"/>
        <v>1</v>
      </c>
      <c r="AC13" s="1570">
        <f t="shared" si="5"/>
        <v>1</v>
      </c>
    </row>
    <row r="14" spans="1:29" ht="85.5">
      <c r="A14" s="2888" t="s">
        <v>2755</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43" t="s">
        <v>540</v>
      </c>
      <c r="Q14" s="1571" t="str">
        <f t="shared" si="6"/>
        <v>交通便捷度</v>
      </c>
      <c r="R14" s="1572" t="s">
        <v>8</v>
      </c>
      <c r="S14" s="1573">
        <f t="shared" si="0"/>
        <v>100</v>
      </c>
      <c r="T14" s="1572" t="s">
        <v>8</v>
      </c>
      <c r="U14" s="1573">
        <f t="shared" si="1"/>
        <v>100</v>
      </c>
      <c r="V14" s="1572" t="s">
        <v>8</v>
      </c>
      <c r="W14" s="1573">
        <f t="shared" si="2"/>
        <v>100</v>
      </c>
      <c r="X14" s="1566"/>
      <c r="Y14" s="3443"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44"/>
      <c r="Q15" s="1571"/>
      <c r="R15" s="1572"/>
      <c r="S15" s="1573"/>
      <c r="T15" s="1572"/>
      <c r="U15" s="1573"/>
      <c r="V15" s="1572"/>
      <c r="W15" s="1573"/>
      <c r="X15" s="1566"/>
      <c r="Y15" s="3444"/>
      <c r="Z15" s="1574"/>
      <c r="AA15" s="1575">
        <v>1</v>
      </c>
      <c r="AB15" s="1575">
        <v>1</v>
      </c>
      <c r="AC15" s="1575">
        <v>1</v>
      </c>
    </row>
    <row r="16" spans="1:29" ht="42.75">
      <c r="A16" s="532"/>
      <c r="B16" s="2581"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44"/>
      <c r="Q16" s="1571" t="str">
        <f>B16</f>
        <v>公共配套设施</v>
      </c>
      <c r="R16" s="1572" t="s">
        <v>8</v>
      </c>
      <c r="S16" s="1573">
        <f>F16</f>
        <v>100</v>
      </c>
      <c r="T16" s="1572" t="s">
        <v>8</v>
      </c>
      <c r="U16" s="1573">
        <f>H16</f>
        <v>100</v>
      </c>
      <c r="V16" s="1572" t="s">
        <v>8</v>
      </c>
      <c r="W16" s="1573">
        <f>J16</f>
        <v>100</v>
      </c>
      <c r="X16" s="1566"/>
      <c r="Y16" s="3444"/>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44"/>
      <c r="Q17" s="1571"/>
      <c r="R17" s="1572"/>
      <c r="S17" s="1573"/>
      <c r="T17" s="1572"/>
      <c r="U17" s="1573"/>
      <c r="V17" s="1572"/>
      <c r="W17" s="1573"/>
      <c r="X17" s="1566"/>
      <c r="Y17" s="3444"/>
      <c r="Z17" s="1574"/>
      <c r="AA17" s="1575">
        <v>1</v>
      </c>
      <c r="AB17" s="1575">
        <v>1</v>
      </c>
      <c r="AC17" s="1575">
        <v>1</v>
      </c>
    </row>
    <row r="18" spans="1:29" ht="28.5">
      <c r="A18" s="532"/>
      <c r="B18" s="2569"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44"/>
      <c r="Q18" s="2557" t="str">
        <f>B18</f>
        <v>基础设施水平</v>
      </c>
      <c r="R18" s="1572" t="s">
        <v>8</v>
      </c>
      <c r="S18" s="1573">
        <f>F18</f>
        <v>100</v>
      </c>
      <c r="T18" s="1572" t="s">
        <v>8</v>
      </c>
      <c r="U18" s="1573">
        <f>H18</f>
        <v>100</v>
      </c>
      <c r="V18" s="1572" t="s">
        <v>8</v>
      </c>
      <c r="W18" s="1573">
        <f>J18</f>
        <v>100</v>
      </c>
      <c r="X18" s="2559"/>
      <c r="Y18" s="3444"/>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44"/>
      <c r="Q19" s="2557"/>
      <c r="R19" s="1572"/>
      <c r="S19" s="1573"/>
      <c r="T19" s="1572"/>
      <c r="U19" s="1573"/>
      <c r="V19" s="1572"/>
      <c r="W19" s="1573"/>
      <c r="X19" s="2559"/>
      <c r="Y19" s="3444"/>
      <c r="Z19" s="2558"/>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44"/>
      <c r="Q20" s="1571" t="str">
        <f>B20</f>
        <v>自然及人文环境</v>
      </c>
      <c r="R20" s="1572" t="s">
        <v>8</v>
      </c>
      <c r="S20" s="1573">
        <f>F20</f>
        <v>100</v>
      </c>
      <c r="T20" s="1572" t="s">
        <v>8</v>
      </c>
      <c r="U20" s="1573">
        <f>H20</f>
        <v>100</v>
      </c>
      <c r="V20" s="1572" t="s">
        <v>8</v>
      </c>
      <c r="W20" s="1573">
        <f>J20</f>
        <v>100</v>
      </c>
      <c r="X20" s="1566"/>
      <c r="Y20" s="3444"/>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44"/>
      <c r="Q21" s="1571"/>
      <c r="R21" s="1572"/>
      <c r="S21" s="1573"/>
      <c r="T21" s="1572"/>
      <c r="U21" s="1573"/>
      <c r="V21" s="1572"/>
      <c r="W21" s="1573"/>
      <c r="X21" s="1566"/>
      <c r="Y21" s="3444"/>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44"/>
      <c r="Q22" s="1571" t="str">
        <f>B22</f>
        <v>楼层</v>
      </c>
      <c r="R22" s="1572" t="s">
        <v>8</v>
      </c>
      <c r="S22" s="1573">
        <f>F22</f>
        <v>100</v>
      </c>
      <c r="T22" s="1572" t="s">
        <v>8</v>
      </c>
      <c r="U22" s="1573">
        <f>H22</f>
        <v>100</v>
      </c>
      <c r="V22" s="1572" t="s">
        <v>8</v>
      </c>
      <c r="W22" s="1573">
        <f>J22</f>
        <v>100</v>
      </c>
      <c r="X22" s="1566"/>
      <c r="Y22" s="3444"/>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44"/>
      <c r="Q23" s="1571">
        <f>B23</f>
        <v>111</v>
      </c>
      <c r="R23" s="1572" t="s">
        <v>8</v>
      </c>
      <c r="S23" s="1573">
        <f>F23</f>
        <v>100</v>
      </c>
      <c r="T23" s="1572" t="s">
        <v>8</v>
      </c>
      <c r="U23" s="1573">
        <f>H23</f>
        <v>100</v>
      </c>
      <c r="V23" s="1572" t="s">
        <v>8</v>
      </c>
      <c r="W23" s="1573">
        <f>J23</f>
        <v>100</v>
      </c>
      <c r="X23" s="1566"/>
      <c r="Y23" s="3444"/>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44"/>
      <c r="Q24" s="1571">
        <f t="shared" ref="Q24:Q34" si="11">B24</f>
        <v>111</v>
      </c>
      <c r="R24" s="1572" t="s">
        <v>8</v>
      </c>
      <c r="S24" s="1573">
        <f>F24</f>
        <v>100</v>
      </c>
      <c r="T24" s="1572" t="s">
        <v>8</v>
      </c>
      <c r="U24" s="1573">
        <f>H24</f>
        <v>100</v>
      </c>
      <c r="V24" s="1572" t="s">
        <v>8</v>
      </c>
      <c r="W24" s="1573">
        <f>J24</f>
        <v>100</v>
      </c>
      <c r="X24" s="1566"/>
      <c r="Y24" s="3444"/>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44"/>
      <c r="Q25" s="1150">
        <f t="shared" si="11"/>
        <v>111</v>
      </c>
      <c r="R25" s="1567" t="s">
        <v>8</v>
      </c>
      <c r="S25" s="1568">
        <f>F25</f>
        <v>100</v>
      </c>
      <c r="T25" s="1567" t="s">
        <v>8</v>
      </c>
      <c r="U25" s="1568">
        <f>H25</f>
        <v>100</v>
      </c>
      <c r="V25" s="1567" t="s">
        <v>8</v>
      </c>
      <c r="W25" s="1568">
        <f>J25</f>
        <v>100</v>
      </c>
      <c r="X25" s="1569"/>
      <c r="Y25" s="3444"/>
      <c r="Z25" s="1149">
        <f>Q25</f>
        <v>111</v>
      </c>
      <c r="AA25" s="1575">
        <f>D25/F25</f>
        <v>1</v>
      </c>
      <c r="AB25" s="1575">
        <f>D25/H25</f>
        <v>1</v>
      </c>
      <c r="AC25" s="1575">
        <f>D25/J25</f>
        <v>1</v>
      </c>
    </row>
    <row r="26" spans="1:29" ht="15">
      <c r="A26" s="2885"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45"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6"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46"/>
      <c r="Q27" s="1604" t="str">
        <f t="shared" si="11"/>
        <v>成新率</v>
      </c>
      <c r="R27" s="1576" t="s">
        <v>8</v>
      </c>
      <c r="S27" s="1577" t="e">
        <f t="shared" si="12"/>
        <v>#N/A</v>
      </c>
      <c r="T27" s="1576" t="s">
        <v>8</v>
      </c>
      <c r="U27" s="1577" t="e">
        <f t="shared" si="13"/>
        <v>#N/A</v>
      </c>
      <c r="V27" s="1576" t="s">
        <v>8</v>
      </c>
      <c r="W27" s="1577" t="e">
        <f t="shared" si="14"/>
        <v>#N/A</v>
      </c>
      <c r="X27" s="1578"/>
      <c r="Y27" s="3446"/>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46"/>
      <c r="Q28" s="1571" t="str">
        <f t="shared" si="11"/>
        <v>物业等级</v>
      </c>
      <c r="R28" s="1572" t="s">
        <v>8</v>
      </c>
      <c r="S28" s="1573">
        <f t="shared" si="12"/>
        <v>100</v>
      </c>
      <c r="T28" s="1572" t="s">
        <v>8</v>
      </c>
      <c r="U28" s="1573">
        <f t="shared" si="13"/>
        <v>100</v>
      </c>
      <c r="V28" s="1572" t="s">
        <v>8</v>
      </c>
      <c r="W28" s="1573">
        <f t="shared" si="14"/>
        <v>100</v>
      </c>
      <c r="X28" s="1566"/>
      <c r="Y28" s="3446"/>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46"/>
      <c r="Q29" s="1571" t="str">
        <f t="shared" si="11"/>
        <v>有无电梯</v>
      </c>
      <c r="R29" s="1572" t="s">
        <v>8</v>
      </c>
      <c r="S29" s="1573">
        <f t="shared" si="12"/>
        <v>100</v>
      </c>
      <c r="T29" s="1572" t="s">
        <v>8</v>
      </c>
      <c r="U29" s="1573">
        <f t="shared" si="13"/>
        <v>100</v>
      </c>
      <c r="V29" s="1572" t="s">
        <v>8</v>
      </c>
      <c r="W29" s="1573">
        <f t="shared" si="14"/>
        <v>100</v>
      </c>
      <c r="X29" s="1566"/>
      <c r="Y29" s="3446"/>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46"/>
      <c r="Q30" s="1571" t="str">
        <f t="shared" si="11"/>
        <v>建筑面积</v>
      </c>
      <c r="R30" s="1572" t="s">
        <v>8</v>
      </c>
      <c r="S30" s="1573" t="e">
        <f t="shared" si="12"/>
        <v>#N/A</v>
      </c>
      <c r="T30" s="1572" t="s">
        <v>8</v>
      </c>
      <c r="U30" s="1573" t="e">
        <f t="shared" si="13"/>
        <v>#N/A</v>
      </c>
      <c r="V30" s="1572" t="s">
        <v>8</v>
      </c>
      <c r="W30" s="1573" t="e">
        <f t="shared" si="14"/>
        <v>#N/A</v>
      </c>
      <c r="X30" s="1566"/>
      <c r="Y30" s="3446"/>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46"/>
      <c r="Q31" s="1150" t="str">
        <f t="shared" si="11"/>
        <v>是否封闭</v>
      </c>
      <c r="R31" s="1567" t="s">
        <v>8</v>
      </c>
      <c r="S31" s="1568">
        <f t="shared" si="12"/>
        <v>100</v>
      </c>
      <c r="T31" s="1567" t="s">
        <v>8</v>
      </c>
      <c r="U31" s="1568">
        <f t="shared" si="13"/>
        <v>100</v>
      </c>
      <c r="V31" s="1567" t="s">
        <v>8</v>
      </c>
      <c r="W31" s="1568">
        <f t="shared" si="14"/>
        <v>100</v>
      </c>
      <c r="X31" s="1569"/>
      <c r="Y31" s="3446"/>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46" t="s">
        <v>550</v>
      </c>
      <c r="Q32" s="1571">
        <f t="shared" si="11"/>
        <v>111</v>
      </c>
      <c r="R32" s="1572" t="s">
        <v>8</v>
      </c>
      <c r="S32" s="1573">
        <f t="shared" si="12"/>
        <v>100</v>
      </c>
      <c r="T32" s="1572" t="s">
        <v>8</v>
      </c>
      <c r="U32" s="1573">
        <f t="shared" si="13"/>
        <v>100</v>
      </c>
      <c r="V32" s="1572" t="s">
        <v>8</v>
      </c>
      <c r="W32" s="1573">
        <f t="shared" si="14"/>
        <v>100</v>
      </c>
      <c r="X32" s="1566"/>
      <c r="Y32" s="3446"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46"/>
      <c r="Q33" s="1571">
        <f t="shared" si="11"/>
        <v>111</v>
      </c>
      <c r="R33" s="1572" t="s">
        <v>8</v>
      </c>
      <c r="S33" s="1573">
        <f t="shared" si="12"/>
        <v>100</v>
      </c>
      <c r="T33" s="1572" t="s">
        <v>8</v>
      </c>
      <c r="U33" s="1573">
        <f t="shared" si="13"/>
        <v>100</v>
      </c>
      <c r="V33" s="1572" t="s">
        <v>8</v>
      </c>
      <c r="W33" s="1573">
        <f t="shared" si="14"/>
        <v>100</v>
      </c>
      <c r="X33" s="1566"/>
      <c r="Y33" s="3446"/>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46"/>
      <c r="Q34" s="1571">
        <f t="shared" si="11"/>
        <v>111</v>
      </c>
      <c r="R34" s="1572" t="s">
        <v>8</v>
      </c>
      <c r="S34" s="1573">
        <f t="shared" si="12"/>
        <v>100</v>
      </c>
      <c r="T34" s="1572" t="s">
        <v>8</v>
      </c>
      <c r="U34" s="1573">
        <f t="shared" si="13"/>
        <v>100</v>
      </c>
      <c r="V34" s="1572" t="s">
        <v>8</v>
      </c>
      <c r="W34" s="1573">
        <f t="shared" si="14"/>
        <v>100</v>
      </c>
      <c r="X34" s="1566"/>
      <c r="Y34" s="3446"/>
      <c r="Z34" s="1574">
        <f t="shared" si="15"/>
        <v>111</v>
      </c>
      <c r="AA34" s="1575">
        <f t="shared" si="3"/>
        <v>1</v>
      </c>
      <c r="AB34" s="1575">
        <f t="shared" si="4"/>
        <v>1</v>
      </c>
      <c r="AC34" s="1575">
        <f t="shared" si="5"/>
        <v>1</v>
      </c>
    </row>
    <row r="35" spans="1:29" ht="15">
      <c r="A35" s="607" t="s">
        <v>736</v>
      </c>
      <c r="B35" s="886"/>
      <c r="C35" s="2605" t="s">
        <v>1</v>
      </c>
      <c r="D35" s="2606"/>
      <c r="E35" s="2607"/>
      <c r="F35" s="2608"/>
      <c r="G35" s="2609"/>
      <c r="H35" s="2610"/>
      <c r="I35" s="2607"/>
      <c r="J35" s="2610"/>
      <c r="K35" s="1610"/>
      <c r="L35" s="2143"/>
      <c r="M35" s="2144"/>
      <c r="N35" s="2133"/>
      <c r="O35" s="2144"/>
      <c r="P35" s="3409" t="str">
        <f>A35</f>
        <v>成交单价（元/平方米）</v>
      </c>
      <c r="Q35" s="3409"/>
      <c r="R35" s="3499">
        <f>E35</f>
        <v>0</v>
      </c>
      <c r="S35" s="3499"/>
      <c r="T35" s="3499">
        <f>G35</f>
        <v>0</v>
      </c>
      <c r="U35" s="3499"/>
      <c r="V35" s="3499">
        <f>I35</f>
        <v>0</v>
      </c>
      <c r="W35" s="3499"/>
      <c r="X35" s="1558"/>
      <c r="Y35" s="1580"/>
      <c r="Z35" s="1558"/>
      <c r="AA35" s="1558"/>
      <c r="AB35" s="1558"/>
      <c r="AC35" s="1558"/>
    </row>
    <row r="36" spans="1:29" ht="15.75" thickBot="1">
      <c r="A36" s="615" t="s">
        <v>2761</v>
      </c>
      <c r="B36" s="887"/>
      <c r="C36" s="2611" t="e">
        <f>R37</f>
        <v>#DIV/0!</v>
      </c>
      <c r="D36" s="2612"/>
      <c r="E36" s="2613" t="e">
        <f>R36</f>
        <v>#DIV/0!</v>
      </c>
      <c r="F36" s="2613"/>
      <c r="G36" s="2611" t="e">
        <f>T36</f>
        <v>#DIV/0!</v>
      </c>
      <c r="H36" s="2612"/>
      <c r="I36" s="2613" t="e">
        <f>V36</f>
        <v>#DIV/0!</v>
      </c>
      <c r="J36" s="2612"/>
      <c r="K36" s="1611"/>
      <c r="L36" s="2143"/>
      <c r="M36" s="2144"/>
      <c r="N36" s="2133"/>
      <c r="O36" s="2144"/>
      <c r="P36" s="3409" t="str">
        <f>A36</f>
        <v>比较价格（元/平方米）</v>
      </c>
      <c r="Q36" s="3409"/>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58"/>
      <c r="Y36" s="1558"/>
      <c r="Z36" s="1558"/>
      <c r="AA36" s="1558"/>
      <c r="AB36" s="1558"/>
      <c r="AC36" s="1558"/>
    </row>
    <row r="37" spans="1:29" ht="15.75" thickBot="1">
      <c r="A37" s="621" t="s">
        <v>2938</v>
      </c>
      <c r="B37" s="622"/>
      <c r="C37" s="2614" t="e">
        <f>R37</f>
        <v>#DIV/0!</v>
      </c>
      <c r="D37" s="2614"/>
      <c r="E37" s="2614"/>
      <c r="F37" s="2614"/>
      <c r="G37" s="2614"/>
      <c r="H37" s="2614"/>
      <c r="I37" s="2614"/>
      <c r="J37" s="2614"/>
      <c r="K37" s="1612"/>
      <c r="L37" s="2143"/>
      <c r="M37" s="2144"/>
      <c r="N37" s="2144"/>
      <c r="O37" s="2144"/>
      <c r="P37" s="3406" t="str">
        <f>A37</f>
        <v>估价对象XX用房的比较价格（楼面单价，元/平方米）</v>
      </c>
      <c r="Q37" s="3407"/>
      <c r="R37" s="3498" t="e">
        <f>IF(F1="售价",ROUND(AVERAGE(R36:V36),0),ROUND(AVERAGE(R36:V36),1))</f>
        <v>#DIV/0!</v>
      </c>
      <c r="S37" s="3498"/>
      <c r="T37" s="3498"/>
      <c r="U37" s="3498"/>
      <c r="V37" s="3498"/>
      <c r="W37" s="3498"/>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2558</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2559</v>
      </c>
      <c r="C65" s="2576" t="s">
        <v>2560</v>
      </c>
      <c r="D65" s="2576" t="s">
        <v>2561</v>
      </c>
      <c r="E65" s="2576" t="s">
        <v>2562</v>
      </c>
      <c r="F65" s="2576" t="s">
        <v>2563</v>
      </c>
      <c r="G65" s="2576" t="s">
        <v>2564</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43489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2.5</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4"/>
  <sheetViews>
    <sheetView workbookViewId="0">
      <selection activeCell="A12" sqref="A12"/>
    </sheetView>
  </sheetViews>
  <sheetFormatPr defaultRowHeight="13.5"/>
  <cols>
    <col min="1" max="1" width="29.875" style="2917" customWidth="1"/>
    <col min="2" max="2" width="11.25" style="2917" customWidth="1"/>
    <col min="3" max="3" width="13.875" style="2917" customWidth="1"/>
    <col min="4" max="4" width="6.25" style="2917" customWidth="1"/>
    <col min="5" max="5" width="4.625" style="2917" customWidth="1"/>
    <col min="6" max="6" width="29.375" style="2917" customWidth="1"/>
    <col min="7" max="7" width="10.5" style="2917" customWidth="1"/>
    <col min="8" max="8" width="35.375" style="2917" customWidth="1"/>
    <col min="9" max="9" width="28" style="2917" customWidth="1"/>
    <col min="10" max="11" width="13.875" style="2917" customWidth="1"/>
    <col min="12" max="12" width="7.375" style="2917" bestFit="1" customWidth="1"/>
    <col min="13" max="15" width="11.625" style="2917" bestFit="1" customWidth="1"/>
    <col min="16" max="16" width="17.875" style="2917" customWidth="1"/>
    <col min="17" max="17" width="45.875" style="2917" customWidth="1"/>
    <col min="18" max="19" width="10.625" style="2917" customWidth="1"/>
    <col min="20" max="20" width="14.375" style="2917" customWidth="1"/>
    <col min="21" max="21" width="6.25" style="2917" customWidth="1"/>
    <col min="22" max="256" width="9" style="2917"/>
    <col min="257" max="257" width="29.875" style="2917" customWidth="1"/>
    <col min="258" max="258" width="6.25" style="2917" customWidth="1"/>
    <col min="259" max="259" width="13.875" style="2917" customWidth="1"/>
    <col min="260" max="260" width="6.25" style="2917" customWidth="1"/>
    <col min="261" max="261" width="4.625" style="2917" customWidth="1"/>
    <col min="262" max="262" width="29.375" style="2917" customWidth="1"/>
    <col min="263" max="263" width="7.875" style="2917" customWidth="1"/>
    <col min="264" max="264" width="35.375" style="2917" customWidth="1"/>
    <col min="265" max="265" width="28" style="2917" customWidth="1"/>
    <col min="266" max="267" width="13.875" style="2917" customWidth="1"/>
    <col min="268" max="268" width="6.25" style="2917" customWidth="1"/>
    <col min="269" max="271" width="9" style="2917" customWidth="1"/>
    <col min="272" max="272" width="17.875" style="2917" customWidth="1"/>
    <col min="273" max="273" width="45.875" style="2917" customWidth="1"/>
    <col min="274" max="275" width="10.625" style="2917" customWidth="1"/>
    <col min="276" max="276" width="14.375" style="2917" customWidth="1"/>
    <col min="277" max="277" width="6.25" style="2917" customWidth="1"/>
    <col min="278" max="512" width="9" style="2917"/>
    <col min="513" max="513" width="29.875" style="2917" customWidth="1"/>
    <col min="514" max="514" width="6.25" style="2917" customWidth="1"/>
    <col min="515" max="515" width="13.875" style="2917" customWidth="1"/>
    <col min="516" max="516" width="6.25" style="2917" customWidth="1"/>
    <col min="517" max="517" width="4.625" style="2917" customWidth="1"/>
    <col min="518" max="518" width="29.375" style="2917" customWidth="1"/>
    <col min="519" max="519" width="7.875" style="2917" customWidth="1"/>
    <col min="520" max="520" width="35.375" style="2917" customWidth="1"/>
    <col min="521" max="521" width="28" style="2917" customWidth="1"/>
    <col min="522" max="523" width="13.875" style="2917" customWidth="1"/>
    <col min="524" max="524" width="6.25" style="2917" customWidth="1"/>
    <col min="525" max="527" width="9" style="2917" customWidth="1"/>
    <col min="528" max="528" width="17.875" style="2917" customWidth="1"/>
    <col min="529" max="529" width="45.875" style="2917" customWidth="1"/>
    <col min="530" max="531" width="10.625" style="2917" customWidth="1"/>
    <col min="532" max="532" width="14.375" style="2917" customWidth="1"/>
    <col min="533" max="533" width="6.25" style="2917" customWidth="1"/>
    <col min="534" max="768" width="9" style="2917"/>
    <col min="769" max="769" width="29.875" style="2917" customWidth="1"/>
    <col min="770" max="770" width="6.25" style="2917" customWidth="1"/>
    <col min="771" max="771" width="13.875" style="2917" customWidth="1"/>
    <col min="772" max="772" width="6.25" style="2917" customWidth="1"/>
    <col min="773" max="773" width="4.625" style="2917" customWidth="1"/>
    <col min="774" max="774" width="29.375" style="2917" customWidth="1"/>
    <col min="775" max="775" width="7.875" style="2917" customWidth="1"/>
    <col min="776" max="776" width="35.375" style="2917" customWidth="1"/>
    <col min="777" max="777" width="28" style="2917" customWidth="1"/>
    <col min="778" max="779" width="13.875" style="2917" customWidth="1"/>
    <col min="780" max="780" width="6.25" style="2917" customWidth="1"/>
    <col min="781" max="783" width="9" style="2917" customWidth="1"/>
    <col min="784" max="784" width="17.875" style="2917" customWidth="1"/>
    <col min="785" max="785" width="45.875" style="2917" customWidth="1"/>
    <col min="786" max="787" width="10.625" style="2917" customWidth="1"/>
    <col min="788" max="788" width="14.375" style="2917" customWidth="1"/>
    <col min="789" max="789" width="6.25" style="2917" customWidth="1"/>
    <col min="790" max="1024" width="9" style="2917"/>
    <col min="1025" max="1025" width="29.875" style="2917" customWidth="1"/>
    <col min="1026" max="1026" width="6.25" style="2917" customWidth="1"/>
    <col min="1027" max="1027" width="13.875" style="2917" customWidth="1"/>
    <col min="1028" max="1028" width="6.25" style="2917" customWidth="1"/>
    <col min="1029" max="1029" width="4.625" style="2917" customWidth="1"/>
    <col min="1030" max="1030" width="29.375" style="2917" customWidth="1"/>
    <col min="1031" max="1031" width="7.875" style="2917" customWidth="1"/>
    <col min="1032" max="1032" width="35.375" style="2917" customWidth="1"/>
    <col min="1033" max="1033" width="28" style="2917" customWidth="1"/>
    <col min="1034" max="1035" width="13.875" style="2917" customWidth="1"/>
    <col min="1036" max="1036" width="6.25" style="2917" customWidth="1"/>
    <col min="1037" max="1039" width="9" style="2917" customWidth="1"/>
    <col min="1040" max="1040" width="17.875" style="2917" customWidth="1"/>
    <col min="1041" max="1041" width="45.875" style="2917" customWidth="1"/>
    <col min="1042" max="1043" width="10.625" style="2917" customWidth="1"/>
    <col min="1044" max="1044" width="14.375" style="2917" customWidth="1"/>
    <col min="1045" max="1045" width="6.25" style="2917" customWidth="1"/>
    <col min="1046" max="1280" width="9" style="2917"/>
    <col min="1281" max="1281" width="29.875" style="2917" customWidth="1"/>
    <col min="1282" max="1282" width="6.25" style="2917" customWidth="1"/>
    <col min="1283" max="1283" width="13.875" style="2917" customWidth="1"/>
    <col min="1284" max="1284" width="6.25" style="2917" customWidth="1"/>
    <col min="1285" max="1285" width="4.625" style="2917" customWidth="1"/>
    <col min="1286" max="1286" width="29.375" style="2917" customWidth="1"/>
    <col min="1287" max="1287" width="7.875" style="2917" customWidth="1"/>
    <col min="1288" max="1288" width="35.375" style="2917" customWidth="1"/>
    <col min="1289" max="1289" width="28" style="2917" customWidth="1"/>
    <col min="1290" max="1291" width="13.875" style="2917" customWidth="1"/>
    <col min="1292" max="1292" width="6.25" style="2917" customWidth="1"/>
    <col min="1293" max="1295" width="9" style="2917" customWidth="1"/>
    <col min="1296" max="1296" width="17.875" style="2917" customWidth="1"/>
    <col min="1297" max="1297" width="45.875" style="2917" customWidth="1"/>
    <col min="1298" max="1299" width="10.625" style="2917" customWidth="1"/>
    <col min="1300" max="1300" width="14.375" style="2917" customWidth="1"/>
    <col min="1301" max="1301" width="6.25" style="2917" customWidth="1"/>
    <col min="1302" max="1536" width="9" style="2917"/>
    <col min="1537" max="1537" width="29.875" style="2917" customWidth="1"/>
    <col min="1538" max="1538" width="6.25" style="2917" customWidth="1"/>
    <col min="1539" max="1539" width="13.875" style="2917" customWidth="1"/>
    <col min="1540" max="1540" width="6.25" style="2917" customWidth="1"/>
    <col min="1541" max="1541" width="4.625" style="2917" customWidth="1"/>
    <col min="1542" max="1542" width="29.375" style="2917" customWidth="1"/>
    <col min="1543" max="1543" width="7.875" style="2917" customWidth="1"/>
    <col min="1544" max="1544" width="35.375" style="2917" customWidth="1"/>
    <col min="1545" max="1545" width="28" style="2917" customWidth="1"/>
    <col min="1546" max="1547" width="13.875" style="2917" customWidth="1"/>
    <col min="1548" max="1548" width="6.25" style="2917" customWidth="1"/>
    <col min="1549" max="1551" width="9" style="2917" customWidth="1"/>
    <col min="1552" max="1552" width="17.875" style="2917" customWidth="1"/>
    <col min="1553" max="1553" width="45.875" style="2917" customWidth="1"/>
    <col min="1554" max="1555" width="10.625" style="2917" customWidth="1"/>
    <col min="1556" max="1556" width="14.375" style="2917" customWidth="1"/>
    <col min="1557" max="1557" width="6.25" style="2917" customWidth="1"/>
    <col min="1558" max="1792" width="9" style="2917"/>
    <col min="1793" max="1793" width="29.875" style="2917" customWidth="1"/>
    <col min="1794" max="1794" width="6.25" style="2917" customWidth="1"/>
    <col min="1795" max="1795" width="13.875" style="2917" customWidth="1"/>
    <col min="1796" max="1796" width="6.25" style="2917" customWidth="1"/>
    <col min="1797" max="1797" width="4.625" style="2917" customWidth="1"/>
    <col min="1798" max="1798" width="29.375" style="2917" customWidth="1"/>
    <col min="1799" max="1799" width="7.875" style="2917" customWidth="1"/>
    <col min="1800" max="1800" width="35.375" style="2917" customWidth="1"/>
    <col min="1801" max="1801" width="28" style="2917" customWidth="1"/>
    <col min="1802" max="1803" width="13.875" style="2917" customWidth="1"/>
    <col min="1804" max="1804" width="6.25" style="2917" customWidth="1"/>
    <col min="1805" max="1807" width="9" style="2917" customWidth="1"/>
    <col min="1808" max="1808" width="17.875" style="2917" customWidth="1"/>
    <col min="1809" max="1809" width="45.875" style="2917" customWidth="1"/>
    <col min="1810" max="1811" width="10.625" style="2917" customWidth="1"/>
    <col min="1812" max="1812" width="14.375" style="2917" customWidth="1"/>
    <col min="1813" max="1813" width="6.25" style="2917" customWidth="1"/>
    <col min="1814" max="2048" width="9" style="2917"/>
    <col min="2049" max="2049" width="29.875" style="2917" customWidth="1"/>
    <col min="2050" max="2050" width="6.25" style="2917" customWidth="1"/>
    <col min="2051" max="2051" width="13.875" style="2917" customWidth="1"/>
    <col min="2052" max="2052" width="6.25" style="2917" customWidth="1"/>
    <col min="2053" max="2053" width="4.625" style="2917" customWidth="1"/>
    <col min="2054" max="2054" width="29.375" style="2917" customWidth="1"/>
    <col min="2055" max="2055" width="7.875" style="2917" customWidth="1"/>
    <col min="2056" max="2056" width="35.375" style="2917" customWidth="1"/>
    <col min="2057" max="2057" width="28" style="2917" customWidth="1"/>
    <col min="2058" max="2059" width="13.875" style="2917" customWidth="1"/>
    <col min="2060" max="2060" width="6.25" style="2917" customWidth="1"/>
    <col min="2061" max="2063" width="9" style="2917" customWidth="1"/>
    <col min="2064" max="2064" width="17.875" style="2917" customWidth="1"/>
    <col min="2065" max="2065" width="45.875" style="2917" customWidth="1"/>
    <col min="2066" max="2067" width="10.625" style="2917" customWidth="1"/>
    <col min="2068" max="2068" width="14.375" style="2917" customWidth="1"/>
    <col min="2069" max="2069" width="6.25" style="2917" customWidth="1"/>
    <col min="2070" max="2304" width="9" style="2917"/>
    <col min="2305" max="2305" width="29.875" style="2917" customWidth="1"/>
    <col min="2306" max="2306" width="6.25" style="2917" customWidth="1"/>
    <col min="2307" max="2307" width="13.875" style="2917" customWidth="1"/>
    <col min="2308" max="2308" width="6.25" style="2917" customWidth="1"/>
    <col min="2309" max="2309" width="4.625" style="2917" customWidth="1"/>
    <col min="2310" max="2310" width="29.375" style="2917" customWidth="1"/>
    <col min="2311" max="2311" width="7.875" style="2917" customWidth="1"/>
    <col min="2312" max="2312" width="35.375" style="2917" customWidth="1"/>
    <col min="2313" max="2313" width="28" style="2917" customWidth="1"/>
    <col min="2314" max="2315" width="13.875" style="2917" customWidth="1"/>
    <col min="2316" max="2316" width="6.25" style="2917" customWidth="1"/>
    <col min="2317" max="2319" width="9" style="2917" customWidth="1"/>
    <col min="2320" max="2320" width="17.875" style="2917" customWidth="1"/>
    <col min="2321" max="2321" width="45.875" style="2917" customWidth="1"/>
    <col min="2322" max="2323" width="10.625" style="2917" customWidth="1"/>
    <col min="2324" max="2324" width="14.375" style="2917" customWidth="1"/>
    <col min="2325" max="2325" width="6.25" style="2917" customWidth="1"/>
    <col min="2326" max="2560" width="9" style="2917"/>
    <col min="2561" max="2561" width="29.875" style="2917" customWidth="1"/>
    <col min="2562" max="2562" width="6.25" style="2917" customWidth="1"/>
    <col min="2563" max="2563" width="13.875" style="2917" customWidth="1"/>
    <col min="2564" max="2564" width="6.25" style="2917" customWidth="1"/>
    <col min="2565" max="2565" width="4.625" style="2917" customWidth="1"/>
    <col min="2566" max="2566" width="29.375" style="2917" customWidth="1"/>
    <col min="2567" max="2567" width="7.875" style="2917" customWidth="1"/>
    <col min="2568" max="2568" width="35.375" style="2917" customWidth="1"/>
    <col min="2569" max="2569" width="28" style="2917" customWidth="1"/>
    <col min="2570" max="2571" width="13.875" style="2917" customWidth="1"/>
    <col min="2572" max="2572" width="6.25" style="2917" customWidth="1"/>
    <col min="2573" max="2575" width="9" style="2917" customWidth="1"/>
    <col min="2576" max="2576" width="17.875" style="2917" customWidth="1"/>
    <col min="2577" max="2577" width="45.875" style="2917" customWidth="1"/>
    <col min="2578" max="2579" width="10.625" style="2917" customWidth="1"/>
    <col min="2580" max="2580" width="14.375" style="2917" customWidth="1"/>
    <col min="2581" max="2581" width="6.25" style="2917" customWidth="1"/>
    <col min="2582" max="2816" width="9" style="2917"/>
    <col min="2817" max="2817" width="29.875" style="2917" customWidth="1"/>
    <col min="2818" max="2818" width="6.25" style="2917" customWidth="1"/>
    <col min="2819" max="2819" width="13.875" style="2917" customWidth="1"/>
    <col min="2820" max="2820" width="6.25" style="2917" customWidth="1"/>
    <col min="2821" max="2821" width="4.625" style="2917" customWidth="1"/>
    <col min="2822" max="2822" width="29.375" style="2917" customWidth="1"/>
    <col min="2823" max="2823" width="7.875" style="2917" customWidth="1"/>
    <col min="2824" max="2824" width="35.375" style="2917" customWidth="1"/>
    <col min="2825" max="2825" width="28" style="2917" customWidth="1"/>
    <col min="2826" max="2827" width="13.875" style="2917" customWidth="1"/>
    <col min="2828" max="2828" width="6.25" style="2917" customWidth="1"/>
    <col min="2829" max="2831" width="9" style="2917" customWidth="1"/>
    <col min="2832" max="2832" width="17.875" style="2917" customWidth="1"/>
    <col min="2833" max="2833" width="45.875" style="2917" customWidth="1"/>
    <col min="2834" max="2835" width="10.625" style="2917" customWidth="1"/>
    <col min="2836" max="2836" width="14.375" style="2917" customWidth="1"/>
    <col min="2837" max="2837" width="6.25" style="2917" customWidth="1"/>
    <col min="2838" max="3072" width="9" style="2917"/>
    <col min="3073" max="3073" width="29.875" style="2917" customWidth="1"/>
    <col min="3074" max="3074" width="6.25" style="2917" customWidth="1"/>
    <col min="3075" max="3075" width="13.875" style="2917" customWidth="1"/>
    <col min="3076" max="3076" width="6.25" style="2917" customWidth="1"/>
    <col min="3077" max="3077" width="4.625" style="2917" customWidth="1"/>
    <col min="3078" max="3078" width="29.375" style="2917" customWidth="1"/>
    <col min="3079" max="3079" width="7.875" style="2917" customWidth="1"/>
    <col min="3080" max="3080" width="35.375" style="2917" customWidth="1"/>
    <col min="3081" max="3081" width="28" style="2917" customWidth="1"/>
    <col min="3082" max="3083" width="13.875" style="2917" customWidth="1"/>
    <col min="3084" max="3084" width="6.25" style="2917" customWidth="1"/>
    <col min="3085" max="3087" width="9" style="2917" customWidth="1"/>
    <col min="3088" max="3088" width="17.875" style="2917" customWidth="1"/>
    <col min="3089" max="3089" width="45.875" style="2917" customWidth="1"/>
    <col min="3090" max="3091" width="10.625" style="2917" customWidth="1"/>
    <col min="3092" max="3092" width="14.375" style="2917" customWidth="1"/>
    <col min="3093" max="3093" width="6.25" style="2917" customWidth="1"/>
    <col min="3094" max="3328" width="9" style="2917"/>
    <col min="3329" max="3329" width="29.875" style="2917" customWidth="1"/>
    <col min="3330" max="3330" width="6.25" style="2917" customWidth="1"/>
    <col min="3331" max="3331" width="13.875" style="2917" customWidth="1"/>
    <col min="3332" max="3332" width="6.25" style="2917" customWidth="1"/>
    <col min="3333" max="3333" width="4.625" style="2917" customWidth="1"/>
    <col min="3334" max="3334" width="29.375" style="2917" customWidth="1"/>
    <col min="3335" max="3335" width="7.875" style="2917" customWidth="1"/>
    <col min="3336" max="3336" width="35.375" style="2917" customWidth="1"/>
    <col min="3337" max="3337" width="28" style="2917" customWidth="1"/>
    <col min="3338" max="3339" width="13.875" style="2917" customWidth="1"/>
    <col min="3340" max="3340" width="6.25" style="2917" customWidth="1"/>
    <col min="3341" max="3343" width="9" style="2917" customWidth="1"/>
    <col min="3344" max="3344" width="17.875" style="2917" customWidth="1"/>
    <col min="3345" max="3345" width="45.875" style="2917" customWidth="1"/>
    <col min="3346" max="3347" width="10.625" style="2917" customWidth="1"/>
    <col min="3348" max="3348" width="14.375" style="2917" customWidth="1"/>
    <col min="3349" max="3349" width="6.25" style="2917" customWidth="1"/>
    <col min="3350" max="3584" width="9" style="2917"/>
    <col min="3585" max="3585" width="29.875" style="2917" customWidth="1"/>
    <col min="3586" max="3586" width="6.25" style="2917" customWidth="1"/>
    <col min="3587" max="3587" width="13.875" style="2917" customWidth="1"/>
    <col min="3588" max="3588" width="6.25" style="2917" customWidth="1"/>
    <col min="3589" max="3589" width="4.625" style="2917" customWidth="1"/>
    <col min="3590" max="3590" width="29.375" style="2917" customWidth="1"/>
    <col min="3591" max="3591" width="7.875" style="2917" customWidth="1"/>
    <col min="3592" max="3592" width="35.375" style="2917" customWidth="1"/>
    <col min="3593" max="3593" width="28" style="2917" customWidth="1"/>
    <col min="3594" max="3595" width="13.875" style="2917" customWidth="1"/>
    <col min="3596" max="3596" width="6.25" style="2917" customWidth="1"/>
    <col min="3597" max="3599" width="9" style="2917" customWidth="1"/>
    <col min="3600" max="3600" width="17.875" style="2917" customWidth="1"/>
    <col min="3601" max="3601" width="45.875" style="2917" customWidth="1"/>
    <col min="3602" max="3603" width="10.625" style="2917" customWidth="1"/>
    <col min="3604" max="3604" width="14.375" style="2917" customWidth="1"/>
    <col min="3605" max="3605" width="6.25" style="2917" customWidth="1"/>
    <col min="3606" max="3840" width="9" style="2917"/>
    <col min="3841" max="3841" width="29.875" style="2917" customWidth="1"/>
    <col min="3842" max="3842" width="6.25" style="2917" customWidth="1"/>
    <col min="3843" max="3843" width="13.875" style="2917" customWidth="1"/>
    <col min="3844" max="3844" width="6.25" style="2917" customWidth="1"/>
    <col min="3845" max="3845" width="4.625" style="2917" customWidth="1"/>
    <col min="3846" max="3846" width="29.375" style="2917" customWidth="1"/>
    <col min="3847" max="3847" width="7.875" style="2917" customWidth="1"/>
    <col min="3848" max="3848" width="35.375" style="2917" customWidth="1"/>
    <col min="3849" max="3849" width="28" style="2917" customWidth="1"/>
    <col min="3850" max="3851" width="13.875" style="2917" customWidth="1"/>
    <col min="3852" max="3852" width="6.25" style="2917" customWidth="1"/>
    <col min="3853" max="3855" width="9" style="2917" customWidth="1"/>
    <col min="3856" max="3856" width="17.875" style="2917" customWidth="1"/>
    <col min="3857" max="3857" width="45.875" style="2917" customWidth="1"/>
    <col min="3858" max="3859" width="10.625" style="2917" customWidth="1"/>
    <col min="3860" max="3860" width="14.375" style="2917" customWidth="1"/>
    <col min="3861" max="3861" width="6.25" style="2917" customWidth="1"/>
    <col min="3862" max="4096" width="9" style="2917"/>
    <col min="4097" max="4097" width="29.875" style="2917" customWidth="1"/>
    <col min="4098" max="4098" width="6.25" style="2917" customWidth="1"/>
    <col min="4099" max="4099" width="13.875" style="2917" customWidth="1"/>
    <col min="4100" max="4100" width="6.25" style="2917" customWidth="1"/>
    <col min="4101" max="4101" width="4.625" style="2917" customWidth="1"/>
    <col min="4102" max="4102" width="29.375" style="2917" customWidth="1"/>
    <col min="4103" max="4103" width="7.875" style="2917" customWidth="1"/>
    <col min="4104" max="4104" width="35.375" style="2917" customWidth="1"/>
    <col min="4105" max="4105" width="28" style="2917" customWidth="1"/>
    <col min="4106" max="4107" width="13.875" style="2917" customWidth="1"/>
    <col min="4108" max="4108" width="6.25" style="2917" customWidth="1"/>
    <col min="4109" max="4111" width="9" style="2917" customWidth="1"/>
    <col min="4112" max="4112" width="17.875" style="2917" customWidth="1"/>
    <col min="4113" max="4113" width="45.875" style="2917" customWidth="1"/>
    <col min="4114" max="4115" width="10.625" style="2917" customWidth="1"/>
    <col min="4116" max="4116" width="14.375" style="2917" customWidth="1"/>
    <col min="4117" max="4117" width="6.25" style="2917" customWidth="1"/>
    <col min="4118" max="4352" width="9" style="2917"/>
    <col min="4353" max="4353" width="29.875" style="2917" customWidth="1"/>
    <col min="4354" max="4354" width="6.25" style="2917" customWidth="1"/>
    <col min="4355" max="4355" width="13.875" style="2917" customWidth="1"/>
    <col min="4356" max="4356" width="6.25" style="2917" customWidth="1"/>
    <col min="4357" max="4357" width="4.625" style="2917" customWidth="1"/>
    <col min="4358" max="4358" width="29.375" style="2917" customWidth="1"/>
    <col min="4359" max="4359" width="7.875" style="2917" customWidth="1"/>
    <col min="4360" max="4360" width="35.375" style="2917" customWidth="1"/>
    <col min="4361" max="4361" width="28" style="2917" customWidth="1"/>
    <col min="4362" max="4363" width="13.875" style="2917" customWidth="1"/>
    <col min="4364" max="4364" width="6.25" style="2917" customWidth="1"/>
    <col min="4365" max="4367" width="9" style="2917" customWidth="1"/>
    <col min="4368" max="4368" width="17.875" style="2917" customWidth="1"/>
    <col min="4369" max="4369" width="45.875" style="2917" customWidth="1"/>
    <col min="4370" max="4371" width="10.625" style="2917" customWidth="1"/>
    <col min="4372" max="4372" width="14.375" style="2917" customWidth="1"/>
    <col min="4373" max="4373" width="6.25" style="2917" customWidth="1"/>
    <col min="4374" max="4608" width="9" style="2917"/>
    <col min="4609" max="4609" width="29.875" style="2917" customWidth="1"/>
    <col min="4610" max="4610" width="6.25" style="2917" customWidth="1"/>
    <col min="4611" max="4611" width="13.875" style="2917" customWidth="1"/>
    <col min="4612" max="4612" width="6.25" style="2917" customWidth="1"/>
    <col min="4613" max="4613" width="4.625" style="2917" customWidth="1"/>
    <col min="4614" max="4614" width="29.375" style="2917" customWidth="1"/>
    <col min="4615" max="4615" width="7.875" style="2917" customWidth="1"/>
    <col min="4616" max="4616" width="35.375" style="2917" customWidth="1"/>
    <col min="4617" max="4617" width="28" style="2917" customWidth="1"/>
    <col min="4618" max="4619" width="13.875" style="2917" customWidth="1"/>
    <col min="4620" max="4620" width="6.25" style="2917" customWidth="1"/>
    <col min="4621" max="4623" width="9" style="2917" customWidth="1"/>
    <col min="4624" max="4624" width="17.875" style="2917" customWidth="1"/>
    <col min="4625" max="4625" width="45.875" style="2917" customWidth="1"/>
    <col min="4626" max="4627" width="10.625" style="2917" customWidth="1"/>
    <col min="4628" max="4628" width="14.375" style="2917" customWidth="1"/>
    <col min="4629" max="4629" width="6.25" style="2917" customWidth="1"/>
    <col min="4630" max="4864" width="9" style="2917"/>
    <col min="4865" max="4865" width="29.875" style="2917" customWidth="1"/>
    <col min="4866" max="4866" width="6.25" style="2917" customWidth="1"/>
    <col min="4867" max="4867" width="13.875" style="2917" customWidth="1"/>
    <col min="4868" max="4868" width="6.25" style="2917" customWidth="1"/>
    <col min="4869" max="4869" width="4.625" style="2917" customWidth="1"/>
    <col min="4870" max="4870" width="29.375" style="2917" customWidth="1"/>
    <col min="4871" max="4871" width="7.875" style="2917" customWidth="1"/>
    <col min="4872" max="4872" width="35.375" style="2917" customWidth="1"/>
    <col min="4873" max="4873" width="28" style="2917" customWidth="1"/>
    <col min="4874" max="4875" width="13.875" style="2917" customWidth="1"/>
    <col min="4876" max="4876" width="6.25" style="2917" customWidth="1"/>
    <col min="4877" max="4879" width="9" style="2917" customWidth="1"/>
    <col min="4880" max="4880" width="17.875" style="2917" customWidth="1"/>
    <col min="4881" max="4881" width="45.875" style="2917" customWidth="1"/>
    <col min="4882" max="4883" width="10.625" style="2917" customWidth="1"/>
    <col min="4884" max="4884" width="14.375" style="2917" customWidth="1"/>
    <col min="4885" max="4885" width="6.25" style="2917" customWidth="1"/>
    <col min="4886" max="5120" width="9" style="2917"/>
    <col min="5121" max="5121" width="29.875" style="2917" customWidth="1"/>
    <col min="5122" max="5122" width="6.25" style="2917" customWidth="1"/>
    <col min="5123" max="5123" width="13.875" style="2917" customWidth="1"/>
    <col min="5124" max="5124" width="6.25" style="2917" customWidth="1"/>
    <col min="5125" max="5125" width="4.625" style="2917" customWidth="1"/>
    <col min="5126" max="5126" width="29.375" style="2917" customWidth="1"/>
    <col min="5127" max="5127" width="7.875" style="2917" customWidth="1"/>
    <col min="5128" max="5128" width="35.375" style="2917" customWidth="1"/>
    <col min="5129" max="5129" width="28" style="2917" customWidth="1"/>
    <col min="5130" max="5131" width="13.875" style="2917" customWidth="1"/>
    <col min="5132" max="5132" width="6.25" style="2917" customWidth="1"/>
    <col min="5133" max="5135" width="9" style="2917" customWidth="1"/>
    <col min="5136" max="5136" width="17.875" style="2917" customWidth="1"/>
    <col min="5137" max="5137" width="45.875" style="2917" customWidth="1"/>
    <col min="5138" max="5139" width="10.625" style="2917" customWidth="1"/>
    <col min="5140" max="5140" width="14.375" style="2917" customWidth="1"/>
    <col min="5141" max="5141" width="6.25" style="2917" customWidth="1"/>
    <col min="5142" max="5376" width="9" style="2917"/>
    <col min="5377" max="5377" width="29.875" style="2917" customWidth="1"/>
    <col min="5378" max="5378" width="6.25" style="2917" customWidth="1"/>
    <col min="5379" max="5379" width="13.875" style="2917" customWidth="1"/>
    <col min="5380" max="5380" width="6.25" style="2917" customWidth="1"/>
    <col min="5381" max="5381" width="4.625" style="2917" customWidth="1"/>
    <col min="5382" max="5382" width="29.375" style="2917" customWidth="1"/>
    <col min="5383" max="5383" width="7.875" style="2917" customWidth="1"/>
    <col min="5384" max="5384" width="35.375" style="2917" customWidth="1"/>
    <col min="5385" max="5385" width="28" style="2917" customWidth="1"/>
    <col min="5386" max="5387" width="13.875" style="2917" customWidth="1"/>
    <col min="5388" max="5388" width="6.25" style="2917" customWidth="1"/>
    <col min="5389" max="5391" width="9" style="2917" customWidth="1"/>
    <col min="5392" max="5392" width="17.875" style="2917" customWidth="1"/>
    <col min="5393" max="5393" width="45.875" style="2917" customWidth="1"/>
    <col min="5394" max="5395" width="10.625" style="2917" customWidth="1"/>
    <col min="5396" max="5396" width="14.375" style="2917" customWidth="1"/>
    <col min="5397" max="5397" width="6.25" style="2917" customWidth="1"/>
    <col min="5398" max="5632" width="9" style="2917"/>
    <col min="5633" max="5633" width="29.875" style="2917" customWidth="1"/>
    <col min="5634" max="5634" width="6.25" style="2917" customWidth="1"/>
    <col min="5635" max="5635" width="13.875" style="2917" customWidth="1"/>
    <col min="5636" max="5636" width="6.25" style="2917" customWidth="1"/>
    <col min="5637" max="5637" width="4.625" style="2917" customWidth="1"/>
    <col min="5638" max="5638" width="29.375" style="2917" customWidth="1"/>
    <col min="5639" max="5639" width="7.875" style="2917" customWidth="1"/>
    <col min="5640" max="5640" width="35.375" style="2917" customWidth="1"/>
    <col min="5641" max="5641" width="28" style="2917" customWidth="1"/>
    <col min="5642" max="5643" width="13.875" style="2917" customWidth="1"/>
    <col min="5644" max="5644" width="6.25" style="2917" customWidth="1"/>
    <col min="5645" max="5647" width="9" style="2917" customWidth="1"/>
    <col min="5648" max="5648" width="17.875" style="2917" customWidth="1"/>
    <col min="5649" max="5649" width="45.875" style="2917" customWidth="1"/>
    <col min="5650" max="5651" width="10.625" style="2917" customWidth="1"/>
    <col min="5652" max="5652" width="14.375" style="2917" customWidth="1"/>
    <col min="5653" max="5653" width="6.25" style="2917" customWidth="1"/>
    <col min="5654" max="5888" width="9" style="2917"/>
    <col min="5889" max="5889" width="29.875" style="2917" customWidth="1"/>
    <col min="5890" max="5890" width="6.25" style="2917" customWidth="1"/>
    <col min="5891" max="5891" width="13.875" style="2917" customWidth="1"/>
    <col min="5892" max="5892" width="6.25" style="2917" customWidth="1"/>
    <col min="5893" max="5893" width="4.625" style="2917" customWidth="1"/>
    <col min="5894" max="5894" width="29.375" style="2917" customWidth="1"/>
    <col min="5895" max="5895" width="7.875" style="2917" customWidth="1"/>
    <col min="5896" max="5896" width="35.375" style="2917" customWidth="1"/>
    <col min="5897" max="5897" width="28" style="2917" customWidth="1"/>
    <col min="5898" max="5899" width="13.875" style="2917" customWidth="1"/>
    <col min="5900" max="5900" width="6.25" style="2917" customWidth="1"/>
    <col min="5901" max="5903" width="9" style="2917" customWidth="1"/>
    <col min="5904" max="5904" width="17.875" style="2917" customWidth="1"/>
    <col min="5905" max="5905" width="45.875" style="2917" customWidth="1"/>
    <col min="5906" max="5907" width="10.625" style="2917" customWidth="1"/>
    <col min="5908" max="5908" width="14.375" style="2917" customWidth="1"/>
    <col min="5909" max="5909" width="6.25" style="2917" customWidth="1"/>
    <col min="5910" max="6144" width="9" style="2917"/>
    <col min="6145" max="6145" width="29.875" style="2917" customWidth="1"/>
    <col min="6146" max="6146" width="6.25" style="2917" customWidth="1"/>
    <col min="6147" max="6147" width="13.875" style="2917" customWidth="1"/>
    <col min="6148" max="6148" width="6.25" style="2917" customWidth="1"/>
    <col min="6149" max="6149" width="4.625" style="2917" customWidth="1"/>
    <col min="6150" max="6150" width="29.375" style="2917" customWidth="1"/>
    <col min="6151" max="6151" width="7.875" style="2917" customWidth="1"/>
    <col min="6152" max="6152" width="35.375" style="2917" customWidth="1"/>
    <col min="6153" max="6153" width="28" style="2917" customWidth="1"/>
    <col min="6154" max="6155" width="13.875" style="2917" customWidth="1"/>
    <col min="6156" max="6156" width="6.25" style="2917" customWidth="1"/>
    <col min="6157" max="6159" width="9" style="2917" customWidth="1"/>
    <col min="6160" max="6160" width="17.875" style="2917" customWidth="1"/>
    <col min="6161" max="6161" width="45.875" style="2917" customWidth="1"/>
    <col min="6162" max="6163" width="10.625" style="2917" customWidth="1"/>
    <col min="6164" max="6164" width="14.375" style="2917" customWidth="1"/>
    <col min="6165" max="6165" width="6.25" style="2917" customWidth="1"/>
    <col min="6166" max="6400" width="9" style="2917"/>
    <col min="6401" max="6401" width="29.875" style="2917" customWidth="1"/>
    <col min="6402" max="6402" width="6.25" style="2917" customWidth="1"/>
    <col min="6403" max="6403" width="13.875" style="2917" customWidth="1"/>
    <col min="6404" max="6404" width="6.25" style="2917" customWidth="1"/>
    <col min="6405" max="6405" width="4.625" style="2917" customWidth="1"/>
    <col min="6406" max="6406" width="29.375" style="2917" customWidth="1"/>
    <col min="6407" max="6407" width="7.875" style="2917" customWidth="1"/>
    <col min="6408" max="6408" width="35.375" style="2917" customWidth="1"/>
    <col min="6409" max="6409" width="28" style="2917" customWidth="1"/>
    <col min="6410" max="6411" width="13.875" style="2917" customWidth="1"/>
    <col min="6412" max="6412" width="6.25" style="2917" customWidth="1"/>
    <col min="6413" max="6415" width="9" style="2917" customWidth="1"/>
    <col min="6416" max="6416" width="17.875" style="2917" customWidth="1"/>
    <col min="6417" max="6417" width="45.875" style="2917" customWidth="1"/>
    <col min="6418" max="6419" width="10.625" style="2917" customWidth="1"/>
    <col min="6420" max="6420" width="14.375" style="2917" customWidth="1"/>
    <col min="6421" max="6421" width="6.25" style="2917" customWidth="1"/>
    <col min="6422" max="6656" width="9" style="2917"/>
    <col min="6657" max="6657" width="29.875" style="2917" customWidth="1"/>
    <col min="6658" max="6658" width="6.25" style="2917" customWidth="1"/>
    <col min="6659" max="6659" width="13.875" style="2917" customWidth="1"/>
    <col min="6660" max="6660" width="6.25" style="2917" customWidth="1"/>
    <col min="6661" max="6661" width="4.625" style="2917" customWidth="1"/>
    <col min="6662" max="6662" width="29.375" style="2917" customWidth="1"/>
    <col min="6663" max="6663" width="7.875" style="2917" customWidth="1"/>
    <col min="6664" max="6664" width="35.375" style="2917" customWidth="1"/>
    <col min="6665" max="6665" width="28" style="2917" customWidth="1"/>
    <col min="6666" max="6667" width="13.875" style="2917" customWidth="1"/>
    <col min="6668" max="6668" width="6.25" style="2917" customWidth="1"/>
    <col min="6669" max="6671" width="9" style="2917" customWidth="1"/>
    <col min="6672" max="6672" width="17.875" style="2917" customWidth="1"/>
    <col min="6673" max="6673" width="45.875" style="2917" customWidth="1"/>
    <col min="6674" max="6675" width="10.625" style="2917" customWidth="1"/>
    <col min="6676" max="6676" width="14.375" style="2917" customWidth="1"/>
    <col min="6677" max="6677" width="6.25" style="2917" customWidth="1"/>
    <col min="6678" max="6912" width="9" style="2917"/>
    <col min="6913" max="6913" width="29.875" style="2917" customWidth="1"/>
    <col min="6914" max="6914" width="6.25" style="2917" customWidth="1"/>
    <col min="6915" max="6915" width="13.875" style="2917" customWidth="1"/>
    <col min="6916" max="6916" width="6.25" style="2917" customWidth="1"/>
    <col min="6917" max="6917" width="4.625" style="2917" customWidth="1"/>
    <col min="6918" max="6918" width="29.375" style="2917" customWidth="1"/>
    <col min="6919" max="6919" width="7.875" style="2917" customWidth="1"/>
    <col min="6920" max="6920" width="35.375" style="2917" customWidth="1"/>
    <col min="6921" max="6921" width="28" style="2917" customWidth="1"/>
    <col min="6922" max="6923" width="13.875" style="2917" customWidth="1"/>
    <col min="6924" max="6924" width="6.25" style="2917" customWidth="1"/>
    <col min="6925" max="6927" width="9" style="2917" customWidth="1"/>
    <col min="6928" max="6928" width="17.875" style="2917" customWidth="1"/>
    <col min="6929" max="6929" width="45.875" style="2917" customWidth="1"/>
    <col min="6930" max="6931" width="10.625" style="2917" customWidth="1"/>
    <col min="6932" max="6932" width="14.375" style="2917" customWidth="1"/>
    <col min="6933" max="6933" width="6.25" style="2917" customWidth="1"/>
    <col min="6934" max="7168" width="9" style="2917"/>
    <col min="7169" max="7169" width="29.875" style="2917" customWidth="1"/>
    <col min="7170" max="7170" width="6.25" style="2917" customWidth="1"/>
    <col min="7171" max="7171" width="13.875" style="2917" customWidth="1"/>
    <col min="7172" max="7172" width="6.25" style="2917" customWidth="1"/>
    <col min="7173" max="7173" width="4.625" style="2917" customWidth="1"/>
    <col min="7174" max="7174" width="29.375" style="2917" customWidth="1"/>
    <col min="7175" max="7175" width="7.875" style="2917" customWidth="1"/>
    <col min="7176" max="7176" width="35.375" style="2917" customWidth="1"/>
    <col min="7177" max="7177" width="28" style="2917" customWidth="1"/>
    <col min="7178" max="7179" width="13.875" style="2917" customWidth="1"/>
    <col min="7180" max="7180" width="6.25" style="2917" customWidth="1"/>
    <col min="7181" max="7183" width="9" style="2917" customWidth="1"/>
    <col min="7184" max="7184" width="17.875" style="2917" customWidth="1"/>
    <col min="7185" max="7185" width="45.875" style="2917" customWidth="1"/>
    <col min="7186" max="7187" width="10.625" style="2917" customWidth="1"/>
    <col min="7188" max="7188" width="14.375" style="2917" customWidth="1"/>
    <col min="7189" max="7189" width="6.25" style="2917" customWidth="1"/>
    <col min="7190" max="7424" width="9" style="2917"/>
    <col min="7425" max="7425" width="29.875" style="2917" customWidth="1"/>
    <col min="7426" max="7426" width="6.25" style="2917" customWidth="1"/>
    <col min="7427" max="7427" width="13.875" style="2917" customWidth="1"/>
    <col min="7428" max="7428" width="6.25" style="2917" customWidth="1"/>
    <col min="7429" max="7429" width="4.625" style="2917" customWidth="1"/>
    <col min="7430" max="7430" width="29.375" style="2917" customWidth="1"/>
    <col min="7431" max="7431" width="7.875" style="2917" customWidth="1"/>
    <col min="7432" max="7432" width="35.375" style="2917" customWidth="1"/>
    <col min="7433" max="7433" width="28" style="2917" customWidth="1"/>
    <col min="7434" max="7435" width="13.875" style="2917" customWidth="1"/>
    <col min="7436" max="7436" width="6.25" style="2917" customWidth="1"/>
    <col min="7437" max="7439" width="9" style="2917" customWidth="1"/>
    <col min="7440" max="7440" width="17.875" style="2917" customWidth="1"/>
    <col min="7441" max="7441" width="45.875" style="2917" customWidth="1"/>
    <col min="7442" max="7443" width="10.625" style="2917" customWidth="1"/>
    <col min="7444" max="7444" width="14.375" style="2917" customWidth="1"/>
    <col min="7445" max="7445" width="6.25" style="2917" customWidth="1"/>
    <col min="7446" max="7680" width="9" style="2917"/>
    <col min="7681" max="7681" width="29.875" style="2917" customWidth="1"/>
    <col min="7682" max="7682" width="6.25" style="2917" customWidth="1"/>
    <col min="7683" max="7683" width="13.875" style="2917" customWidth="1"/>
    <col min="7684" max="7684" width="6.25" style="2917" customWidth="1"/>
    <col min="7685" max="7685" width="4.625" style="2917" customWidth="1"/>
    <col min="7686" max="7686" width="29.375" style="2917" customWidth="1"/>
    <col min="7687" max="7687" width="7.875" style="2917" customWidth="1"/>
    <col min="7688" max="7688" width="35.375" style="2917" customWidth="1"/>
    <col min="7689" max="7689" width="28" style="2917" customWidth="1"/>
    <col min="7690" max="7691" width="13.875" style="2917" customWidth="1"/>
    <col min="7692" max="7692" width="6.25" style="2917" customWidth="1"/>
    <col min="7693" max="7695" width="9" style="2917" customWidth="1"/>
    <col min="7696" max="7696" width="17.875" style="2917" customWidth="1"/>
    <col min="7697" max="7697" width="45.875" style="2917" customWidth="1"/>
    <col min="7698" max="7699" width="10.625" style="2917" customWidth="1"/>
    <col min="7700" max="7700" width="14.375" style="2917" customWidth="1"/>
    <col min="7701" max="7701" width="6.25" style="2917" customWidth="1"/>
    <col min="7702" max="7936" width="9" style="2917"/>
    <col min="7937" max="7937" width="29.875" style="2917" customWidth="1"/>
    <col min="7938" max="7938" width="6.25" style="2917" customWidth="1"/>
    <col min="7939" max="7939" width="13.875" style="2917" customWidth="1"/>
    <col min="7940" max="7940" width="6.25" style="2917" customWidth="1"/>
    <col min="7941" max="7941" width="4.625" style="2917" customWidth="1"/>
    <col min="7942" max="7942" width="29.375" style="2917" customWidth="1"/>
    <col min="7943" max="7943" width="7.875" style="2917" customWidth="1"/>
    <col min="7944" max="7944" width="35.375" style="2917" customWidth="1"/>
    <col min="7945" max="7945" width="28" style="2917" customWidth="1"/>
    <col min="7946" max="7947" width="13.875" style="2917" customWidth="1"/>
    <col min="7948" max="7948" width="6.25" style="2917" customWidth="1"/>
    <col min="7949" max="7951" width="9" style="2917" customWidth="1"/>
    <col min="7952" max="7952" width="17.875" style="2917" customWidth="1"/>
    <col min="7953" max="7953" width="45.875" style="2917" customWidth="1"/>
    <col min="7954" max="7955" width="10.625" style="2917" customWidth="1"/>
    <col min="7956" max="7956" width="14.375" style="2917" customWidth="1"/>
    <col min="7957" max="7957" width="6.25" style="2917" customWidth="1"/>
    <col min="7958" max="8192" width="9" style="2917"/>
    <col min="8193" max="8193" width="29.875" style="2917" customWidth="1"/>
    <col min="8194" max="8194" width="6.25" style="2917" customWidth="1"/>
    <col min="8195" max="8195" width="13.875" style="2917" customWidth="1"/>
    <col min="8196" max="8196" width="6.25" style="2917" customWidth="1"/>
    <col min="8197" max="8197" width="4.625" style="2917" customWidth="1"/>
    <col min="8198" max="8198" width="29.375" style="2917" customWidth="1"/>
    <col min="8199" max="8199" width="7.875" style="2917" customWidth="1"/>
    <col min="8200" max="8200" width="35.375" style="2917" customWidth="1"/>
    <col min="8201" max="8201" width="28" style="2917" customWidth="1"/>
    <col min="8202" max="8203" width="13.875" style="2917" customWidth="1"/>
    <col min="8204" max="8204" width="6.25" style="2917" customWidth="1"/>
    <col min="8205" max="8207" width="9" style="2917" customWidth="1"/>
    <col min="8208" max="8208" width="17.875" style="2917" customWidth="1"/>
    <col min="8209" max="8209" width="45.875" style="2917" customWidth="1"/>
    <col min="8210" max="8211" width="10.625" style="2917" customWidth="1"/>
    <col min="8212" max="8212" width="14.375" style="2917" customWidth="1"/>
    <col min="8213" max="8213" width="6.25" style="2917" customWidth="1"/>
    <col min="8214" max="8448" width="9" style="2917"/>
    <col min="8449" max="8449" width="29.875" style="2917" customWidth="1"/>
    <col min="8450" max="8450" width="6.25" style="2917" customWidth="1"/>
    <col min="8451" max="8451" width="13.875" style="2917" customWidth="1"/>
    <col min="8452" max="8452" width="6.25" style="2917" customWidth="1"/>
    <col min="8453" max="8453" width="4.625" style="2917" customWidth="1"/>
    <col min="8454" max="8454" width="29.375" style="2917" customWidth="1"/>
    <col min="8455" max="8455" width="7.875" style="2917" customWidth="1"/>
    <col min="8456" max="8456" width="35.375" style="2917" customWidth="1"/>
    <col min="8457" max="8457" width="28" style="2917" customWidth="1"/>
    <col min="8458" max="8459" width="13.875" style="2917" customWidth="1"/>
    <col min="8460" max="8460" width="6.25" style="2917" customWidth="1"/>
    <col min="8461" max="8463" width="9" style="2917" customWidth="1"/>
    <col min="8464" max="8464" width="17.875" style="2917" customWidth="1"/>
    <col min="8465" max="8465" width="45.875" style="2917" customWidth="1"/>
    <col min="8466" max="8467" width="10.625" style="2917" customWidth="1"/>
    <col min="8468" max="8468" width="14.375" style="2917" customWidth="1"/>
    <col min="8469" max="8469" width="6.25" style="2917" customWidth="1"/>
    <col min="8470" max="8704" width="9" style="2917"/>
    <col min="8705" max="8705" width="29.875" style="2917" customWidth="1"/>
    <col min="8706" max="8706" width="6.25" style="2917" customWidth="1"/>
    <col min="8707" max="8707" width="13.875" style="2917" customWidth="1"/>
    <col min="8708" max="8708" width="6.25" style="2917" customWidth="1"/>
    <col min="8709" max="8709" width="4.625" style="2917" customWidth="1"/>
    <col min="8710" max="8710" width="29.375" style="2917" customWidth="1"/>
    <col min="8711" max="8711" width="7.875" style="2917" customWidth="1"/>
    <col min="8712" max="8712" width="35.375" style="2917" customWidth="1"/>
    <col min="8713" max="8713" width="28" style="2917" customWidth="1"/>
    <col min="8714" max="8715" width="13.875" style="2917" customWidth="1"/>
    <col min="8716" max="8716" width="6.25" style="2917" customWidth="1"/>
    <col min="8717" max="8719" width="9" style="2917" customWidth="1"/>
    <col min="8720" max="8720" width="17.875" style="2917" customWidth="1"/>
    <col min="8721" max="8721" width="45.875" style="2917" customWidth="1"/>
    <col min="8722" max="8723" width="10.625" style="2917" customWidth="1"/>
    <col min="8724" max="8724" width="14.375" style="2917" customWidth="1"/>
    <col min="8725" max="8725" width="6.25" style="2917" customWidth="1"/>
    <col min="8726" max="8960" width="9" style="2917"/>
    <col min="8961" max="8961" width="29.875" style="2917" customWidth="1"/>
    <col min="8962" max="8962" width="6.25" style="2917" customWidth="1"/>
    <col min="8963" max="8963" width="13.875" style="2917" customWidth="1"/>
    <col min="8964" max="8964" width="6.25" style="2917" customWidth="1"/>
    <col min="8965" max="8965" width="4.625" style="2917" customWidth="1"/>
    <col min="8966" max="8966" width="29.375" style="2917" customWidth="1"/>
    <col min="8967" max="8967" width="7.875" style="2917" customWidth="1"/>
    <col min="8968" max="8968" width="35.375" style="2917" customWidth="1"/>
    <col min="8969" max="8969" width="28" style="2917" customWidth="1"/>
    <col min="8970" max="8971" width="13.875" style="2917" customWidth="1"/>
    <col min="8972" max="8972" width="6.25" style="2917" customWidth="1"/>
    <col min="8973" max="8975" width="9" style="2917" customWidth="1"/>
    <col min="8976" max="8976" width="17.875" style="2917" customWidth="1"/>
    <col min="8977" max="8977" width="45.875" style="2917" customWidth="1"/>
    <col min="8978" max="8979" width="10.625" style="2917" customWidth="1"/>
    <col min="8980" max="8980" width="14.375" style="2917" customWidth="1"/>
    <col min="8981" max="8981" width="6.25" style="2917" customWidth="1"/>
    <col min="8982" max="9216" width="9" style="2917"/>
    <col min="9217" max="9217" width="29.875" style="2917" customWidth="1"/>
    <col min="9218" max="9218" width="6.25" style="2917" customWidth="1"/>
    <col min="9219" max="9219" width="13.875" style="2917" customWidth="1"/>
    <col min="9220" max="9220" width="6.25" style="2917" customWidth="1"/>
    <col min="9221" max="9221" width="4.625" style="2917" customWidth="1"/>
    <col min="9222" max="9222" width="29.375" style="2917" customWidth="1"/>
    <col min="9223" max="9223" width="7.875" style="2917" customWidth="1"/>
    <col min="9224" max="9224" width="35.375" style="2917" customWidth="1"/>
    <col min="9225" max="9225" width="28" style="2917" customWidth="1"/>
    <col min="9226" max="9227" width="13.875" style="2917" customWidth="1"/>
    <col min="9228" max="9228" width="6.25" style="2917" customWidth="1"/>
    <col min="9229" max="9231" width="9" style="2917" customWidth="1"/>
    <col min="9232" max="9232" width="17.875" style="2917" customWidth="1"/>
    <col min="9233" max="9233" width="45.875" style="2917" customWidth="1"/>
    <col min="9234" max="9235" width="10.625" style="2917" customWidth="1"/>
    <col min="9236" max="9236" width="14.375" style="2917" customWidth="1"/>
    <col min="9237" max="9237" width="6.25" style="2917" customWidth="1"/>
    <col min="9238" max="9472" width="9" style="2917"/>
    <col min="9473" max="9473" width="29.875" style="2917" customWidth="1"/>
    <col min="9474" max="9474" width="6.25" style="2917" customWidth="1"/>
    <col min="9475" max="9475" width="13.875" style="2917" customWidth="1"/>
    <col min="9476" max="9476" width="6.25" style="2917" customWidth="1"/>
    <col min="9477" max="9477" width="4.625" style="2917" customWidth="1"/>
    <col min="9478" max="9478" width="29.375" style="2917" customWidth="1"/>
    <col min="9479" max="9479" width="7.875" style="2917" customWidth="1"/>
    <col min="9480" max="9480" width="35.375" style="2917" customWidth="1"/>
    <col min="9481" max="9481" width="28" style="2917" customWidth="1"/>
    <col min="9482" max="9483" width="13.875" style="2917" customWidth="1"/>
    <col min="9484" max="9484" width="6.25" style="2917" customWidth="1"/>
    <col min="9485" max="9487" width="9" style="2917" customWidth="1"/>
    <col min="9488" max="9488" width="17.875" style="2917" customWidth="1"/>
    <col min="9489" max="9489" width="45.875" style="2917" customWidth="1"/>
    <col min="9490" max="9491" width="10.625" style="2917" customWidth="1"/>
    <col min="9492" max="9492" width="14.375" style="2917" customWidth="1"/>
    <col min="9493" max="9493" width="6.25" style="2917" customWidth="1"/>
    <col min="9494" max="9728" width="9" style="2917"/>
    <col min="9729" max="9729" width="29.875" style="2917" customWidth="1"/>
    <col min="9730" max="9730" width="6.25" style="2917" customWidth="1"/>
    <col min="9731" max="9731" width="13.875" style="2917" customWidth="1"/>
    <col min="9732" max="9732" width="6.25" style="2917" customWidth="1"/>
    <col min="9733" max="9733" width="4.625" style="2917" customWidth="1"/>
    <col min="9734" max="9734" width="29.375" style="2917" customWidth="1"/>
    <col min="9735" max="9735" width="7.875" style="2917" customWidth="1"/>
    <col min="9736" max="9736" width="35.375" style="2917" customWidth="1"/>
    <col min="9737" max="9737" width="28" style="2917" customWidth="1"/>
    <col min="9738" max="9739" width="13.875" style="2917" customWidth="1"/>
    <col min="9740" max="9740" width="6.25" style="2917" customWidth="1"/>
    <col min="9741" max="9743" width="9" style="2917" customWidth="1"/>
    <col min="9744" max="9744" width="17.875" style="2917" customWidth="1"/>
    <col min="9745" max="9745" width="45.875" style="2917" customWidth="1"/>
    <col min="9746" max="9747" width="10.625" style="2917" customWidth="1"/>
    <col min="9748" max="9748" width="14.375" style="2917" customWidth="1"/>
    <col min="9749" max="9749" width="6.25" style="2917" customWidth="1"/>
    <col min="9750" max="9984" width="9" style="2917"/>
    <col min="9985" max="9985" width="29.875" style="2917" customWidth="1"/>
    <col min="9986" max="9986" width="6.25" style="2917" customWidth="1"/>
    <col min="9987" max="9987" width="13.875" style="2917" customWidth="1"/>
    <col min="9988" max="9988" width="6.25" style="2917" customWidth="1"/>
    <col min="9989" max="9989" width="4.625" style="2917" customWidth="1"/>
    <col min="9990" max="9990" width="29.375" style="2917" customWidth="1"/>
    <col min="9991" max="9991" width="7.875" style="2917" customWidth="1"/>
    <col min="9992" max="9992" width="35.375" style="2917" customWidth="1"/>
    <col min="9993" max="9993" width="28" style="2917" customWidth="1"/>
    <col min="9994" max="9995" width="13.875" style="2917" customWidth="1"/>
    <col min="9996" max="9996" width="6.25" style="2917" customWidth="1"/>
    <col min="9997" max="9999" width="9" style="2917" customWidth="1"/>
    <col min="10000" max="10000" width="17.875" style="2917" customWidth="1"/>
    <col min="10001" max="10001" width="45.875" style="2917" customWidth="1"/>
    <col min="10002" max="10003" width="10.625" style="2917" customWidth="1"/>
    <col min="10004" max="10004" width="14.375" style="2917" customWidth="1"/>
    <col min="10005" max="10005" width="6.25" style="2917" customWidth="1"/>
    <col min="10006" max="10240" width="9" style="2917"/>
    <col min="10241" max="10241" width="29.875" style="2917" customWidth="1"/>
    <col min="10242" max="10242" width="6.25" style="2917" customWidth="1"/>
    <col min="10243" max="10243" width="13.875" style="2917" customWidth="1"/>
    <col min="10244" max="10244" width="6.25" style="2917" customWidth="1"/>
    <col min="10245" max="10245" width="4.625" style="2917" customWidth="1"/>
    <col min="10246" max="10246" width="29.375" style="2917" customWidth="1"/>
    <col min="10247" max="10247" width="7.875" style="2917" customWidth="1"/>
    <col min="10248" max="10248" width="35.375" style="2917" customWidth="1"/>
    <col min="10249" max="10249" width="28" style="2917" customWidth="1"/>
    <col min="10250" max="10251" width="13.875" style="2917" customWidth="1"/>
    <col min="10252" max="10252" width="6.25" style="2917" customWidth="1"/>
    <col min="10253" max="10255" width="9" style="2917" customWidth="1"/>
    <col min="10256" max="10256" width="17.875" style="2917" customWidth="1"/>
    <col min="10257" max="10257" width="45.875" style="2917" customWidth="1"/>
    <col min="10258" max="10259" width="10.625" style="2917" customWidth="1"/>
    <col min="10260" max="10260" width="14.375" style="2917" customWidth="1"/>
    <col min="10261" max="10261" width="6.25" style="2917" customWidth="1"/>
    <col min="10262" max="10496" width="9" style="2917"/>
    <col min="10497" max="10497" width="29.875" style="2917" customWidth="1"/>
    <col min="10498" max="10498" width="6.25" style="2917" customWidth="1"/>
    <col min="10499" max="10499" width="13.875" style="2917" customWidth="1"/>
    <col min="10500" max="10500" width="6.25" style="2917" customWidth="1"/>
    <col min="10501" max="10501" width="4.625" style="2917" customWidth="1"/>
    <col min="10502" max="10502" width="29.375" style="2917" customWidth="1"/>
    <col min="10503" max="10503" width="7.875" style="2917" customWidth="1"/>
    <col min="10504" max="10504" width="35.375" style="2917" customWidth="1"/>
    <col min="10505" max="10505" width="28" style="2917" customWidth="1"/>
    <col min="10506" max="10507" width="13.875" style="2917" customWidth="1"/>
    <col min="10508" max="10508" width="6.25" style="2917" customWidth="1"/>
    <col min="10509" max="10511" width="9" style="2917" customWidth="1"/>
    <col min="10512" max="10512" width="17.875" style="2917" customWidth="1"/>
    <col min="10513" max="10513" width="45.875" style="2917" customWidth="1"/>
    <col min="10514" max="10515" width="10.625" style="2917" customWidth="1"/>
    <col min="10516" max="10516" width="14.375" style="2917" customWidth="1"/>
    <col min="10517" max="10517" width="6.25" style="2917" customWidth="1"/>
    <col min="10518" max="10752" width="9" style="2917"/>
    <col min="10753" max="10753" width="29.875" style="2917" customWidth="1"/>
    <col min="10754" max="10754" width="6.25" style="2917" customWidth="1"/>
    <col min="10755" max="10755" width="13.875" style="2917" customWidth="1"/>
    <col min="10756" max="10756" width="6.25" style="2917" customWidth="1"/>
    <col min="10757" max="10757" width="4.625" style="2917" customWidth="1"/>
    <col min="10758" max="10758" width="29.375" style="2917" customWidth="1"/>
    <col min="10759" max="10759" width="7.875" style="2917" customWidth="1"/>
    <col min="10760" max="10760" width="35.375" style="2917" customWidth="1"/>
    <col min="10761" max="10761" width="28" style="2917" customWidth="1"/>
    <col min="10762" max="10763" width="13.875" style="2917" customWidth="1"/>
    <col min="10764" max="10764" width="6.25" style="2917" customWidth="1"/>
    <col min="10765" max="10767" width="9" style="2917" customWidth="1"/>
    <col min="10768" max="10768" width="17.875" style="2917" customWidth="1"/>
    <col min="10769" max="10769" width="45.875" style="2917" customWidth="1"/>
    <col min="10770" max="10771" width="10.625" style="2917" customWidth="1"/>
    <col min="10772" max="10772" width="14.375" style="2917" customWidth="1"/>
    <col min="10773" max="10773" width="6.25" style="2917" customWidth="1"/>
    <col min="10774" max="11008" width="9" style="2917"/>
    <col min="11009" max="11009" width="29.875" style="2917" customWidth="1"/>
    <col min="11010" max="11010" width="6.25" style="2917" customWidth="1"/>
    <col min="11011" max="11011" width="13.875" style="2917" customWidth="1"/>
    <col min="11012" max="11012" width="6.25" style="2917" customWidth="1"/>
    <col min="11013" max="11013" width="4.625" style="2917" customWidth="1"/>
    <col min="11014" max="11014" width="29.375" style="2917" customWidth="1"/>
    <col min="11015" max="11015" width="7.875" style="2917" customWidth="1"/>
    <col min="11016" max="11016" width="35.375" style="2917" customWidth="1"/>
    <col min="11017" max="11017" width="28" style="2917" customWidth="1"/>
    <col min="11018" max="11019" width="13.875" style="2917" customWidth="1"/>
    <col min="11020" max="11020" width="6.25" style="2917" customWidth="1"/>
    <col min="11021" max="11023" width="9" style="2917" customWidth="1"/>
    <col min="11024" max="11024" width="17.875" style="2917" customWidth="1"/>
    <col min="11025" max="11025" width="45.875" style="2917" customWidth="1"/>
    <col min="11026" max="11027" width="10.625" style="2917" customWidth="1"/>
    <col min="11028" max="11028" width="14.375" style="2917" customWidth="1"/>
    <col min="11029" max="11029" width="6.25" style="2917" customWidth="1"/>
    <col min="11030" max="11264" width="9" style="2917"/>
    <col min="11265" max="11265" width="29.875" style="2917" customWidth="1"/>
    <col min="11266" max="11266" width="6.25" style="2917" customWidth="1"/>
    <col min="11267" max="11267" width="13.875" style="2917" customWidth="1"/>
    <col min="11268" max="11268" width="6.25" style="2917" customWidth="1"/>
    <col min="11269" max="11269" width="4.625" style="2917" customWidth="1"/>
    <col min="11270" max="11270" width="29.375" style="2917" customWidth="1"/>
    <col min="11271" max="11271" width="7.875" style="2917" customWidth="1"/>
    <col min="11272" max="11272" width="35.375" style="2917" customWidth="1"/>
    <col min="11273" max="11273" width="28" style="2917" customWidth="1"/>
    <col min="11274" max="11275" width="13.875" style="2917" customWidth="1"/>
    <col min="11276" max="11276" width="6.25" style="2917" customWidth="1"/>
    <col min="11277" max="11279" width="9" style="2917" customWidth="1"/>
    <col min="11280" max="11280" width="17.875" style="2917" customWidth="1"/>
    <col min="11281" max="11281" width="45.875" style="2917" customWidth="1"/>
    <col min="11282" max="11283" width="10.625" style="2917" customWidth="1"/>
    <col min="11284" max="11284" width="14.375" style="2917" customWidth="1"/>
    <col min="11285" max="11285" width="6.25" style="2917" customWidth="1"/>
    <col min="11286" max="11520" width="9" style="2917"/>
    <col min="11521" max="11521" width="29.875" style="2917" customWidth="1"/>
    <col min="11522" max="11522" width="6.25" style="2917" customWidth="1"/>
    <col min="11523" max="11523" width="13.875" style="2917" customWidth="1"/>
    <col min="11524" max="11524" width="6.25" style="2917" customWidth="1"/>
    <col min="11525" max="11525" width="4.625" style="2917" customWidth="1"/>
    <col min="11526" max="11526" width="29.375" style="2917" customWidth="1"/>
    <col min="11527" max="11527" width="7.875" style="2917" customWidth="1"/>
    <col min="11528" max="11528" width="35.375" style="2917" customWidth="1"/>
    <col min="11529" max="11529" width="28" style="2917" customWidth="1"/>
    <col min="11530" max="11531" width="13.875" style="2917" customWidth="1"/>
    <col min="11532" max="11532" width="6.25" style="2917" customWidth="1"/>
    <col min="11533" max="11535" width="9" style="2917" customWidth="1"/>
    <col min="11536" max="11536" width="17.875" style="2917" customWidth="1"/>
    <col min="11537" max="11537" width="45.875" style="2917" customWidth="1"/>
    <col min="11538" max="11539" width="10.625" style="2917" customWidth="1"/>
    <col min="11540" max="11540" width="14.375" style="2917" customWidth="1"/>
    <col min="11541" max="11541" width="6.25" style="2917" customWidth="1"/>
    <col min="11542" max="11776" width="9" style="2917"/>
    <col min="11777" max="11777" width="29.875" style="2917" customWidth="1"/>
    <col min="11778" max="11778" width="6.25" style="2917" customWidth="1"/>
    <col min="11779" max="11779" width="13.875" style="2917" customWidth="1"/>
    <col min="11780" max="11780" width="6.25" style="2917" customWidth="1"/>
    <col min="11781" max="11781" width="4.625" style="2917" customWidth="1"/>
    <col min="11782" max="11782" width="29.375" style="2917" customWidth="1"/>
    <col min="11783" max="11783" width="7.875" style="2917" customWidth="1"/>
    <col min="11784" max="11784" width="35.375" style="2917" customWidth="1"/>
    <col min="11785" max="11785" width="28" style="2917" customWidth="1"/>
    <col min="11786" max="11787" width="13.875" style="2917" customWidth="1"/>
    <col min="11788" max="11788" width="6.25" style="2917" customWidth="1"/>
    <col min="11789" max="11791" width="9" style="2917" customWidth="1"/>
    <col min="11792" max="11792" width="17.875" style="2917" customWidth="1"/>
    <col min="11793" max="11793" width="45.875" style="2917" customWidth="1"/>
    <col min="11794" max="11795" width="10.625" style="2917" customWidth="1"/>
    <col min="11796" max="11796" width="14.375" style="2917" customWidth="1"/>
    <col min="11797" max="11797" width="6.25" style="2917" customWidth="1"/>
    <col min="11798" max="12032" width="9" style="2917"/>
    <col min="12033" max="12033" width="29.875" style="2917" customWidth="1"/>
    <col min="12034" max="12034" width="6.25" style="2917" customWidth="1"/>
    <col min="12035" max="12035" width="13.875" style="2917" customWidth="1"/>
    <col min="12036" max="12036" width="6.25" style="2917" customWidth="1"/>
    <col min="12037" max="12037" width="4.625" style="2917" customWidth="1"/>
    <col min="12038" max="12038" width="29.375" style="2917" customWidth="1"/>
    <col min="12039" max="12039" width="7.875" style="2917" customWidth="1"/>
    <col min="12040" max="12040" width="35.375" style="2917" customWidth="1"/>
    <col min="12041" max="12041" width="28" style="2917" customWidth="1"/>
    <col min="12042" max="12043" width="13.875" style="2917" customWidth="1"/>
    <col min="12044" max="12044" width="6.25" style="2917" customWidth="1"/>
    <col min="12045" max="12047" width="9" style="2917" customWidth="1"/>
    <col min="12048" max="12048" width="17.875" style="2917" customWidth="1"/>
    <col min="12049" max="12049" width="45.875" style="2917" customWidth="1"/>
    <col min="12050" max="12051" width="10.625" style="2917" customWidth="1"/>
    <col min="12052" max="12052" width="14.375" style="2917" customWidth="1"/>
    <col min="12053" max="12053" width="6.25" style="2917" customWidth="1"/>
    <col min="12054" max="12288" width="9" style="2917"/>
    <col min="12289" max="12289" width="29.875" style="2917" customWidth="1"/>
    <col min="12290" max="12290" width="6.25" style="2917" customWidth="1"/>
    <col min="12291" max="12291" width="13.875" style="2917" customWidth="1"/>
    <col min="12292" max="12292" width="6.25" style="2917" customWidth="1"/>
    <col min="12293" max="12293" width="4.625" style="2917" customWidth="1"/>
    <col min="12294" max="12294" width="29.375" style="2917" customWidth="1"/>
    <col min="12295" max="12295" width="7.875" style="2917" customWidth="1"/>
    <col min="12296" max="12296" width="35.375" style="2917" customWidth="1"/>
    <col min="12297" max="12297" width="28" style="2917" customWidth="1"/>
    <col min="12298" max="12299" width="13.875" style="2917" customWidth="1"/>
    <col min="12300" max="12300" width="6.25" style="2917" customWidth="1"/>
    <col min="12301" max="12303" width="9" style="2917" customWidth="1"/>
    <col min="12304" max="12304" width="17.875" style="2917" customWidth="1"/>
    <col min="12305" max="12305" width="45.875" style="2917" customWidth="1"/>
    <col min="12306" max="12307" width="10.625" style="2917" customWidth="1"/>
    <col min="12308" max="12308" width="14.375" style="2917" customWidth="1"/>
    <col min="12309" max="12309" width="6.25" style="2917" customWidth="1"/>
    <col min="12310" max="12544" width="9" style="2917"/>
    <col min="12545" max="12545" width="29.875" style="2917" customWidth="1"/>
    <col min="12546" max="12546" width="6.25" style="2917" customWidth="1"/>
    <col min="12547" max="12547" width="13.875" style="2917" customWidth="1"/>
    <col min="12548" max="12548" width="6.25" style="2917" customWidth="1"/>
    <col min="12549" max="12549" width="4.625" style="2917" customWidth="1"/>
    <col min="12550" max="12550" width="29.375" style="2917" customWidth="1"/>
    <col min="12551" max="12551" width="7.875" style="2917" customWidth="1"/>
    <col min="12552" max="12552" width="35.375" style="2917" customWidth="1"/>
    <col min="12553" max="12553" width="28" style="2917" customWidth="1"/>
    <col min="12554" max="12555" width="13.875" style="2917" customWidth="1"/>
    <col min="12556" max="12556" width="6.25" style="2917" customWidth="1"/>
    <col min="12557" max="12559" width="9" style="2917" customWidth="1"/>
    <col min="12560" max="12560" width="17.875" style="2917" customWidth="1"/>
    <col min="12561" max="12561" width="45.875" style="2917" customWidth="1"/>
    <col min="12562" max="12563" width="10.625" style="2917" customWidth="1"/>
    <col min="12564" max="12564" width="14.375" style="2917" customWidth="1"/>
    <col min="12565" max="12565" width="6.25" style="2917" customWidth="1"/>
    <col min="12566" max="12800" width="9" style="2917"/>
    <col min="12801" max="12801" width="29.875" style="2917" customWidth="1"/>
    <col min="12802" max="12802" width="6.25" style="2917" customWidth="1"/>
    <col min="12803" max="12803" width="13.875" style="2917" customWidth="1"/>
    <col min="12804" max="12804" width="6.25" style="2917" customWidth="1"/>
    <col min="12805" max="12805" width="4.625" style="2917" customWidth="1"/>
    <col min="12806" max="12806" width="29.375" style="2917" customWidth="1"/>
    <col min="12807" max="12807" width="7.875" style="2917" customWidth="1"/>
    <col min="12808" max="12808" width="35.375" style="2917" customWidth="1"/>
    <col min="12809" max="12809" width="28" style="2917" customWidth="1"/>
    <col min="12810" max="12811" width="13.875" style="2917" customWidth="1"/>
    <col min="12812" max="12812" width="6.25" style="2917" customWidth="1"/>
    <col min="12813" max="12815" width="9" style="2917" customWidth="1"/>
    <col min="12816" max="12816" width="17.875" style="2917" customWidth="1"/>
    <col min="12817" max="12817" width="45.875" style="2917" customWidth="1"/>
    <col min="12818" max="12819" width="10.625" style="2917" customWidth="1"/>
    <col min="12820" max="12820" width="14.375" style="2917" customWidth="1"/>
    <col min="12821" max="12821" width="6.25" style="2917" customWidth="1"/>
    <col min="12822" max="13056" width="9" style="2917"/>
    <col min="13057" max="13057" width="29.875" style="2917" customWidth="1"/>
    <col min="13058" max="13058" width="6.25" style="2917" customWidth="1"/>
    <col min="13059" max="13059" width="13.875" style="2917" customWidth="1"/>
    <col min="13060" max="13060" width="6.25" style="2917" customWidth="1"/>
    <col min="13061" max="13061" width="4.625" style="2917" customWidth="1"/>
    <col min="13062" max="13062" width="29.375" style="2917" customWidth="1"/>
    <col min="13063" max="13063" width="7.875" style="2917" customWidth="1"/>
    <col min="13064" max="13064" width="35.375" style="2917" customWidth="1"/>
    <col min="13065" max="13065" width="28" style="2917" customWidth="1"/>
    <col min="13066" max="13067" width="13.875" style="2917" customWidth="1"/>
    <col min="13068" max="13068" width="6.25" style="2917" customWidth="1"/>
    <col min="13069" max="13071" width="9" style="2917" customWidth="1"/>
    <col min="13072" max="13072" width="17.875" style="2917" customWidth="1"/>
    <col min="13073" max="13073" width="45.875" style="2917" customWidth="1"/>
    <col min="13074" max="13075" width="10.625" style="2917" customWidth="1"/>
    <col min="13076" max="13076" width="14.375" style="2917" customWidth="1"/>
    <col min="13077" max="13077" width="6.25" style="2917" customWidth="1"/>
    <col min="13078" max="13312" width="9" style="2917"/>
    <col min="13313" max="13313" width="29.875" style="2917" customWidth="1"/>
    <col min="13314" max="13314" width="6.25" style="2917" customWidth="1"/>
    <col min="13315" max="13315" width="13.875" style="2917" customWidth="1"/>
    <col min="13316" max="13316" width="6.25" style="2917" customWidth="1"/>
    <col min="13317" max="13317" width="4.625" style="2917" customWidth="1"/>
    <col min="13318" max="13318" width="29.375" style="2917" customWidth="1"/>
    <col min="13319" max="13319" width="7.875" style="2917" customWidth="1"/>
    <col min="13320" max="13320" width="35.375" style="2917" customWidth="1"/>
    <col min="13321" max="13321" width="28" style="2917" customWidth="1"/>
    <col min="13322" max="13323" width="13.875" style="2917" customWidth="1"/>
    <col min="13324" max="13324" width="6.25" style="2917" customWidth="1"/>
    <col min="13325" max="13327" width="9" style="2917" customWidth="1"/>
    <col min="13328" max="13328" width="17.875" style="2917" customWidth="1"/>
    <col min="13329" max="13329" width="45.875" style="2917" customWidth="1"/>
    <col min="13330" max="13331" width="10.625" style="2917" customWidth="1"/>
    <col min="13332" max="13332" width="14.375" style="2917" customWidth="1"/>
    <col min="13333" max="13333" width="6.25" style="2917" customWidth="1"/>
    <col min="13334" max="13568" width="9" style="2917"/>
    <col min="13569" max="13569" width="29.875" style="2917" customWidth="1"/>
    <col min="13570" max="13570" width="6.25" style="2917" customWidth="1"/>
    <col min="13571" max="13571" width="13.875" style="2917" customWidth="1"/>
    <col min="13572" max="13572" width="6.25" style="2917" customWidth="1"/>
    <col min="13573" max="13573" width="4.625" style="2917" customWidth="1"/>
    <col min="13574" max="13574" width="29.375" style="2917" customWidth="1"/>
    <col min="13575" max="13575" width="7.875" style="2917" customWidth="1"/>
    <col min="13576" max="13576" width="35.375" style="2917" customWidth="1"/>
    <col min="13577" max="13577" width="28" style="2917" customWidth="1"/>
    <col min="13578" max="13579" width="13.875" style="2917" customWidth="1"/>
    <col min="13580" max="13580" width="6.25" style="2917" customWidth="1"/>
    <col min="13581" max="13583" width="9" style="2917" customWidth="1"/>
    <col min="13584" max="13584" width="17.875" style="2917" customWidth="1"/>
    <col min="13585" max="13585" width="45.875" style="2917" customWidth="1"/>
    <col min="13586" max="13587" width="10.625" style="2917" customWidth="1"/>
    <col min="13588" max="13588" width="14.375" style="2917" customWidth="1"/>
    <col min="13589" max="13589" width="6.25" style="2917" customWidth="1"/>
    <col min="13590" max="13824" width="9" style="2917"/>
    <col min="13825" max="13825" width="29.875" style="2917" customWidth="1"/>
    <col min="13826" max="13826" width="6.25" style="2917" customWidth="1"/>
    <col min="13827" max="13827" width="13.875" style="2917" customWidth="1"/>
    <col min="13828" max="13828" width="6.25" style="2917" customWidth="1"/>
    <col min="13829" max="13829" width="4.625" style="2917" customWidth="1"/>
    <col min="13830" max="13830" width="29.375" style="2917" customWidth="1"/>
    <col min="13831" max="13831" width="7.875" style="2917" customWidth="1"/>
    <col min="13832" max="13832" width="35.375" style="2917" customWidth="1"/>
    <col min="13833" max="13833" width="28" style="2917" customWidth="1"/>
    <col min="13834" max="13835" width="13.875" style="2917" customWidth="1"/>
    <col min="13836" max="13836" width="6.25" style="2917" customWidth="1"/>
    <col min="13837" max="13839" width="9" style="2917" customWidth="1"/>
    <col min="13840" max="13840" width="17.875" style="2917" customWidth="1"/>
    <col min="13841" max="13841" width="45.875" style="2917" customWidth="1"/>
    <col min="13842" max="13843" width="10.625" style="2917" customWidth="1"/>
    <col min="13844" max="13844" width="14.375" style="2917" customWidth="1"/>
    <col min="13845" max="13845" width="6.25" style="2917" customWidth="1"/>
    <col min="13846" max="14080" width="9" style="2917"/>
    <col min="14081" max="14081" width="29.875" style="2917" customWidth="1"/>
    <col min="14082" max="14082" width="6.25" style="2917" customWidth="1"/>
    <col min="14083" max="14083" width="13.875" style="2917" customWidth="1"/>
    <col min="14084" max="14084" width="6.25" style="2917" customWidth="1"/>
    <col min="14085" max="14085" width="4.625" style="2917" customWidth="1"/>
    <col min="14086" max="14086" width="29.375" style="2917" customWidth="1"/>
    <col min="14087" max="14087" width="7.875" style="2917" customWidth="1"/>
    <col min="14088" max="14088" width="35.375" style="2917" customWidth="1"/>
    <col min="14089" max="14089" width="28" style="2917" customWidth="1"/>
    <col min="14090" max="14091" width="13.875" style="2917" customWidth="1"/>
    <col min="14092" max="14092" width="6.25" style="2917" customWidth="1"/>
    <col min="14093" max="14095" width="9" style="2917" customWidth="1"/>
    <col min="14096" max="14096" width="17.875" style="2917" customWidth="1"/>
    <col min="14097" max="14097" width="45.875" style="2917" customWidth="1"/>
    <col min="14098" max="14099" width="10.625" style="2917" customWidth="1"/>
    <col min="14100" max="14100" width="14.375" style="2917" customWidth="1"/>
    <col min="14101" max="14101" width="6.25" style="2917" customWidth="1"/>
    <col min="14102" max="14336" width="9" style="2917"/>
    <col min="14337" max="14337" width="29.875" style="2917" customWidth="1"/>
    <col min="14338" max="14338" width="6.25" style="2917" customWidth="1"/>
    <col min="14339" max="14339" width="13.875" style="2917" customWidth="1"/>
    <col min="14340" max="14340" width="6.25" style="2917" customWidth="1"/>
    <col min="14341" max="14341" width="4.625" style="2917" customWidth="1"/>
    <col min="14342" max="14342" width="29.375" style="2917" customWidth="1"/>
    <col min="14343" max="14343" width="7.875" style="2917" customWidth="1"/>
    <col min="14344" max="14344" width="35.375" style="2917" customWidth="1"/>
    <col min="14345" max="14345" width="28" style="2917" customWidth="1"/>
    <col min="14346" max="14347" width="13.875" style="2917" customWidth="1"/>
    <col min="14348" max="14348" width="6.25" style="2917" customWidth="1"/>
    <col min="14349" max="14351" width="9" style="2917" customWidth="1"/>
    <col min="14352" max="14352" width="17.875" style="2917" customWidth="1"/>
    <col min="14353" max="14353" width="45.875" style="2917" customWidth="1"/>
    <col min="14354" max="14355" width="10.625" style="2917" customWidth="1"/>
    <col min="14356" max="14356" width="14.375" style="2917" customWidth="1"/>
    <col min="14357" max="14357" width="6.25" style="2917" customWidth="1"/>
    <col min="14358" max="14592" width="9" style="2917"/>
    <col min="14593" max="14593" width="29.875" style="2917" customWidth="1"/>
    <col min="14594" max="14594" width="6.25" style="2917" customWidth="1"/>
    <col min="14595" max="14595" width="13.875" style="2917" customWidth="1"/>
    <col min="14596" max="14596" width="6.25" style="2917" customWidth="1"/>
    <col min="14597" max="14597" width="4.625" style="2917" customWidth="1"/>
    <col min="14598" max="14598" width="29.375" style="2917" customWidth="1"/>
    <col min="14599" max="14599" width="7.875" style="2917" customWidth="1"/>
    <col min="14600" max="14600" width="35.375" style="2917" customWidth="1"/>
    <col min="14601" max="14601" width="28" style="2917" customWidth="1"/>
    <col min="14602" max="14603" width="13.875" style="2917" customWidth="1"/>
    <col min="14604" max="14604" width="6.25" style="2917" customWidth="1"/>
    <col min="14605" max="14607" width="9" style="2917" customWidth="1"/>
    <col min="14608" max="14608" width="17.875" style="2917" customWidth="1"/>
    <col min="14609" max="14609" width="45.875" style="2917" customWidth="1"/>
    <col min="14610" max="14611" width="10.625" style="2917" customWidth="1"/>
    <col min="14612" max="14612" width="14.375" style="2917" customWidth="1"/>
    <col min="14613" max="14613" width="6.25" style="2917" customWidth="1"/>
    <col min="14614" max="14848" width="9" style="2917"/>
    <col min="14849" max="14849" width="29.875" style="2917" customWidth="1"/>
    <col min="14850" max="14850" width="6.25" style="2917" customWidth="1"/>
    <col min="14851" max="14851" width="13.875" style="2917" customWidth="1"/>
    <col min="14852" max="14852" width="6.25" style="2917" customWidth="1"/>
    <col min="14853" max="14853" width="4.625" style="2917" customWidth="1"/>
    <col min="14854" max="14854" width="29.375" style="2917" customWidth="1"/>
    <col min="14855" max="14855" width="7.875" style="2917" customWidth="1"/>
    <col min="14856" max="14856" width="35.375" style="2917" customWidth="1"/>
    <col min="14857" max="14857" width="28" style="2917" customWidth="1"/>
    <col min="14858" max="14859" width="13.875" style="2917" customWidth="1"/>
    <col min="14860" max="14860" width="6.25" style="2917" customWidth="1"/>
    <col min="14861" max="14863" width="9" style="2917" customWidth="1"/>
    <col min="14864" max="14864" width="17.875" style="2917" customWidth="1"/>
    <col min="14865" max="14865" width="45.875" style="2917" customWidth="1"/>
    <col min="14866" max="14867" width="10.625" style="2917" customWidth="1"/>
    <col min="14868" max="14868" width="14.375" style="2917" customWidth="1"/>
    <col min="14869" max="14869" width="6.25" style="2917" customWidth="1"/>
    <col min="14870" max="15104" width="9" style="2917"/>
    <col min="15105" max="15105" width="29.875" style="2917" customWidth="1"/>
    <col min="15106" max="15106" width="6.25" style="2917" customWidth="1"/>
    <col min="15107" max="15107" width="13.875" style="2917" customWidth="1"/>
    <col min="15108" max="15108" width="6.25" style="2917" customWidth="1"/>
    <col min="15109" max="15109" width="4.625" style="2917" customWidth="1"/>
    <col min="15110" max="15110" width="29.375" style="2917" customWidth="1"/>
    <col min="15111" max="15111" width="7.875" style="2917" customWidth="1"/>
    <col min="15112" max="15112" width="35.375" style="2917" customWidth="1"/>
    <col min="15113" max="15113" width="28" style="2917" customWidth="1"/>
    <col min="15114" max="15115" width="13.875" style="2917" customWidth="1"/>
    <col min="15116" max="15116" width="6.25" style="2917" customWidth="1"/>
    <col min="15117" max="15119" width="9" style="2917" customWidth="1"/>
    <col min="15120" max="15120" width="17.875" style="2917" customWidth="1"/>
    <col min="15121" max="15121" width="45.875" style="2917" customWidth="1"/>
    <col min="15122" max="15123" width="10.625" style="2917" customWidth="1"/>
    <col min="15124" max="15124" width="14.375" style="2917" customWidth="1"/>
    <col min="15125" max="15125" width="6.25" style="2917" customWidth="1"/>
    <col min="15126" max="15360" width="9" style="2917"/>
    <col min="15361" max="15361" width="29.875" style="2917" customWidth="1"/>
    <col min="15362" max="15362" width="6.25" style="2917" customWidth="1"/>
    <col min="15363" max="15363" width="13.875" style="2917" customWidth="1"/>
    <col min="15364" max="15364" width="6.25" style="2917" customWidth="1"/>
    <col min="15365" max="15365" width="4.625" style="2917" customWidth="1"/>
    <col min="15366" max="15366" width="29.375" style="2917" customWidth="1"/>
    <col min="15367" max="15367" width="7.875" style="2917" customWidth="1"/>
    <col min="15368" max="15368" width="35.375" style="2917" customWidth="1"/>
    <col min="15369" max="15369" width="28" style="2917" customWidth="1"/>
    <col min="15370" max="15371" width="13.875" style="2917" customWidth="1"/>
    <col min="15372" max="15372" width="6.25" style="2917" customWidth="1"/>
    <col min="15373" max="15375" width="9" style="2917" customWidth="1"/>
    <col min="15376" max="15376" width="17.875" style="2917" customWidth="1"/>
    <col min="15377" max="15377" width="45.875" style="2917" customWidth="1"/>
    <col min="15378" max="15379" width="10.625" style="2917" customWidth="1"/>
    <col min="15380" max="15380" width="14.375" style="2917" customWidth="1"/>
    <col min="15381" max="15381" width="6.25" style="2917" customWidth="1"/>
    <col min="15382" max="15616" width="9" style="2917"/>
    <col min="15617" max="15617" width="29.875" style="2917" customWidth="1"/>
    <col min="15618" max="15618" width="6.25" style="2917" customWidth="1"/>
    <col min="15619" max="15619" width="13.875" style="2917" customWidth="1"/>
    <col min="15620" max="15620" width="6.25" style="2917" customWidth="1"/>
    <col min="15621" max="15621" width="4.625" style="2917" customWidth="1"/>
    <col min="15622" max="15622" width="29.375" style="2917" customWidth="1"/>
    <col min="15623" max="15623" width="7.875" style="2917" customWidth="1"/>
    <col min="15624" max="15624" width="35.375" style="2917" customWidth="1"/>
    <col min="15625" max="15625" width="28" style="2917" customWidth="1"/>
    <col min="15626" max="15627" width="13.875" style="2917" customWidth="1"/>
    <col min="15628" max="15628" width="6.25" style="2917" customWidth="1"/>
    <col min="15629" max="15631" width="9" style="2917" customWidth="1"/>
    <col min="15632" max="15632" width="17.875" style="2917" customWidth="1"/>
    <col min="15633" max="15633" width="45.875" style="2917" customWidth="1"/>
    <col min="15634" max="15635" width="10.625" style="2917" customWidth="1"/>
    <col min="15636" max="15636" width="14.375" style="2917" customWidth="1"/>
    <col min="15637" max="15637" width="6.25" style="2917" customWidth="1"/>
    <col min="15638" max="15872" width="9" style="2917"/>
    <col min="15873" max="15873" width="29.875" style="2917" customWidth="1"/>
    <col min="15874" max="15874" width="6.25" style="2917" customWidth="1"/>
    <col min="15875" max="15875" width="13.875" style="2917" customWidth="1"/>
    <col min="15876" max="15876" width="6.25" style="2917" customWidth="1"/>
    <col min="15877" max="15877" width="4.625" style="2917" customWidth="1"/>
    <col min="15878" max="15878" width="29.375" style="2917" customWidth="1"/>
    <col min="15879" max="15879" width="7.875" style="2917" customWidth="1"/>
    <col min="15880" max="15880" width="35.375" style="2917" customWidth="1"/>
    <col min="15881" max="15881" width="28" style="2917" customWidth="1"/>
    <col min="15882" max="15883" width="13.875" style="2917" customWidth="1"/>
    <col min="15884" max="15884" width="6.25" style="2917" customWidth="1"/>
    <col min="15885" max="15887" width="9" style="2917" customWidth="1"/>
    <col min="15888" max="15888" width="17.875" style="2917" customWidth="1"/>
    <col min="15889" max="15889" width="45.875" style="2917" customWidth="1"/>
    <col min="15890" max="15891" width="10.625" style="2917" customWidth="1"/>
    <col min="15892" max="15892" width="14.375" style="2917" customWidth="1"/>
    <col min="15893" max="15893" width="6.25" style="2917" customWidth="1"/>
    <col min="15894" max="16128" width="9" style="2917"/>
    <col min="16129" max="16129" width="29.875" style="2917" customWidth="1"/>
    <col min="16130" max="16130" width="6.25" style="2917" customWidth="1"/>
    <col min="16131" max="16131" width="13.875" style="2917" customWidth="1"/>
    <col min="16132" max="16132" width="6.25" style="2917" customWidth="1"/>
    <col min="16133" max="16133" width="4.625" style="2917" customWidth="1"/>
    <col min="16134" max="16134" width="29.375" style="2917" customWidth="1"/>
    <col min="16135" max="16135" width="7.875" style="2917" customWidth="1"/>
    <col min="16136" max="16136" width="35.375" style="2917" customWidth="1"/>
    <col min="16137" max="16137" width="28" style="2917" customWidth="1"/>
    <col min="16138" max="16139" width="13.875" style="2917" customWidth="1"/>
    <col min="16140" max="16140" width="6.25" style="2917" customWidth="1"/>
    <col min="16141" max="16143" width="9" style="2917" customWidth="1"/>
    <col min="16144" max="16144" width="17.875" style="2917" customWidth="1"/>
    <col min="16145" max="16145" width="45.875" style="2917" customWidth="1"/>
    <col min="16146" max="16147" width="10.625" style="2917" customWidth="1"/>
    <col min="16148" max="16148" width="14.375" style="2917" customWidth="1"/>
    <col min="16149" max="16149" width="6.25" style="2917" customWidth="1"/>
    <col min="16150" max="16384" width="9" style="2917"/>
  </cols>
  <sheetData>
    <row r="1" spans="1:21">
      <c r="A1" s="2917" t="s">
        <v>3000</v>
      </c>
      <c r="B1" s="2917" t="s">
        <v>3001</v>
      </c>
      <c r="C1" s="2917" t="s">
        <v>3002</v>
      </c>
      <c r="D1" s="2917" t="s">
        <v>3059</v>
      </c>
      <c r="E1" s="2917" t="s">
        <v>3060</v>
      </c>
      <c r="F1" s="2917" t="s">
        <v>3061</v>
      </c>
      <c r="G1" s="2917" t="s">
        <v>3005</v>
      </c>
      <c r="H1" s="2917" t="s">
        <v>3062</v>
      </c>
      <c r="I1" s="2917" t="s">
        <v>3063</v>
      </c>
      <c r="J1" s="2917" t="s">
        <v>3003</v>
      </c>
      <c r="K1" s="2917" t="s">
        <v>3004</v>
      </c>
      <c r="L1" s="2917" t="s">
        <v>2033</v>
      </c>
      <c r="M1" s="2917" t="s">
        <v>3064</v>
      </c>
      <c r="N1" s="2917" t="s">
        <v>3006</v>
      </c>
      <c r="O1" s="2917" t="s">
        <v>3065</v>
      </c>
      <c r="P1" s="2917" t="s">
        <v>3066</v>
      </c>
      <c r="Q1" s="2917" t="s">
        <v>3011</v>
      </c>
      <c r="R1" s="2917" t="s">
        <v>3007</v>
      </c>
      <c r="S1" s="2917" t="s">
        <v>3008</v>
      </c>
      <c r="T1" s="2917" t="s">
        <v>3009</v>
      </c>
      <c r="U1" s="2917" t="s">
        <v>3010</v>
      </c>
    </row>
    <row r="2" spans="1:21">
      <c r="A2" s="2917" t="s">
        <v>3012</v>
      </c>
      <c r="B2" s="2917" t="s">
        <v>3013</v>
      </c>
      <c r="C2" s="2917" t="s">
        <v>3014</v>
      </c>
      <c r="D2" s="2917" t="s">
        <v>3067</v>
      </c>
      <c r="E2" s="2917" t="s">
        <v>2819</v>
      </c>
      <c r="F2" s="2917" t="s">
        <v>3012</v>
      </c>
      <c r="G2" s="2917" t="s">
        <v>3016</v>
      </c>
      <c r="H2" s="2917" t="s">
        <v>3068</v>
      </c>
      <c r="I2" s="2917" t="s">
        <v>3069</v>
      </c>
      <c r="J2" s="2917">
        <v>15324.39</v>
      </c>
      <c r="K2" s="2917">
        <v>61010</v>
      </c>
      <c r="L2" s="2917" t="s">
        <v>3015</v>
      </c>
      <c r="M2" s="2917" t="s">
        <v>3070</v>
      </c>
      <c r="N2" s="2917" t="s">
        <v>3017</v>
      </c>
      <c r="O2" s="2917" t="s">
        <v>3017</v>
      </c>
      <c r="P2" s="2917" t="s">
        <v>3071</v>
      </c>
      <c r="Q2" s="2917" t="s">
        <v>3018</v>
      </c>
      <c r="R2" s="2917">
        <v>90000</v>
      </c>
      <c r="S2" s="2917">
        <v>117000</v>
      </c>
      <c r="T2" s="2917">
        <v>19177.18</v>
      </c>
      <c r="U2" s="2917">
        <v>30</v>
      </c>
    </row>
    <row r="3" spans="1:21" s="3176" customFormat="1">
      <c r="A3" s="3176" t="s">
        <v>3019</v>
      </c>
      <c r="B3" s="3176" t="s">
        <v>3013</v>
      </c>
      <c r="C3" s="3176" t="s">
        <v>3014</v>
      </c>
      <c r="D3" s="3176" t="s">
        <v>3072</v>
      </c>
      <c r="E3" s="3176" t="s">
        <v>2819</v>
      </c>
      <c r="F3" s="3176" t="s">
        <v>3019</v>
      </c>
      <c r="G3" s="3176" t="s">
        <v>3016</v>
      </c>
      <c r="H3" s="3176" t="s">
        <v>3073</v>
      </c>
      <c r="I3" s="3176" t="s">
        <v>3069</v>
      </c>
      <c r="J3" s="3176">
        <v>18280.46</v>
      </c>
      <c r="K3" s="3176">
        <v>91400</v>
      </c>
      <c r="L3" s="3176" t="s">
        <v>3020</v>
      </c>
      <c r="M3" s="3176" t="s">
        <v>2819</v>
      </c>
      <c r="N3" s="3176" t="s">
        <v>3021</v>
      </c>
      <c r="O3" s="3176" t="s">
        <v>3021</v>
      </c>
      <c r="P3" s="3176" t="s">
        <v>2819</v>
      </c>
      <c r="Q3" s="3176" t="s">
        <v>3022</v>
      </c>
      <c r="R3" s="3176">
        <v>58600</v>
      </c>
      <c r="S3" s="3176">
        <v>58600</v>
      </c>
      <c r="T3" s="3176">
        <v>6411.38</v>
      </c>
      <c r="U3" s="3176">
        <v>0</v>
      </c>
    </row>
    <row r="4" spans="1:21" s="3176" customFormat="1">
      <c r="A4" s="3176" t="s">
        <v>3023</v>
      </c>
      <c r="B4" s="3176" t="s">
        <v>3013</v>
      </c>
      <c r="C4" s="3176" t="s">
        <v>3014</v>
      </c>
      <c r="D4" s="3176" t="s">
        <v>3072</v>
      </c>
      <c r="E4" s="3176" t="s">
        <v>2819</v>
      </c>
      <c r="F4" s="3176" t="s">
        <v>3023</v>
      </c>
      <c r="G4" s="3176" t="s">
        <v>3016</v>
      </c>
      <c r="H4" s="3176" t="s">
        <v>3074</v>
      </c>
      <c r="I4" s="3176" t="s">
        <v>3069</v>
      </c>
      <c r="J4" s="3176">
        <v>6895.47</v>
      </c>
      <c r="K4" s="3176">
        <v>31020</v>
      </c>
      <c r="L4" s="3176" t="s">
        <v>3024</v>
      </c>
      <c r="M4" s="3176" t="s">
        <v>3075</v>
      </c>
      <c r="N4" s="3176" t="s">
        <v>3021</v>
      </c>
      <c r="O4" s="3176" t="s">
        <v>3021</v>
      </c>
      <c r="P4" s="3176" t="s">
        <v>3076</v>
      </c>
      <c r="Q4" s="3176" t="s">
        <v>3022</v>
      </c>
      <c r="R4" s="3176">
        <v>25000</v>
      </c>
      <c r="S4" s="3176">
        <v>32500</v>
      </c>
      <c r="T4" s="3176">
        <v>10477.11</v>
      </c>
      <c r="U4" s="3176">
        <v>30</v>
      </c>
    </row>
    <row r="5" spans="1:21" s="3176" customFormat="1">
      <c r="A5" s="3176" t="s">
        <v>3025</v>
      </c>
      <c r="B5" s="3176" t="s">
        <v>3013</v>
      </c>
      <c r="C5" s="3176" t="s">
        <v>3014</v>
      </c>
      <c r="D5" s="3176" t="s">
        <v>3067</v>
      </c>
      <c r="E5" s="3176" t="s">
        <v>2819</v>
      </c>
      <c r="F5" s="3176" t="s">
        <v>3025</v>
      </c>
      <c r="G5" s="3176" t="s">
        <v>3016</v>
      </c>
      <c r="H5" s="3176" t="s">
        <v>3077</v>
      </c>
      <c r="I5" s="3176" t="s">
        <v>3078</v>
      </c>
      <c r="J5" s="3176">
        <v>20041.919999999998</v>
      </c>
      <c r="K5" s="3176">
        <v>90180</v>
      </c>
      <c r="L5" s="3176" t="s">
        <v>3024</v>
      </c>
      <c r="M5" s="3176" t="s">
        <v>3079</v>
      </c>
      <c r="N5" s="3176" t="s">
        <v>3026</v>
      </c>
      <c r="O5" s="3176" t="s">
        <v>3026</v>
      </c>
      <c r="P5" s="3176" t="s">
        <v>3080</v>
      </c>
      <c r="Q5" s="3176" t="s">
        <v>3022</v>
      </c>
      <c r="R5" s="3176">
        <v>77700</v>
      </c>
      <c r="S5" s="3176">
        <v>101000</v>
      </c>
      <c r="T5" s="3176">
        <v>11199.81</v>
      </c>
      <c r="U5" s="3176">
        <v>29.99</v>
      </c>
    </row>
    <row r="6" spans="1:21">
      <c r="A6" s="2917" t="s">
        <v>3027</v>
      </c>
      <c r="B6" s="2917" t="s">
        <v>3013</v>
      </c>
      <c r="C6" s="2917" t="s">
        <v>3028</v>
      </c>
      <c r="D6" s="2917" t="s">
        <v>3067</v>
      </c>
      <c r="E6" s="2917" t="s">
        <v>2819</v>
      </c>
      <c r="F6" s="2917" t="s">
        <v>3027</v>
      </c>
      <c r="G6" s="2917" t="s">
        <v>3029</v>
      </c>
      <c r="H6" s="2917" t="s">
        <v>3081</v>
      </c>
      <c r="I6" s="2917" t="s">
        <v>3082</v>
      </c>
      <c r="J6" s="2917">
        <v>35673.14</v>
      </c>
      <c r="K6" s="2917">
        <v>146000</v>
      </c>
      <c r="L6" s="2917">
        <v>4.09</v>
      </c>
      <c r="M6" s="2917" t="s">
        <v>3083</v>
      </c>
      <c r="N6" s="2917" t="s">
        <v>3030</v>
      </c>
      <c r="O6" s="2917" t="s">
        <v>3030</v>
      </c>
      <c r="P6" s="2917" t="s">
        <v>3084</v>
      </c>
      <c r="Q6" s="2917" t="s">
        <v>3031</v>
      </c>
      <c r="R6" s="2917" t="s">
        <v>2819</v>
      </c>
      <c r="S6" s="2917">
        <v>829000</v>
      </c>
      <c r="T6" s="2917">
        <v>56780.81</v>
      </c>
      <c r="U6" s="2917" t="s">
        <v>2819</v>
      </c>
    </row>
    <row r="7" spans="1:21">
      <c r="A7" s="2917" t="s">
        <v>3032</v>
      </c>
      <c r="B7" s="2917" t="s">
        <v>3013</v>
      </c>
      <c r="C7" s="2917" t="s">
        <v>3014</v>
      </c>
      <c r="D7" s="2917" t="s">
        <v>3067</v>
      </c>
      <c r="E7" s="2917" t="s">
        <v>2819</v>
      </c>
      <c r="F7" s="2917" t="s">
        <v>3032</v>
      </c>
      <c r="G7" s="2917" t="s">
        <v>3016</v>
      </c>
      <c r="H7" s="2917" t="s">
        <v>3085</v>
      </c>
      <c r="I7" s="2917" t="s">
        <v>3014</v>
      </c>
      <c r="J7" s="2917">
        <v>46646.77</v>
      </c>
      <c r="K7" s="2917">
        <v>186500</v>
      </c>
      <c r="L7" s="2917" t="s">
        <v>3033</v>
      </c>
      <c r="M7" s="2917" t="s">
        <v>3086</v>
      </c>
      <c r="N7" s="2917" t="s">
        <v>3034</v>
      </c>
      <c r="O7" s="2917" t="s">
        <v>3034</v>
      </c>
      <c r="P7" s="2917" t="s">
        <v>3087</v>
      </c>
      <c r="Q7" s="2917" t="s">
        <v>3035</v>
      </c>
      <c r="R7" s="2917">
        <v>252500</v>
      </c>
      <c r="S7" s="2917">
        <v>468000</v>
      </c>
      <c r="T7" s="2917">
        <v>25093.83</v>
      </c>
      <c r="U7" s="2917">
        <v>85.35</v>
      </c>
    </row>
    <row r="8" spans="1:21">
      <c r="A8" s="2917" t="s">
        <v>3036</v>
      </c>
      <c r="B8" s="2917" t="s">
        <v>3013</v>
      </c>
      <c r="C8" s="2917" t="s">
        <v>3014</v>
      </c>
      <c r="D8" s="2917" t="s">
        <v>3067</v>
      </c>
      <c r="E8" s="2917" t="s">
        <v>2819</v>
      </c>
      <c r="F8" s="2917" t="s">
        <v>3036</v>
      </c>
      <c r="G8" s="2917" t="s">
        <v>3016</v>
      </c>
      <c r="H8" s="2917" t="s">
        <v>3088</v>
      </c>
      <c r="I8" s="2917" t="s">
        <v>3089</v>
      </c>
      <c r="J8" s="2917">
        <v>52460.08</v>
      </c>
      <c r="K8" s="2917">
        <v>262300</v>
      </c>
      <c r="L8" s="2917">
        <v>5</v>
      </c>
      <c r="M8" s="2917" t="s">
        <v>3090</v>
      </c>
      <c r="N8" s="2917" t="s">
        <v>3037</v>
      </c>
      <c r="O8" s="2917" t="s">
        <v>3037</v>
      </c>
      <c r="P8" s="2917" t="s">
        <v>3091</v>
      </c>
      <c r="Q8" s="2917" t="s">
        <v>3038</v>
      </c>
      <c r="R8" s="2917">
        <v>200000</v>
      </c>
      <c r="S8" s="2917">
        <v>382000</v>
      </c>
      <c r="T8" s="2917">
        <v>14563.47</v>
      </c>
      <c r="U8" s="2917">
        <v>91</v>
      </c>
    </row>
    <row r="9" spans="1:21">
      <c r="A9" s="2917" t="s">
        <v>3036</v>
      </c>
      <c r="B9" s="2917" t="s">
        <v>3013</v>
      </c>
      <c r="C9" s="2917" t="s">
        <v>3028</v>
      </c>
      <c r="D9" s="2917" t="s">
        <v>3067</v>
      </c>
      <c r="E9" s="2917" t="s">
        <v>2819</v>
      </c>
      <c r="F9" s="2917" t="s">
        <v>3036</v>
      </c>
      <c r="G9" s="2917" t="s">
        <v>3016</v>
      </c>
      <c r="H9" s="2917" t="s">
        <v>3092</v>
      </c>
      <c r="I9" s="2917" t="s">
        <v>3093</v>
      </c>
      <c r="J9" s="2917">
        <v>5882.23</v>
      </c>
      <c r="K9" s="2917">
        <v>23520</v>
      </c>
      <c r="L9" s="2917" t="s">
        <v>2819</v>
      </c>
      <c r="M9" s="2917" t="s">
        <v>2819</v>
      </c>
      <c r="N9" s="2917" t="s">
        <v>3039</v>
      </c>
      <c r="O9" s="2917" t="s">
        <v>3039</v>
      </c>
      <c r="P9" s="2917" t="s">
        <v>2819</v>
      </c>
      <c r="Q9" s="2917" t="s">
        <v>3040</v>
      </c>
      <c r="R9" s="2917">
        <v>8000</v>
      </c>
      <c r="S9" s="2917">
        <v>13600</v>
      </c>
      <c r="T9" s="2917">
        <v>5782.31</v>
      </c>
      <c r="U9" s="2917">
        <v>70</v>
      </c>
    </row>
    <row r="10" spans="1:21">
      <c r="A10" s="2917" t="s">
        <v>3041</v>
      </c>
      <c r="B10" s="2917" t="s">
        <v>3013</v>
      </c>
      <c r="C10" s="2917" t="s">
        <v>3014</v>
      </c>
      <c r="D10" s="2917" t="s">
        <v>3067</v>
      </c>
      <c r="E10" s="2917" t="s">
        <v>2819</v>
      </c>
      <c r="F10" s="2917" t="s">
        <v>3094</v>
      </c>
      <c r="G10" s="2917" t="s">
        <v>3016</v>
      </c>
      <c r="H10" s="2917" t="s">
        <v>3095</v>
      </c>
      <c r="I10" s="2917" t="s">
        <v>3096</v>
      </c>
      <c r="J10" s="2917">
        <v>89401.23</v>
      </c>
      <c r="K10" s="2917">
        <v>206167</v>
      </c>
      <c r="L10" s="2917" t="s">
        <v>2819</v>
      </c>
      <c r="M10" s="2917" t="s">
        <v>2819</v>
      </c>
      <c r="N10" s="2917" t="s">
        <v>3042</v>
      </c>
      <c r="O10" s="2917" t="s">
        <v>3042</v>
      </c>
      <c r="P10" s="2917" t="s">
        <v>2819</v>
      </c>
      <c r="Q10" s="2917" t="s">
        <v>3043</v>
      </c>
      <c r="R10" s="2917">
        <v>197715</v>
      </c>
      <c r="S10" s="2917">
        <v>197715</v>
      </c>
      <c r="T10" s="2917">
        <v>9590.0400000000009</v>
      </c>
      <c r="U10" s="2917">
        <v>0</v>
      </c>
    </row>
    <row r="11" spans="1:21">
      <c r="A11" s="2917" t="s">
        <v>3044</v>
      </c>
      <c r="B11" s="2917" t="s">
        <v>3013</v>
      </c>
      <c r="C11" s="2917" t="s">
        <v>3014</v>
      </c>
      <c r="D11" s="2917" t="s">
        <v>3072</v>
      </c>
      <c r="E11" s="2917" t="s">
        <v>2819</v>
      </c>
      <c r="F11" s="2917" t="s">
        <v>3044</v>
      </c>
      <c r="G11" s="2917" t="s">
        <v>3045</v>
      </c>
      <c r="H11" s="2917" t="s">
        <v>3097</v>
      </c>
      <c r="I11" s="2917" t="s">
        <v>3098</v>
      </c>
      <c r="J11" s="2917">
        <v>35182.11</v>
      </c>
      <c r="K11" s="2917">
        <v>105546</v>
      </c>
      <c r="L11" s="2917">
        <v>3</v>
      </c>
      <c r="M11" s="2917" t="s">
        <v>2819</v>
      </c>
      <c r="N11" s="2917" t="s">
        <v>3046</v>
      </c>
      <c r="O11" s="2917" t="s">
        <v>3046</v>
      </c>
      <c r="P11" s="2917" t="s">
        <v>2819</v>
      </c>
      <c r="Q11" s="2917" t="s">
        <v>3047</v>
      </c>
      <c r="R11" s="2917">
        <v>6784</v>
      </c>
      <c r="S11" s="2917">
        <v>6784</v>
      </c>
      <c r="T11" s="2917">
        <v>642.75</v>
      </c>
      <c r="U11" s="2917">
        <v>0</v>
      </c>
    </row>
    <row r="12" spans="1:21">
      <c r="A12" s="2917" t="s">
        <v>3048</v>
      </c>
      <c r="B12" s="2917" t="s">
        <v>3013</v>
      </c>
      <c r="C12" s="2917" t="s">
        <v>3014</v>
      </c>
      <c r="D12" s="2917" t="s">
        <v>3072</v>
      </c>
      <c r="E12" s="2917" t="s">
        <v>2819</v>
      </c>
      <c r="F12" s="2917" t="s">
        <v>3048</v>
      </c>
      <c r="G12" s="2917" t="s">
        <v>3016</v>
      </c>
      <c r="H12" s="2917" t="s">
        <v>3099</v>
      </c>
      <c r="I12" s="2917" t="s">
        <v>3098</v>
      </c>
      <c r="J12" s="2917">
        <v>48655.01</v>
      </c>
      <c r="K12" s="2917">
        <v>204350</v>
      </c>
      <c r="L12" s="2917">
        <v>4.2</v>
      </c>
      <c r="M12" s="2917" t="s">
        <v>2819</v>
      </c>
      <c r="N12" s="2917" t="s">
        <v>3049</v>
      </c>
      <c r="O12" s="2917" t="s">
        <v>3049</v>
      </c>
      <c r="P12" s="2917" t="s">
        <v>2819</v>
      </c>
      <c r="Q12" s="2917" t="s">
        <v>3038</v>
      </c>
      <c r="R12" s="2917">
        <v>62000</v>
      </c>
      <c r="S12" s="2917">
        <v>62000</v>
      </c>
      <c r="T12" s="2917">
        <v>3034.01</v>
      </c>
      <c r="U12" s="2917">
        <v>0</v>
      </c>
    </row>
    <row r="13" spans="1:21">
      <c r="A13" s="2917" t="s">
        <v>3050</v>
      </c>
      <c r="B13" s="2917" t="s">
        <v>3013</v>
      </c>
      <c r="C13" s="2917" t="s">
        <v>3014</v>
      </c>
      <c r="D13" s="2917" t="s">
        <v>3072</v>
      </c>
      <c r="E13" s="2917" t="s">
        <v>2819</v>
      </c>
      <c r="F13" s="2917" t="s">
        <v>3050</v>
      </c>
      <c r="G13" s="2917" t="s">
        <v>3045</v>
      </c>
      <c r="H13" s="2917" t="s">
        <v>3100</v>
      </c>
      <c r="I13" s="2917" t="s">
        <v>3096</v>
      </c>
      <c r="J13" s="2917">
        <v>46776.52</v>
      </c>
      <c r="K13" s="2917">
        <v>149700</v>
      </c>
      <c r="L13" s="2917">
        <v>3.2</v>
      </c>
      <c r="M13" s="2917" t="s">
        <v>2819</v>
      </c>
      <c r="N13" s="2917" t="s">
        <v>3051</v>
      </c>
      <c r="O13" s="2917" t="s">
        <v>3051</v>
      </c>
      <c r="P13" s="2917" t="s">
        <v>2819</v>
      </c>
      <c r="Q13" s="2917" t="s">
        <v>3052</v>
      </c>
      <c r="R13" s="2917">
        <v>60000</v>
      </c>
      <c r="S13" s="2917">
        <v>94500</v>
      </c>
      <c r="T13" s="2917">
        <v>6312.63</v>
      </c>
      <c r="U13" s="2917">
        <v>57.5</v>
      </c>
    </row>
    <row r="14" spans="1:21">
      <c r="A14" s="2917" t="s">
        <v>3053</v>
      </c>
      <c r="B14" s="2917" t="s">
        <v>3013</v>
      </c>
      <c r="C14" s="2917" t="s">
        <v>3014</v>
      </c>
      <c r="D14" s="2917" t="s">
        <v>3072</v>
      </c>
      <c r="E14" s="2917" t="s">
        <v>2819</v>
      </c>
      <c r="F14" s="2917" t="s">
        <v>3053</v>
      </c>
      <c r="G14" s="2917" t="s">
        <v>3045</v>
      </c>
      <c r="H14" s="2917" t="s">
        <v>3101</v>
      </c>
      <c r="I14" s="2917" t="s">
        <v>3096</v>
      </c>
      <c r="J14" s="2917">
        <v>39316.080000000002</v>
      </c>
      <c r="K14" s="2917">
        <v>117950</v>
      </c>
      <c r="L14" s="2917">
        <v>3</v>
      </c>
      <c r="M14" s="2917" t="s">
        <v>2819</v>
      </c>
      <c r="N14" s="2917" t="s">
        <v>3054</v>
      </c>
      <c r="O14" s="2917" t="s">
        <v>3054</v>
      </c>
      <c r="P14" s="2917" t="s">
        <v>2819</v>
      </c>
      <c r="Q14" s="2917" t="s">
        <v>3055</v>
      </c>
      <c r="R14" s="2917">
        <v>41000</v>
      </c>
      <c r="S14" s="2917">
        <v>64500</v>
      </c>
      <c r="T14" s="2917">
        <v>5468.42</v>
      </c>
      <c r="U14" s="2917">
        <v>57.32</v>
      </c>
    </row>
    <row r="15" spans="1:21">
      <c r="A15" s="2917" t="s">
        <v>3056</v>
      </c>
      <c r="B15" s="2917" t="s">
        <v>3013</v>
      </c>
      <c r="C15" s="2917" t="s">
        <v>3014</v>
      </c>
      <c r="D15" s="2917" t="s">
        <v>3072</v>
      </c>
      <c r="E15" s="2917" t="s">
        <v>2819</v>
      </c>
      <c r="F15" s="2917" t="s">
        <v>3056</v>
      </c>
      <c r="G15" s="2917" t="s">
        <v>3016</v>
      </c>
      <c r="H15" s="2917" t="s">
        <v>3102</v>
      </c>
      <c r="I15" s="2917" t="s">
        <v>923</v>
      </c>
      <c r="J15" s="2917">
        <v>39059.760000000002</v>
      </c>
      <c r="K15" s="2917">
        <v>155459</v>
      </c>
      <c r="L15" s="2917">
        <v>4</v>
      </c>
      <c r="M15" s="2917" t="s">
        <v>2819</v>
      </c>
      <c r="N15" s="2917" t="s">
        <v>3057</v>
      </c>
      <c r="O15" s="2917" t="s">
        <v>3057</v>
      </c>
      <c r="P15" s="2917" t="s">
        <v>2819</v>
      </c>
      <c r="Q15" s="2917" t="s">
        <v>3058</v>
      </c>
      <c r="R15" s="2917">
        <v>26365.59</v>
      </c>
      <c r="S15" s="2917">
        <v>80000</v>
      </c>
      <c r="T15" s="2917">
        <v>5146.05</v>
      </c>
      <c r="U15" s="2917">
        <v>203.43</v>
      </c>
    </row>
    <row r="16" spans="1:21">
      <c r="A16" s="2917" t="s">
        <v>3056</v>
      </c>
      <c r="B16" s="2917" t="s">
        <v>3013</v>
      </c>
      <c r="C16" s="2917" t="s">
        <v>3014</v>
      </c>
      <c r="D16" s="2917" t="s">
        <v>3072</v>
      </c>
      <c r="E16" s="2917" t="s">
        <v>2819</v>
      </c>
      <c r="F16" s="2917" t="s">
        <v>3056</v>
      </c>
      <c r="G16" s="2917" t="s">
        <v>3016</v>
      </c>
      <c r="H16" s="2917" t="s">
        <v>3103</v>
      </c>
      <c r="I16" s="2917" t="s">
        <v>923</v>
      </c>
      <c r="J16" s="2917">
        <v>38666.230000000003</v>
      </c>
      <c r="K16" s="2917">
        <v>153890</v>
      </c>
      <c r="L16" s="2917">
        <v>4</v>
      </c>
      <c r="M16" s="2917" t="s">
        <v>2819</v>
      </c>
      <c r="N16" s="2917" t="s">
        <v>3057</v>
      </c>
      <c r="O16" s="2917" t="s">
        <v>3057</v>
      </c>
      <c r="P16" s="2917" t="s">
        <v>2819</v>
      </c>
      <c r="Q16" s="2917" t="s">
        <v>3058</v>
      </c>
      <c r="R16" s="2917">
        <v>26634.400000000001</v>
      </c>
      <c r="S16" s="2917">
        <v>80000</v>
      </c>
      <c r="T16" s="2917">
        <v>5198.5200000000004</v>
      </c>
      <c r="U16" s="2917">
        <v>200.36</v>
      </c>
    </row>
    <row r="17" spans="1:8" ht="14.25" thickBot="1"/>
    <row r="18" spans="1:8" ht="14.25">
      <c r="A18" s="3190" t="s">
        <v>3123</v>
      </c>
      <c r="B18" s="3191"/>
      <c r="C18" s="3191"/>
      <c r="D18" s="3192"/>
      <c r="E18" s="3202"/>
      <c r="F18" s="3203" t="s">
        <v>3124</v>
      </c>
      <c r="G18" s="3191"/>
      <c r="H18" s="3192"/>
    </row>
    <row r="19" spans="1:8" ht="17.25" thickBot="1">
      <c r="A19" s="3193" t="s">
        <v>3119</v>
      </c>
      <c r="B19" s="3184" t="s">
        <v>3120</v>
      </c>
      <c r="C19" s="3184" t="s">
        <v>3121</v>
      </c>
      <c r="D19" s="3194" t="s">
        <v>3122</v>
      </c>
      <c r="E19" s="3204" t="s">
        <v>3119</v>
      </c>
      <c r="F19" s="3187" t="s">
        <v>3120</v>
      </c>
      <c r="G19" s="3187" t="s">
        <v>3121</v>
      </c>
      <c r="H19" s="3205" t="s">
        <v>3122</v>
      </c>
    </row>
    <row r="20" spans="1:8" ht="16.5">
      <c r="A20" s="3195">
        <v>2017.3</v>
      </c>
      <c r="B20" s="3185">
        <v>49735</v>
      </c>
      <c r="C20" s="3185">
        <v>2.27</v>
      </c>
      <c r="D20" s="3196"/>
      <c r="E20" s="3206">
        <v>2017.3</v>
      </c>
      <c r="F20" s="3188">
        <v>44766</v>
      </c>
      <c r="G20" s="3188">
        <v>1.29</v>
      </c>
      <c r="H20" s="3207"/>
    </row>
    <row r="21" spans="1:8" ht="16.5">
      <c r="A21" s="3197">
        <v>2017.4</v>
      </c>
      <c r="B21" s="3186">
        <v>50397</v>
      </c>
      <c r="C21" s="3186">
        <v>1.33</v>
      </c>
      <c r="D21" s="3198"/>
      <c r="E21" s="3208">
        <v>2017.4</v>
      </c>
      <c r="F21" s="3189">
        <v>45047</v>
      </c>
      <c r="G21" s="3189">
        <v>0.63</v>
      </c>
      <c r="H21" s="3209"/>
    </row>
    <row r="22" spans="1:8" ht="16.5">
      <c r="A22" s="3195">
        <v>2018.1</v>
      </c>
      <c r="B22" s="3185">
        <v>50826</v>
      </c>
      <c r="C22" s="3185">
        <v>0.85</v>
      </c>
      <c r="D22" s="3196"/>
      <c r="E22" s="3206">
        <v>2018.1</v>
      </c>
      <c r="F22" s="3188">
        <v>45359</v>
      </c>
      <c r="G22" s="3188">
        <v>0.69</v>
      </c>
      <c r="H22" s="3207"/>
    </row>
    <row r="23" spans="1:8" ht="16.5">
      <c r="A23" s="3197">
        <v>2018.2</v>
      </c>
      <c r="B23" s="3186">
        <v>51063</v>
      </c>
      <c r="C23" s="3186">
        <v>0.47</v>
      </c>
      <c r="D23" s="3198"/>
      <c r="E23" s="3208">
        <v>2018.2</v>
      </c>
      <c r="F23" s="3189">
        <v>45503</v>
      </c>
      <c r="G23" s="3189">
        <v>0.32</v>
      </c>
      <c r="H23" s="3209"/>
    </row>
    <row r="24" spans="1:8" ht="17.25" thickBot="1">
      <c r="A24" s="3199">
        <v>2018.3</v>
      </c>
      <c r="B24" s="3200">
        <v>52202</v>
      </c>
      <c r="C24" s="3200">
        <v>2.23</v>
      </c>
      <c r="D24" s="3201"/>
      <c r="E24" s="3210">
        <v>2018.3</v>
      </c>
      <c r="F24" s="3211">
        <v>46439</v>
      </c>
      <c r="G24" s="3211">
        <v>2.06</v>
      </c>
      <c r="H24" s="3201"/>
    </row>
  </sheetData>
  <phoneticPr fontId="228" type="noConversion"/>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5"/>
  <sheetViews>
    <sheetView topLeftCell="A40" zoomScale="85" zoomScaleNormal="85" workbookViewId="0">
      <selection activeCell="M36" sqref="M36"/>
    </sheetView>
  </sheetViews>
  <sheetFormatPr defaultRowHeight="13.5"/>
  <sheetData>
    <row r="45" spans="1:1">
      <c r="A45" s="3218" t="s">
        <v>3126</v>
      </c>
    </row>
  </sheetData>
  <phoneticPr fontId="228" type="noConversion"/>
  <hyperlinks>
    <hyperlink ref="A45" r:id="rId1"/>
  </hyperlinks>
  <pageMargins left="0.7" right="0.7" top="0.75" bottom="0.75" header="0.3" footer="0.3"/>
  <pageSetup paperSize="0" orientation="portrait" horizontalDpi="0" verticalDpi="0" copies="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6" t="s">
        <v>2039</v>
      </c>
      <c r="B1" s="3236"/>
      <c r="C1" s="3236"/>
      <c r="D1" s="3236"/>
      <c r="E1" s="3236"/>
      <c r="F1" s="3236"/>
      <c r="G1" s="3236"/>
      <c r="H1" s="3236"/>
      <c r="I1" s="3236"/>
      <c r="J1" s="3236"/>
      <c r="K1" s="3236"/>
      <c r="L1" s="3236"/>
      <c r="M1" s="3236"/>
      <c r="N1" s="3236"/>
      <c r="O1" s="3236"/>
      <c r="P1" s="3236"/>
      <c r="Q1" s="3236"/>
      <c r="R1" s="3236"/>
    </row>
    <row r="2" spans="1:18">
      <c r="A2" s="1806" t="s">
        <v>2041</v>
      </c>
      <c r="B2" s="1806"/>
      <c r="C2" s="1806"/>
      <c r="D2" s="1806"/>
      <c r="E2" s="1806"/>
      <c r="F2" s="1806"/>
      <c r="G2" s="1806"/>
      <c r="H2" s="1806"/>
      <c r="I2" s="1807"/>
      <c r="J2" s="1807"/>
      <c r="K2" s="1808" t="str">
        <f>"估价期日："&amp;TEXT(项目基本情况!D3,"yyyy年m月d日;;")</f>
        <v>估价期日：2019年1月24日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37" t="s">
        <v>2030</v>
      </c>
      <c r="B3" s="3237" t="s">
        <v>2732</v>
      </c>
      <c r="C3" s="3238" t="s">
        <v>2031</v>
      </c>
      <c r="D3" s="3237" t="s">
        <v>2736</v>
      </c>
      <c r="E3" s="3240" t="s">
        <v>2032</v>
      </c>
      <c r="F3" s="3240"/>
      <c r="G3" s="3240"/>
      <c r="H3" s="3240" t="s">
        <v>2033</v>
      </c>
      <c r="I3" s="3240"/>
      <c r="J3" s="3240"/>
      <c r="K3" s="3238" t="s">
        <v>2034</v>
      </c>
      <c r="L3" s="3238" t="s">
        <v>2035</v>
      </c>
      <c r="M3" s="3237" t="s">
        <v>2733</v>
      </c>
      <c r="N3" s="3239" t="str">
        <f>"（分摊）"&amp;项目基本情况!B16&amp;"国有建设用地使用权面积/㎡"</f>
        <v>（分摊）出让国有建设用地使用权面积/㎡</v>
      </c>
      <c r="O3" s="3237" t="s">
        <v>2064</v>
      </c>
      <c r="P3" s="3238" t="s">
        <v>2044</v>
      </c>
      <c r="Q3" s="3238" t="s">
        <v>2065</v>
      </c>
      <c r="R3" s="3238" t="s">
        <v>2036</v>
      </c>
    </row>
    <row r="4" spans="1:18" ht="36.75" customHeight="1">
      <c r="A4" s="3237"/>
      <c r="B4" s="3237"/>
      <c r="C4" s="3238"/>
      <c r="D4" s="3237"/>
      <c r="E4" s="2627" t="s">
        <v>2043</v>
      </c>
      <c r="F4" s="2627" t="s">
        <v>2745</v>
      </c>
      <c r="G4" s="2627" t="s">
        <v>2037</v>
      </c>
      <c r="H4" s="2627" t="s">
        <v>2038</v>
      </c>
      <c r="I4" s="2627" t="s">
        <v>2746</v>
      </c>
      <c r="J4" s="2627" t="s">
        <v>2037</v>
      </c>
      <c r="K4" s="3238"/>
      <c r="L4" s="3238"/>
      <c r="M4" s="3237"/>
      <c r="N4" s="3239"/>
      <c r="O4" s="3237"/>
      <c r="P4" s="3238"/>
      <c r="Q4" s="3238"/>
      <c r="R4" s="3238"/>
    </row>
    <row r="5" spans="1:18" ht="135" customHeight="1">
      <c r="A5" s="1942" t="s">
        <v>2656</v>
      </c>
      <c r="B5" s="2845" t="s">
        <v>2654</v>
      </c>
      <c r="C5" s="2626">
        <v>22</v>
      </c>
      <c r="D5" s="2625" t="s">
        <v>2655</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27818.76</v>
      </c>
      <c r="O5" s="1809">
        <f>项目基本情况!C21</f>
        <v>180817</v>
      </c>
      <c r="P5" s="1809">
        <f ca="1">结果表!E42</f>
        <v>144240</v>
      </c>
      <c r="Q5" s="1809">
        <f ca="1">结果表!D42</f>
        <v>22191</v>
      </c>
      <c r="R5" s="1810">
        <f ca="1">结果表!C42</f>
        <v>401259</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811" t="str">
        <f>结果表!O39</f>
        <v>——</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811" t="str">
        <f>结果表!O40</f>
        <v>——</v>
      </c>
    </row>
    <row r="8" spans="1:18">
      <c r="A8" s="3241">
        <f>IF(项目基本情况!B9="市场价格","——",项目基本情况!E9)</f>
        <v>0</v>
      </c>
      <c r="B8" s="3242"/>
      <c r="C8" s="3242"/>
      <c r="D8" s="3242"/>
      <c r="E8" s="3242"/>
      <c r="F8" s="3242"/>
      <c r="G8" s="3242"/>
      <c r="H8" s="3242"/>
      <c r="I8" s="3242"/>
      <c r="J8" s="3242"/>
      <c r="K8" s="3242"/>
      <c r="L8" s="3242"/>
      <c r="M8" s="3242"/>
      <c r="N8" s="3242"/>
      <c r="O8" s="3242"/>
      <c r="P8" s="3242"/>
      <c r="Q8" s="3243"/>
      <c r="R8" s="1811" t="str">
        <f>结果表!O41</f>
        <v>——</v>
      </c>
    </row>
    <row r="9" spans="1:18">
      <c r="A9" s="1812" t="s">
        <v>2042</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2029</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45" t="s">
        <v>2066</v>
      </c>
      <c r="B1" s="3245"/>
      <c r="C1" s="3245"/>
      <c r="D1" s="3245"/>
    </row>
    <row r="2" spans="1:4" ht="47.25" customHeight="1">
      <c r="A2" s="3246" t="str">
        <f>"1.权利限制："&amp;项目基本情况!L24&amp;"未设定租赁等其他他项权利。"</f>
        <v>1.权利限制：根据估价对象《不动产权证书》原件、《国有土地使用权》复印件，截至估价期日，估价对象抵押权未见登记。未设定租赁等其他他项权利。</v>
      </c>
      <c r="B2" s="3246"/>
      <c r="C2" s="3246"/>
      <c r="D2" s="3246"/>
    </row>
    <row r="3" spans="1:4" ht="48" customHeight="1">
      <c r="A3" s="32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4" t="s">
        <v>2067</v>
      </c>
      <c r="B5" s="3244"/>
      <c r="C5" s="3244"/>
      <c r="D5" s="3244"/>
    </row>
    <row r="6" spans="1:4">
      <c r="A6" s="3245" t="s">
        <v>2045</v>
      </c>
      <c r="B6" s="3245"/>
      <c r="C6" s="3245"/>
      <c r="D6" s="3245"/>
    </row>
    <row r="7" spans="1:4" ht="33" customHeight="1">
      <c r="A7" s="3245" t="s">
        <v>2576</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5"/>
      <c r="C8" s="3245"/>
      <c r="D8" s="3245"/>
    </row>
    <row r="9" spans="1:4" ht="33.75" customHeight="1">
      <c r="A9" s="3245" t="str">
        <f>IF(项目基本情况!B8="抵押","3.抵押双方在办理抵押登记手续时，应使用本公司出具的正式《土地估价报告》，特提请报告使用者注意。","——")</f>
        <v>——</v>
      </c>
      <c r="B9" s="3245"/>
      <c r="C9" s="3245"/>
      <c r="D9" s="3245"/>
    </row>
    <row r="10" spans="1:4">
      <c r="A10" s="3245" t="str">
        <f>IF(项目基本情况!B8="抵押","4.估价师所知悉的法定优先受偿款情况为：","——")</f>
        <v>——</v>
      </c>
      <c r="B10" s="3245"/>
      <c r="C10" s="3245"/>
      <c r="D10" s="3245"/>
    </row>
    <row r="11" spans="1:4" ht="37.5" customHeight="1">
      <c r="A11" s="3247" t="str">
        <f>IF(项目基本情况!B8="抵押","（1）"&amp;CONCATENATE(项目基本情况!L24,项目基本情况!L25,项目基本情况!L26),"——")</f>
        <v>——</v>
      </c>
      <c r="B11" s="3247"/>
      <c r="C11" s="3247"/>
      <c r="D11" s="3247"/>
    </row>
    <row r="12" spans="1:4" ht="168" customHeight="1">
      <c r="A12" s="3244" t="s">
        <v>2069</v>
      </c>
      <c r="B12" s="3244"/>
      <c r="C12" s="3244"/>
      <c r="D12" s="3244"/>
    </row>
    <row r="13" spans="1:4">
      <c r="A13" s="3248" t="s">
        <v>2747</v>
      </c>
      <c r="B13" s="3248"/>
      <c r="C13" s="3248"/>
      <c r="D13" s="3248"/>
    </row>
    <row r="14" spans="1:4">
      <c r="A14" s="3247" t="str">
        <f>IF(项目基本情况!B8="抵押","综上，"&amp;结果表!K47,"——")</f>
        <v>——</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2703</v>
      </c>
      <c r="B17" s="3245"/>
      <c r="C17" s="3245"/>
      <c r="D17" s="3245"/>
    </row>
    <row r="18" spans="1:4">
      <c r="A18" s="3245" t="s">
        <v>2695</v>
      </c>
      <c r="B18" s="3245"/>
      <c r="C18" s="3245"/>
      <c r="D18" s="3245"/>
    </row>
    <row r="19" spans="1:4">
      <c r="A19" s="2846" t="s">
        <v>2696</v>
      </c>
      <c r="B19" s="2846" t="s">
        <v>2697</v>
      </c>
      <c r="C19" s="2846" t="s">
        <v>2698</v>
      </c>
      <c r="D19" s="2846" t="s">
        <v>2699</v>
      </c>
    </row>
    <row r="20" spans="1:4">
      <c r="A20" s="2846" t="str">
        <f>项目基本情况!B4</f>
        <v>土地估价师</v>
      </c>
      <c r="B20" s="2846">
        <f>项目基本情况!C4</f>
        <v>0</v>
      </c>
      <c r="C20" s="2848"/>
      <c r="D20" s="1799" t="s">
        <v>2704</v>
      </c>
    </row>
    <row r="21" spans="1:4">
      <c r="A21" s="2846" t="str">
        <f>项目基本情况!D4</f>
        <v>土地估价师</v>
      </c>
      <c r="B21" s="2846">
        <f>项目基本情况!E4</f>
        <v>0</v>
      </c>
      <c r="C21" s="2848"/>
      <c r="D21" s="1799" t="s">
        <v>2705</v>
      </c>
    </row>
    <row r="23" spans="1:4">
      <c r="A23" s="3245" t="s">
        <v>2700</v>
      </c>
      <c r="B23" s="3245"/>
      <c r="C23" s="3245"/>
      <c r="D23" s="3245"/>
    </row>
    <row r="24" spans="1:4">
      <c r="A24" s="2846" t="s">
        <v>2696</v>
      </c>
      <c r="B24" s="2846" t="s">
        <v>2701</v>
      </c>
      <c r="C24" s="2846" t="s">
        <v>2698</v>
      </c>
      <c r="D24" s="2846" t="s">
        <v>2699</v>
      </c>
    </row>
    <row r="25" spans="1:4">
      <c r="A25" s="2849" t="s">
        <v>2702</v>
      </c>
      <c r="B25" s="2846" t="s">
        <v>952</v>
      </c>
      <c r="C25" s="2848"/>
      <c r="D25" s="1799"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6" t="s">
        <v>53</v>
      </c>
      <c r="B15" s="3257" t="s">
        <v>846</v>
      </c>
      <c r="C15" s="3253"/>
    </row>
    <row r="16" spans="1:7" ht="14.25">
      <c r="A16" s="3256"/>
      <c r="B16" s="3254" t="s">
        <v>54</v>
      </c>
      <c r="C16" s="1171" t="s">
        <v>53</v>
      </c>
    </row>
    <row r="17" spans="1:3" ht="14.25">
      <c r="A17" s="3256"/>
      <c r="B17" s="3254"/>
      <c r="C17" s="1171" t="s">
        <v>55</v>
      </c>
    </row>
    <row r="18" spans="1:3" ht="14.25">
      <c r="A18" s="3256"/>
      <c r="B18" s="3254"/>
      <c r="C18" s="1171" t="s">
        <v>56</v>
      </c>
    </row>
    <row r="19" spans="1:3" ht="14.25">
      <c r="A19" s="3256"/>
      <c r="B19" s="3252" t="s">
        <v>57</v>
      </c>
      <c r="C19" s="3253"/>
    </row>
    <row r="20" spans="1:3" ht="14.25">
      <c r="A20" s="1172" t="s">
        <v>58</v>
      </c>
      <c r="B20" s="1173"/>
      <c r="C20" s="1174"/>
    </row>
    <row r="21" spans="1:3" ht="14.25">
      <c r="A21" s="3255" t="s">
        <v>59</v>
      </c>
      <c r="B21" s="3252" t="s">
        <v>60</v>
      </c>
      <c r="C21" s="3253"/>
    </row>
    <row r="22" spans="1:3" ht="14.25">
      <c r="A22" s="3255"/>
      <c r="B22" s="3252" t="s">
        <v>61</v>
      </c>
      <c r="C22" s="3253"/>
    </row>
    <row r="23" spans="1:3" ht="14.25">
      <c r="A23" s="3255"/>
      <c r="B23" s="3252" t="s">
        <v>62</v>
      </c>
      <c r="C23" s="3253"/>
    </row>
    <row r="24" spans="1:3" ht="14.25">
      <c r="A24" s="3255"/>
      <c r="B24" s="3258" t="s">
        <v>63</v>
      </c>
      <c r="C24" s="1175" t="s">
        <v>837</v>
      </c>
    </row>
    <row r="25" spans="1:3" ht="14.25">
      <c r="A25" s="3255"/>
      <c r="B25" s="3259"/>
      <c r="C25" s="1175" t="s">
        <v>838</v>
      </c>
    </row>
    <row r="26" spans="1:3" ht="14.25">
      <c r="A26" s="3255"/>
      <c r="B26" s="3259"/>
      <c r="C26" s="1175" t="s">
        <v>839</v>
      </c>
    </row>
    <row r="27" spans="1:3" ht="14.25">
      <c r="A27" s="3255"/>
      <c r="B27" s="3259"/>
      <c r="C27" s="1175" t="s">
        <v>840</v>
      </c>
    </row>
    <row r="28" spans="1:3" ht="14.25">
      <c r="A28" s="3255"/>
      <c r="B28" s="3259"/>
      <c r="C28" s="1175" t="s">
        <v>841</v>
      </c>
    </row>
    <row r="29" spans="1:3" ht="14.25">
      <c r="A29" s="3255"/>
      <c r="B29" s="3259"/>
      <c r="C29" s="1175" t="s">
        <v>842</v>
      </c>
    </row>
    <row r="30" spans="1:3" ht="14.25">
      <c r="A30" s="3255"/>
      <c r="B30" s="3259"/>
      <c r="C30" s="1175" t="s">
        <v>843</v>
      </c>
    </row>
    <row r="31" spans="1:3" ht="14.25">
      <c r="A31" s="3255"/>
      <c r="B31" s="3259"/>
      <c r="C31" s="1175" t="s">
        <v>844</v>
      </c>
    </row>
    <row r="32" spans="1:3" ht="14.25">
      <c r="A32" s="3255"/>
      <c r="B32" s="3259"/>
      <c r="C32" s="1175" t="s">
        <v>1647</v>
      </c>
    </row>
    <row r="33" spans="1:3" ht="14.25">
      <c r="A33" s="3255"/>
      <c r="B33" s="3249" t="s">
        <v>1653</v>
      </c>
      <c r="C33" s="1175" t="s">
        <v>1648</v>
      </c>
    </row>
    <row r="34" spans="1:3" ht="14.25">
      <c r="A34" s="3255"/>
      <c r="B34" s="3250"/>
      <c r="C34" s="1180" t="s">
        <v>1649</v>
      </c>
    </row>
    <row r="35" spans="1:3" ht="14.25">
      <c r="A35" s="3255"/>
      <c r="B35" s="3250"/>
      <c r="C35" s="1181" t="s">
        <v>1650</v>
      </c>
    </row>
    <row r="36" spans="1:3" ht="14.25">
      <c r="A36" s="3255"/>
      <c r="B36" s="3250"/>
      <c r="C36" s="1181" t="s">
        <v>1651</v>
      </c>
    </row>
    <row r="37" spans="1:3" ht="14.25">
      <c r="A37" s="3255"/>
      <c r="B37" s="3251"/>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4" sqref="C24"/>
    </sheetView>
  </sheetViews>
  <sheetFormatPr defaultColWidth="22.625" defaultRowHeight="20.25" customHeight="1"/>
  <cols>
    <col min="1" max="1" width="24.75" style="3157" customWidth="1"/>
    <col min="2" max="5" width="22.625" style="3157"/>
    <col min="6" max="6" width="25.625" style="3157" customWidth="1"/>
    <col min="7" max="16384" width="22.625" style="3157"/>
  </cols>
  <sheetData>
    <row r="2" spans="1:6" ht="20.25" customHeight="1">
      <c r="A2" s="3154" t="s">
        <v>1908</v>
      </c>
      <c r="B2" s="3155">
        <f ca="1">TODAY()</f>
        <v>43508</v>
      </c>
      <c r="C2" s="3156" t="s">
        <v>1909</v>
      </c>
      <c r="D2" s="3156"/>
    </row>
    <row r="3" spans="1:6" ht="20.25" customHeight="1">
      <c r="A3" s="3158" t="s">
        <v>1910</v>
      </c>
      <c r="B3" s="3159" t="s">
        <v>1911</v>
      </c>
      <c r="C3" s="3159" t="s">
        <v>1912</v>
      </c>
      <c r="D3" s="3160" t="s">
        <v>1913</v>
      </c>
      <c r="E3" s="3159" t="s">
        <v>1914</v>
      </c>
      <c r="F3" s="3159" t="s">
        <v>1912</v>
      </c>
    </row>
    <row r="4" spans="1:6" ht="20.25" customHeight="1">
      <c r="A4" s="3159" t="s">
        <v>1915</v>
      </c>
      <c r="B4" s="3159">
        <f ca="1">IF(C4&lt;B2,"已过期",1119970066)</f>
        <v>1119970066</v>
      </c>
      <c r="C4" s="3161">
        <v>43849</v>
      </c>
      <c r="D4" s="3159" t="s">
        <v>1915</v>
      </c>
      <c r="E4" s="3159">
        <f ca="1">IF(F4&lt;B2,"已过期",96010014)</f>
        <v>96010014</v>
      </c>
      <c r="F4" s="3162">
        <v>47118</v>
      </c>
    </row>
    <row r="5" spans="1:6" ht="20.25" customHeight="1">
      <c r="A5" s="3159" t="s">
        <v>1916</v>
      </c>
      <c r="B5" s="3159">
        <f ca="1">IF(C5&lt;B2,"已过期",1119970074)</f>
        <v>1119970074</v>
      </c>
      <c r="C5" s="3161">
        <v>43849</v>
      </c>
      <c r="D5" s="3159" t="s">
        <v>1916</v>
      </c>
      <c r="E5" s="3159">
        <f ca="1">IF(F5&lt;B2,"已过期",2002110027)</f>
        <v>2002110027</v>
      </c>
      <c r="F5" s="3162">
        <v>46752</v>
      </c>
    </row>
    <row r="6" spans="1:6" ht="20.25" customHeight="1">
      <c r="A6" s="3159" t="s">
        <v>1917</v>
      </c>
      <c r="B6" s="3159">
        <f ca="1">IF(C6&lt;B2,"已过期",1119970111)</f>
        <v>1119970111</v>
      </c>
      <c r="C6" s="3161">
        <v>43849</v>
      </c>
      <c r="D6" s="3159" t="s">
        <v>1917</v>
      </c>
      <c r="E6" s="3159">
        <f ca="1">IF(F6&lt;B2,"已过期",94010078)</f>
        <v>94010078</v>
      </c>
      <c r="F6" s="3162">
        <v>46387</v>
      </c>
    </row>
    <row r="7" spans="1:6" ht="20.25" customHeight="1">
      <c r="A7" s="3159" t="s">
        <v>1918</v>
      </c>
      <c r="B7" s="3159">
        <f ca="1">IF(C7&lt;B2,"已过期",1120050019)</f>
        <v>1120050019</v>
      </c>
      <c r="C7" s="3161">
        <v>44395</v>
      </c>
      <c r="D7" s="3159" t="s">
        <v>1918</v>
      </c>
      <c r="E7" s="3159">
        <f ca="1">IF(F7&lt;B2,"已过期",2002110030)</f>
        <v>2002110030</v>
      </c>
      <c r="F7" s="3162">
        <v>46387</v>
      </c>
    </row>
    <row r="8" spans="1:6" ht="20.25" customHeight="1">
      <c r="A8" s="3159" t="s">
        <v>1919</v>
      </c>
      <c r="B8" s="3159">
        <f ca="1">IF(C8&lt;B2,"已过期",1120000080)</f>
        <v>1120000080</v>
      </c>
      <c r="C8" s="3161">
        <v>43849</v>
      </c>
      <c r="D8" s="3159" t="s">
        <v>1919</v>
      </c>
      <c r="E8" s="3159">
        <f ca="1">IF(F8&lt;B2,"已过期",2000110082)</f>
        <v>2000110082</v>
      </c>
      <c r="F8" s="3162">
        <v>46387</v>
      </c>
    </row>
    <row r="9" spans="1:6" ht="20.25" customHeight="1">
      <c r="A9" s="3159" t="s">
        <v>1920</v>
      </c>
      <c r="B9" s="3159">
        <f ca="1">IF(C9&lt;B2,"已过期",1419970001)</f>
        <v>1419970001</v>
      </c>
      <c r="C9" s="3161">
        <v>43867</v>
      </c>
      <c r="D9" s="3159" t="s">
        <v>1920</v>
      </c>
      <c r="E9" s="3159">
        <f ca="1">IF(F9&lt;B2,"已过期",2002110125)</f>
        <v>2002110125</v>
      </c>
      <c r="F9" s="3162">
        <v>47118</v>
      </c>
    </row>
    <row r="10" spans="1:6" ht="20.25" customHeight="1">
      <c r="A10" s="3159" t="s">
        <v>1921</v>
      </c>
      <c r="B10" s="3159" t="str">
        <f ca="1">IF(C10&lt;B2,"已过期",1120060040)</f>
        <v>已过期</v>
      </c>
      <c r="C10" s="3161">
        <v>43483</v>
      </c>
      <c r="D10" s="3159" t="s">
        <v>1921</v>
      </c>
      <c r="E10" s="3159">
        <f ca="1">IF(F10&lt;B2,"已过期",2004110096)</f>
        <v>2004110096</v>
      </c>
      <c r="F10" s="3162">
        <v>47118</v>
      </c>
    </row>
    <row r="11" spans="1:6" ht="20.25" customHeight="1">
      <c r="A11" s="3159" t="s">
        <v>1922</v>
      </c>
      <c r="B11" s="3159">
        <f ca="1">IF(C11&lt;B2,"已过期",1120100036)</f>
        <v>1120100036</v>
      </c>
      <c r="C11" s="3161">
        <v>43622</v>
      </c>
      <c r="D11" s="3159" t="s">
        <v>1922</v>
      </c>
      <c r="E11" s="3159">
        <f ca="1">IF(F11&lt;B2,"已过期",2010110070)</f>
        <v>2010110070</v>
      </c>
      <c r="F11" s="3162">
        <v>47907</v>
      </c>
    </row>
    <row r="12" spans="1:6" ht="20.25" customHeight="1">
      <c r="A12" s="3159"/>
      <c r="B12" s="3159"/>
      <c r="C12" s="3161"/>
      <c r="D12" s="3159"/>
      <c r="E12" s="3159"/>
      <c r="F12" s="3162"/>
    </row>
    <row r="13" spans="1:6" ht="20.25" customHeight="1">
      <c r="A13" s="3159" t="s">
        <v>1923</v>
      </c>
      <c r="B13" s="3159">
        <f ca="1">IF(C13&lt;B2,"已过期",1120070131)</f>
        <v>1120070131</v>
      </c>
      <c r="C13" s="3161">
        <v>43814</v>
      </c>
      <c r="D13" s="3159" t="s">
        <v>1923</v>
      </c>
      <c r="E13" s="3159">
        <f ca="1">IF(F13&lt;B2,"已过期",2014110011)</f>
        <v>2014110011</v>
      </c>
      <c r="F13" s="3162">
        <v>49302</v>
      </c>
    </row>
    <row r="14" spans="1:6" ht="20.25" customHeight="1">
      <c r="A14" s="3159" t="s">
        <v>2987</v>
      </c>
      <c r="B14" s="3159">
        <f ca="1">IF(C14&lt;B2,"已过期",1120040230)</f>
        <v>1120040230</v>
      </c>
      <c r="C14" s="3163">
        <v>43835</v>
      </c>
      <c r="D14" s="3164" t="s">
        <v>2988</v>
      </c>
      <c r="E14" s="3159">
        <f ca="1">IF(F14&lt;B2,"已过期",98030020)</f>
        <v>98030020</v>
      </c>
      <c r="F14" s="3162">
        <v>47118</v>
      </c>
    </row>
    <row r="15" spans="1:6" ht="20.25" customHeight="1">
      <c r="A15" s="3159" t="s">
        <v>2575</v>
      </c>
      <c r="B15" s="3159">
        <f ca="1">IF(C15&lt;B2,"已过期",1120070085)</f>
        <v>1120070085</v>
      </c>
      <c r="C15" s="3163">
        <v>43814</v>
      </c>
      <c r="D15" s="3159" t="s">
        <v>2989</v>
      </c>
      <c r="E15" s="3159">
        <f ca="1">IF(F15&lt;B2,"已过期",2004110128)</f>
        <v>2004110128</v>
      </c>
      <c r="F15" s="3165">
        <v>47118</v>
      </c>
    </row>
    <row r="16" spans="1:6" ht="20.25" customHeight="1">
      <c r="A16" s="3159" t="s">
        <v>1924</v>
      </c>
      <c r="B16" s="3159">
        <f ca="1">IF(C16&lt;B2,"已过期",1120140022)</f>
        <v>1120140022</v>
      </c>
      <c r="C16" s="3161">
        <v>44029</v>
      </c>
      <c r="D16" s="3159" t="s">
        <v>2990</v>
      </c>
      <c r="E16" s="3159">
        <f ca="1">IF(F16&lt;B2,"已过期",2008110059)</f>
        <v>2008110059</v>
      </c>
      <c r="F16" s="3162">
        <v>47177</v>
      </c>
    </row>
    <row r="17" spans="1:7" ht="20.25" customHeight="1">
      <c r="A17" s="3159"/>
      <c r="B17" s="3159"/>
      <c r="C17" s="3161"/>
      <c r="D17" s="3164" t="s">
        <v>2991</v>
      </c>
      <c r="E17" s="3159">
        <f ca="1">IF(F17&lt;B2,"已过期",2014110076)</f>
        <v>2014110076</v>
      </c>
      <c r="F17" s="3162">
        <v>49302</v>
      </c>
    </row>
    <row r="18" spans="1:7" ht="20.25" customHeight="1">
      <c r="A18" s="3159"/>
      <c r="B18" s="3159"/>
      <c r="C18" s="3161"/>
      <c r="D18" s="3159"/>
      <c r="E18" s="3159"/>
      <c r="F18" s="3162"/>
    </row>
    <row r="19" spans="1:7" ht="20.25" customHeight="1">
      <c r="A19" s="3159"/>
      <c r="B19" s="3159"/>
      <c r="C19" s="3161"/>
      <c r="D19" s="3159"/>
      <c r="E19" s="3159"/>
      <c r="F19" s="3159"/>
    </row>
    <row r="20" spans="1:7" ht="20.25" customHeight="1">
      <c r="A20" s="3159"/>
      <c r="B20" s="3159"/>
      <c r="C20" s="3161"/>
      <c r="D20" s="3159"/>
      <c r="E20" s="3159"/>
      <c r="F20" s="3159"/>
    </row>
    <row r="21" spans="1:7" ht="20.25" customHeight="1">
      <c r="A21" s="3159"/>
      <c r="B21" s="3159"/>
      <c r="C21" s="3161"/>
      <c r="D21" s="3159" t="s">
        <v>1925</v>
      </c>
      <c r="E21" s="3159">
        <f ca="1">IF(F21&lt;B2,"已过期",2011110090)</f>
        <v>2011110090</v>
      </c>
      <c r="F21" s="3162">
        <v>48302</v>
      </c>
    </row>
    <row r="22" spans="1:7" ht="20.25" customHeight="1">
      <c r="A22" s="3159" t="s">
        <v>1926</v>
      </c>
      <c r="B22" s="3159">
        <f ca="1">IF(C22&lt;B2,"已过期",1120020033)</f>
        <v>1120020033</v>
      </c>
      <c r="C22" s="3161">
        <v>44339</v>
      </c>
      <c r="D22" s="3159" t="s">
        <v>1926</v>
      </c>
      <c r="E22" s="3159">
        <f ca="1">IF(F22&lt;B2,"已过期",2000110137)</f>
        <v>2000110137</v>
      </c>
      <c r="F22" s="3162">
        <v>46387</v>
      </c>
    </row>
    <row r="23" spans="1:7" ht="20.25" customHeight="1">
      <c r="A23" s="3159"/>
      <c r="B23" s="3159"/>
      <c r="C23" s="3161"/>
      <c r="D23" s="3159"/>
      <c r="E23" s="3159"/>
      <c r="F23" s="3159"/>
    </row>
    <row r="24" spans="1:7" s="3167" customFormat="1" ht="20.25" customHeight="1">
      <c r="A24" s="3158" t="s">
        <v>2054</v>
      </c>
      <c r="B24" s="3158" t="s">
        <v>2054</v>
      </c>
      <c r="C24" s="3161"/>
      <c r="D24" s="3166" t="s">
        <v>2054</v>
      </c>
      <c r="E24" s="3158" t="s">
        <v>2054</v>
      </c>
      <c r="F24" s="3165"/>
    </row>
    <row r="25" spans="1:7" ht="20.25" customHeight="1">
      <c r="A25" s="3260" t="s">
        <v>1927</v>
      </c>
      <c r="B25" s="3260"/>
      <c r="C25" s="3260"/>
      <c r="D25" s="3260"/>
      <c r="E25" s="3260"/>
      <c r="F25" s="3260"/>
      <c r="G25" s="3260"/>
    </row>
    <row r="26" spans="1:7" ht="20.25" customHeight="1">
      <c r="A26" s="3261" t="s">
        <v>1928</v>
      </c>
      <c r="B26" s="3261"/>
      <c r="C26" s="3261"/>
      <c r="D26" s="3261" t="s">
        <v>1929</v>
      </c>
      <c r="E26" s="3261"/>
      <c r="F26" s="3261"/>
    </row>
    <row r="27" spans="1:7" s="3154" customFormat="1" ht="20.25" customHeight="1">
      <c r="A27" s="3168" t="s">
        <v>1930</v>
      </c>
      <c r="B27" s="3169" t="s">
        <v>1931</v>
      </c>
      <c r="C27" s="3169" t="s">
        <v>1932</v>
      </c>
      <c r="D27" s="3159" t="s">
        <v>1930</v>
      </c>
      <c r="E27" s="3169" t="s">
        <v>1931</v>
      </c>
      <c r="F27" s="3169" t="s">
        <v>1932</v>
      </c>
    </row>
    <row r="28" spans="1:7" s="3154" customFormat="1" ht="20.25" customHeight="1">
      <c r="A28" s="3170" t="s">
        <v>1933</v>
      </c>
      <c r="B28" s="3170" t="s">
        <v>1934</v>
      </c>
      <c r="C28" s="3162">
        <v>43725</v>
      </c>
      <c r="D28" s="3170" t="s">
        <v>1935</v>
      </c>
      <c r="E28" s="3170" t="s">
        <v>1936</v>
      </c>
      <c r="F28" s="3171">
        <v>44377</v>
      </c>
    </row>
    <row r="29" spans="1:7" s="3154" customFormat="1" ht="20.25" customHeight="1">
      <c r="A29" s="3170"/>
      <c r="B29" s="3170"/>
      <c r="C29" s="3172"/>
      <c r="D29" s="3170" t="s">
        <v>1937</v>
      </c>
      <c r="E29" s="3173" t="s">
        <v>2948</v>
      </c>
      <c r="F29" s="3174">
        <v>43281</v>
      </c>
    </row>
    <row r="30" spans="1:7" ht="20.25" customHeight="1">
      <c r="C30" s="3175"/>
      <c r="D30" s="3175"/>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4" sqref="AA24"/>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2546</v>
      </c>
      <c r="R1" s="2560" t="s">
        <v>2540</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088" t="s">
        <v>2960</v>
      </c>
      <c r="C18" s="1553"/>
    </row>
    <row r="19" spans="1:3">
      <c r="A19" s="8" t="s">
        <v>120</v>
      </c>
      <c r="B19" s="3088" t="s">
        <v>2968</v>
      </c>
      <c r="C19" s="1553"/>
    </row>
    <row r="20" spans="1:3">
      <c r="A20" s="8" t="s">
        <v>121</v>
      </c>
      <c r="B20" s="8" t="s">
        <v>1642</v>
      </c>
      <c r="C20" s="1553"/>
    </row>
    <row r="21" spans="1:3">
      <c r="A21" s="8" t="s">
        <v>122</v>
      </c>
      <c r="B21" s="3088" t="s">
        <v>3159</v>
      </c>
      <c r="C21" s="1553"/>
    </row>
    <row r="22" spans="1:3">
      <c r="A22" s="8" t="s">
        <v>123</v>
      </c>
      <c r="B22" s="3088" t="s">
        <v>3161</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62"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24日，在规划利用条件下、设定土地开发程度为红线外“七通”、宗地内场地，设定用途为，剩余土地使用年限为的出让国有建设用地使用权价格。</v>
      </c>
      <c r="D53" s="1766"/>
      <c r="E53" s="1766"/>
    </row>
    <row r="54" spans="1:5">
      <c r="A54" s="3262"/>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62"/>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62"/>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62"/>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2050</v>
      </c>
      <c r="B58" s="1765"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不动产收益法（办公）</vt:lpstr>
      <vt:lpstr>不动产比较法-办公</vt:lpstr>
      <vt:lpstr>酒店收入计算</vt:lpstr>
      <vt:lpstr>成本逼近法</vt:lpstr>
      <vt:lpstr>不动产比较法-商业</vt:lpstr>
      <vt:lpstr>不动产比较法-工业</vt:lpstr>
      <vt:lpstr>不动产比较法-车位</vt:lpstr>
      <vt:lpstr>不动产比较法-仓储</vt:lpstr>
      <vt:lpstr>存贷款利率</vt:lpstr>
      <vt:lpstr>土地案例</vt:lpstr>
      <vt:lpstr>假开案例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2019-02-12T03:19:09Z</dcterms:modified>
</cp:coreProperties>
</file>