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租金"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办公" sheetId="77" state="hidden" r:id="rId45"/>
  </sheets>
  <definedNames>
    <definedName name="_xlnm._FilterDatabase" localSheetId="44"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44">'比较法-办公'!$B$119:$M$119</definedName>
    <definedName name="办公层高">'比较法-租金'!$B$119:$M$119</definedName>
    <definedName name="办公朝向" localSheetId="44">'比较法-办公'!$B$91:$M$91</definedName>
    <definedName name="办公朝向">'比较法-租金'!$B$91:$M$91</definedName>
    <definedName name="办公道路级别" localSheetId="44">'比较法-办公'!$B$87:$M$87</definedName>
    <definedName name="办公道路级别">'比较法-租金'!$B$87:$M$87</definedName>
    <definedName name="办公公共部分装修" localSheetId="44">'比较法-办公'!$B$108:$M$108</definedName>
    <definedName name="办公公共部分装修">'比较法-租金'!$B$108:$M$108</definedName>
    <definedName name="办公基础设施水平" localSheetId="44">'比较法-办公'!$B$117:$M$117</definedName>
    <definedName name="办公基础设施水平">'比较法-租金'!$B$117:$M$117</definedName>
    <definedName name="办公集聚程度">定义!$M$1:$M$6</definedName>
    <definedName name="办公建筑结构" localSheetId="44">'比较法-办公'!$B$106:$M$106</definedName>
    <definedName name="办公建筑结构">'比较法-租金'!$B$106:$M$106</definedName>
    <definedName name="办公建筑类型" localSheetId="44">'比较法-办公'!$B$101:$M$101</definedName>
    <definedName name="办公建筑类型">'比较法-租金'!$B$101:$M$101</definedName>
    <definedName name="办公交易情况" localSheetId="44">'比较法-办公'!$A$62:$M$62</definedName>
    <definedName name="办公交易情况">'比较法-租金'!$A$62:$M$62</definedName>
    <definedName name="办公楼层" localSheetId="44">'比较法-办公'!$B$89:$M$89</definedName>
    <definedName name="办公楼层">'比较法-租金'!$B$89:$M$89</definedName>
    <definedName name="办公内部装修" localSheetId="44">'比较法-办公'!$B$123:$M$123</definedName>
    <definedName name="办公内部装修">'比较法-租金'!$B$123:$M$123</definedName>
    <definedName name="办公物业管理" localSheetId="44">'比较法-办公'!$B$115:$M$115</definedName>
    <definedName name="办公物业管理">'比较法-租金'!$B$115:$M$115</definedName>
    <definedName name="办公用途" localSheetId="44">'比较法-办公'!$B$64:$M$64</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4">'比较法-办公'!$B$113:$M$113</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N6" i="1" l="1"/>
  <c r="E48" i="77"/>
  <c r="G48" i="77"/>
  <c r="G48" i="34"/>
  <c r="E37" i="34"/>
  <c r="E48" i="34"/>
  <c r="I48" i="34"/>
  <c r="E37" i="77"/>
  <c r="I48" i="77"/>
  <c r="B131" i="77"/>
  <c r="B129" i="77"/>
  <c r="B127" i="77"/>
  <c r="D126" i="77"/>
  <c r="E126" i="77"/>
  <c r="F126" i="77"/>
  <c r="G126" i="77"/>
  <c r="D124" i="77"/>
  <c r="E124" i="77"/>
  <c r="F124" i="77"/>
  <c r="G124" i="77"/>
  <c r="H124" i="77"/>
  <c r="I124" i="77"/>
  <c r="J124" i="77"/>
  <c r="K124" i="77"/>
  <c r="L124" i="77"/>
  <c r="M124" i="77"/>
  <c r="D120" i="77"/>
  <c r="E120" i="77"/>
  <c r="F120" i="77"/>
  <c r="G120" i="77"/>
  <c r="H120" i="77"/>
  <c r="I120" i="77"/>
  <c r="J120" i="77"/>
  <c r="K120" i="77"/>
  <c r="L120" i="77"/>
  <c r="M120" i="77"/>
  <c r="D118" i="77"/>
  <c r="E118" i="77"/>
  <c r="F118" i="77"/>
  <c r="G118" i="77"/>
  <c r="D116" i="77"/>
  <c r="E116" i="77"/>
  <c r="F116" i="77"/>
  <c r="G116" i="77"/>
  <c r="H116" i="77"/>
  <c r="I116" i="77"/>
  <c r="J116" i="77"/>
  <c r="K116" i="77"/>
  <c r="L116" i="77"/>
  <c r="M116" i="77"/>
  <c r="D114" i="77"/>
  <c r="E114" i="77"/>
  <c r="F114" i="77"/>
  <c r="G114" i="77"/>
  <c r="H114" i="77"/>
  <c r="I114" i="77"/>
  <c r="J114" i="77"/>
  <c r="K114" i="77"/>
  <c r="L114" i="77"/>
  <c r="M114" i="77"/>
  <c r="D112" i="77"/>
  <c r="E112" i="77"/>
  <c r="F112" i="77"/>
  <c r="G112" i="77"/>
  <c r="H112" i="77"/>
  <c r="I112" i="77"/>
  <c r="J112" i="77"/>
  <c r="K112" i="77"/>
  <c r="L112" i="77"/>
  <c r="M112" i="77"/>
  <c r="G110" i="77"/>
  <c r="F110" i="77"/>
  <c r="E110" i="77"/>
  <c r="D110" i="77"/>
  <c r="C110" i="77"/>
  <c r="D109" i="77"/>
  <c r="E109" i="77"/>
  <c r="F109" i="77"/>
  <c r="G109" i="77"/>
  <c r="H109" i="77"/>
  <c r="I109" i="77"/>
  <c r="J109" i="77"/>
  <c r="K109" i="77"/>
  <c r="L109" i="77"/>
  <c r="M109" i="77"/>
  <c r="D107" i="77"/>
  <c r="E107" i="77"/>
  <c r="F107" i="77"/>
  <c r="G107" i="77"/>
  <c r="H107" i="77"/>
  <c r="I107" i="77"/>
  <c r="J107" i="77"/>
  <c r="K107" i="77"/>
  <c r="L107" i="77"/>
  <c r="M107" i="77"/>
  <c r="D105" i="77"/>
  <c r="E105" i="77"/>
  <c r="F105" i="77"/>
  <c r="G105" i="77"/>
  <c r="H105" i="77"/>
  <c r="M103" i="77"/>
  <c r="L103" i="77"/>
  <c r="K103" i="77"/>
  <c r="J103" i="77"/>
  <c r="I103" i="77"/>
  <c r="H103" i="77"/>
  <c r="G103" i="77"/>
  <c r="F103" i="77"/>
  <c r="E103" i="77"/>
  <c r="D103" i="77"/>
  <c r="C103" i="77"/>
  <c r="D102" i="77"/>
  <c r="E102" i="77"/>
  <c r="F102" i="77"/>
  <c r="G102" i="77"/>
  <c r="H102" i="77"/>
  <c r="I102" i="77"/>
  <c r="J102" i="77"/>
  <c r="K102" i="77"/>
  <c r="L102" i="77"/>
  <c r="M102" i="77"/>
  <c r="B99" i="77"/>
  <c r="B97" i="77"/>
  <c r="B95" i="77"/>
  <c r="B93" i="77"/>
  <c r="D92" i="77"/>
  <c r="E92" i="77"/>
  <c r="F92" i="77"/>
  <c r="G92" i="77"/>
  <c r="H92" i="77"/>
  <c r="I92" i="77"/>
  <c r="J92" i="77"/>
  <c r="K92" i="77"/>
  <c r="L92" i="77"/>
  <c r="M92" i="77"/>
  <c r="B91" i="77"/>
  <c r="D90" i="77"/>
  <c r="E90" i="77"/>
  <c r="F90" i="77"/>
  <c r="G90" i="77"/>
  <c r="H90" i="77"/>
  <c r="I90" i="77"/>
  <c r="J90" i="77"/>
  <c r="K90" i="77"/>
  <c r="L90" i="77"/>
  <c r="M90" i="77"/>
  <c r="B89" i="77"/>
  <c r="D88" i="77"/>
  <c r="E88" i="77"/>
  <c r="F88" i="77"/>
  <c r="G88" i="77"/>
  <c r="H88" i="77"/>
  <c r="I88" i="77"/>
  <c r="J88" i="77"/>
  <c r="K88" i="77"/>
  <c r="L88" i="77"/>
  <c r="M88" i="77"/>
  <c r="D86" i="77"/>
  <c r="E86" i="77"/>
  <c r="F86" i="77"/>
  <c r="G86" i="77"/>
  <c r="D84" i="77"/>
  <c r="E84" i="77"/>
  <c r="F84" i="77"/>
  <c r="G84" i="77"/>
  <c r="D82" i="77"/>
  <c r="E82" i="77"/>
  <c r="F82" i="77"/>
  <c r="G82" i="77"/>
  <c r="D80" i="77"/>
  <c r="E80" i="77"/>
  <c r="F80" i="77"/>
  <c r="G80" i="77"/>
  <c r="D78" i="77"/>
  <c r="E78" i="77"/>
  <c r="F78" i="77"/>
  <c r="G78" i="77"/>
  <c r="B75" i="77"/>
  <c r="B73" i="77"/>
  <c r="B71" i="77"/>
  <c r="D70" i="77"/>
  <c r="E70" i="77"/>
  <c r="F70" i="77"/>
  <c r="G70" i="77"/>
  <c r="H70" i="77"/>
  <c r="I70" i="77"/>
  <c r="J70" i="77"/>
  <c r="K70" i="77"/>
  <c r="L70" i="77"/>
  <c r="M70" i="77"/>
  <c r="M68" i="77"/>
  <c r="L68" i="77"/>
  <c r="K68" i="77"/>
  <c r="J68" i="77"/>
  <c r="I68" i="77"/>
  <c r="H68" i="77"/>
  <c r="G68" i="77"/>
  <c r="F68" i="77"/>
  <c r="E68" i="77"/>
  <c r="D68" i="77"/>
  <c r="C68" i="77"/>
  <c r="F67" i="77"/>
  <c r="G67" i="77"/>
  <c r="H67" i="77"/>
  <c r="I67" i="77"/>
  <c r="C64" i="77"/>
  <c r="E60" i="77"/>
  <c r="F60" i="77"/>
  <c r="G60" i="77"/>
  <c r="H60" i="77"/>
  <c r="I60" i="77"/>
  <c r="J60" i="77"/>
  <c r="K60" i="77"/>
  <c r="L60" i="77"/>
  <c r="M60" i="77"/>
  <c r="C7" i="77"/>
  <c r="C59" i="77"/>
  <c r="D59" i="77"/>
  <c r="E59" i="77"/>
  <c r="F59" i="77"/>
  <c r="G59" i="77"/>
  <c r="H59" i="77"/>
  <c r="I59" i="77"/>
  <c r="J59" i="77"/>
  <c r="K59" i="77"/>
  <c r="L59" i="77"/>
  <c r="M59" i="77"/>
  <c r="N59" i="77"/>
  <c r="O59" i="77"/>
  <c r="I55" i="77"/>
  <c r="J55" i="77"/>
  <c r="G55" i="77"/>
  <c r="H55" i="77"/>
  <c r="E55" i="77"/>
  <c r="F55" i="77"/>
  <c r="V48" i="77"/>
  <c r="J7" i="77"/>
  <c r="AC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5" i="77"/>
  <c r="AC25" i="77"/>
  <c r="J27" i="77"/>
  <c r="AC27" i="77"/>
  <c r="J28" i="77"/>
  <c r="AC28" i="77"/>
  <c r="J29" i="77"/>
  <c r="AC29" i="77"/>
  <c r="J30" i="77"/>
  <c r="AC30" i="77"/>
  <c r="J31" i="77"/>
  <c r="AC31" i="77"/>
  <c r="J32" i="77"/>
  <c r="AC32" i="77"/>
  <c r="J33" i="77"/>
  <c r="AC33" i="77"/>
  <c r="C34" i="77"/>
  <c r="J34" i="77"/>
  <c r="AC34" i="77"/>
  <c r="J35" i="77"/>
  <c r="AC35" i="77"/>
  <c r="J36" i="77"/>
  <c r="AC36" i="77"/>
  <c r="I37" i="77"/>
  <c r="J37" i="77"/>
  <c r="AC37" i="77"/>
  <c r="J38" i="77"/>
  <c r="AC38" i="77"/>
  <c r="J39" i="77"/>
  <c r="AC39" i="77"/>
  <c r="J40" i="77"/>
  <c r="AC40" i="77"/>
  <c r="J41" i="77"/>
  <c r="AC41" i="77"/>
  <c r="J42" i="77"/>
  <c r="AC42" i="77"/>
  <c r="J43" i="77"/>
  <c r="AC43" i="77"/>
  <c r="J44" i="77"/>
  <c r="AC44" i="77"/>
  <c r="J45" i="77"/>
  <c r="AC45" i="77"/>
  <c r="J46" i="77"/>
  <c r="AC46" i="77"/>
  <c r="J47" i="77"/>
  <c r="AC47" i="77"/>
  <c r="V49" i="77"/>
  <c r="I49" i="77"/>
  <c r="R48" i="77"/>
  <c r="F7" i="77"/>
  <c r="AA7" i="77"/>
  <c r="F8" i="77"/>
  <c r="AA8" i="77"/>
  <c r="F9" i="77"/>
  <c r="AA9" i="77"/>
  <c r="F10" i="77"/>
  <c r="AA10" i="77"/>
  <c r="F11" i="77"/>
  <c r="AA11" i="77"/>
  <c r="F12" i="77"/>
  <c r="AA12" i="77"/>
  <c r="F13" i="77"/>
  <c r="AA13" i="77"/>
  <c r="F14" i="77"/>
  <c r="AA14" i="77"/>
  <c r="F15" i="77"/>
  <c r="AA15" i="77"/>
  <c r="F17" i="77"/>
  <c r="AA17" i="77"/>
  <c r="F19" i="77"/>
  <c r="AA19" i="77"/>
  <c r="F21" i="77"/>
  <c r="AA21" i="77"/>
  <c r="F23" i="77"/>
  <c r="AA23" i="77"/>
  <c r="F25" i="77"/>
  <c r="AA25" i="77"/>
  <c r="F27" i="77"/>
  <c r="AA27" i="77"/>
  <c r="F28" i="77"/>
  <c r="AA28" i="77"/>
  <c r="F29" i="77"/>
  <c r="AA29" i="77"/>
  <c r="F30" i="77"/>
  <c r="AA30" i="77"/>
  <c r="F31" i="77"/>
  <c r="AA31" i="77"/>
  <c r="F32" i="77"/>
  <c r="AA32" i="77"/>
  <c r="F33" i="77"/>
  <c r="AA33" i="77"/>
  <c r="F34" i="77"/>
  <c r="AA34" i="77"/>
  <c r="F35" i="77"/>
  <c r="AA35" i="77"/>
  <c r="F36" i="77"/>
  <c r="AA36" i="77"/>
  <c r="F37" i="77"/>
  <c r="AA37" i="77"/>
  <c r="F38" i="77"/>
  <c r="AA38" i="77"/>
  <c r="F39" i="77"/>
  <c r="AA39" i="77"/>
  <c r="F40" i="77"/>
  <c r="AA40" i="77"/>
  <c r="F41" i="77"/>
  <c r="AA41" i="77"/>
  <c r="F42" i="77"/>
  <c r="AA42" i="77"/>
  <c r="F43" i="77"/>
  <c r="AA43" i="77"/>
  <c r="F44" i="77"/>
  <c r="AA44" i="77"/>
  <c r="F45" i="77"/>
  <c r="AA45" i="77"/>
  <c r="F46" i="77"/>
  <c r="AA46" i="77"/>
  <c r="F47" i="77"/>
  <c r="AA47" i="77"/>
  <c r="R49" i="77"/>
  <c r="E49" i="77"/>
  <c r="I54" i="77"/>
  <c r="J54" i="77"/>
  <c r="T48" i="77"/>
  <c r="H7" i="77"/>
  <c r="AB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5" i="77"/>
  <c r="AB25"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0" i="77"/>
  <c r="AB40" i="77"/>
  <c r="H41" i="77"/>
  <c r="AB41" i="77"/>
  <c r="H42" i="77"/>
  <c r="AB42" i="77"/>
  <c r="H43" i="77"/>
  <c r="AB43" i="77"/>
  <c r="H44" i="77"/>
  <c r="AB44" i="77"/>
  <c r="H45" i="77"/>
  <c r="AB45" i="77"/>
  <c r="H46" i="77"/>
  <c r="AB46" i="77"/>
  <c r="H47" i="77"/>
  <c r="AB47" i="77"/>
  <c r="T49" i="77"/>
  <c r="G49" i="77"/>
  <c r="G54" i="77"/>
  <c r="H54" i="77"/>
  <c r="E54" i="77"/>
  <c r="F54" i="77"/>
  <c r="I53" i="77"/>
  <c r="J53" i="77"/>
  <c r="G53" i="77"/>
  <c r="H53" i="77"/>
  <c r="E53" i="77"/>
  <c r="F53" i="77"/>
  <c r="R50" i="77"/>
  <c r="P50" i="77"/>
  <c r="C50" i="77"/>
  <c r="P49" i="77"/>
  <c r="C49" i="77"/>
  <c r="P48" i="77"/>
  <c r="Q47" i="77"/>
  <c r="Z47" i="77"/>
  <c r="W47" i="77"/>
  <c r="U47" i="77"/>
  <c r="S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D3" i="77"/>
  <c r="B3" i="77"/>
  <c r="D2" i="77"/>
  <c r="B2" i="77"/>
  <c r="D10" i="68"/>
  <c r="C10" i="68"/>
  <c r="H9" i="68"/>
  <c r="B29" i="1"/>
  <c r="F10" i="34"/>
  <c r="AA10" i="34"/>
  <c r="R48" i="34"/>
  <c r="D90" i="34"/>
  <c r="E90" i="34"/>
  <c r="F27" i="34"/>
  <c r="AA27" i="34"/>
  <c r="D112" i="34"/>
  <c r="E112" i="34"/>
  <c r="F37" i="34"/>
  <c r="AA37" i="34"/>
  <c r="F7" i="34"/>
  <c r="AA7" i="34"/>
  <c r="F34" i="34"/>
  <c r="AA34" i="34"/>
  <c r="F40" i="34"/>
  <c r="AA40" i="34"/>
  <c r="B93" i="34"/>
  <c r="F29" i="34"/>
  <c r="AA29" i="34"/>
  <c r="B95" i="34"/>
  <c r="F30" i="34"/>
  <c r="AA30" i="34"/>
  <c r="B97" i="34"/>
  <c r="F31" i="34"/>
  <c r="AA31" i="34"/>
  <c r="B99" i="34"/>
  <c r="F32" i="34"/>
  <c r="AA32" i="34"/>
  <c r="B127" i="34"/>
  <c r="F45" i="34"/>
  <c r="AA45" i="34"/>
  <c r="B129" i="34"/>
  <c r="F46" i="34"/>
  <c r="AA46" i="34"/>
  <c r="B131" i="34"/>
  <c r="F47" i="34"/>
  <c r="AA47" i="34"/>
  <c r="B71" i="34"/>
  <c r="F12" i="34"/>
  <c r="AA12" i="34"/>
  <c r="B73" i="34"/>
  <c r="F13" i="34"/>
  <c r="AA13" i="34"/>
  <c r="B75" i="34"/>
  <c r="F14" i="34"/>
  <c r="AA14" i="34"/>
  <c r="R49" i="34"/>
  <c r="H10" i="34"/>
  <c r="AB10" i="34"/>
  <c r="T48" i="34"/>
  <c r="H27" i="34"/>
  <c r="AB27" i="34"/>
  <c r="H37" i="34"/>
  <c r="AB37" i="34"/>
  <c r="H34" i="34"/>
  <c r="AB34" i="34"/>
  <c r="H29" i="34"/>
  <c r="AB29" i="34"/>
  <c r="H30" i="34"/>
  <c r="AB30" i="34"/>
  <c r="H31" i="34"/>
  <c r="AB31" i="34"/>
  <c r="H32" i="34"/>
  <c r="AB32" i="34"/>
  <c r="H45" i="34"/>
  <c r="AB45" i="34"/>
  <c r="H46" i="34"/>
  <c r="AB46" i="34"/>
  <c r="H47" i="34"/>
  <c r="AB47" i="34"/>
  <c r="H12" i="34"/>
  <c r="AB12" i="34"/>
  <c r="H13" i="34"/>
  <c r="AB13" i="34"/>
  <c r="H14" i="34"/>
  <c r="AB14" i="34"/>
  <c r="T49" i="34"/>
  <c r="J10" i="34"/>
  <c r="AC10" i="34"/>
  <c r="V48" i="34"/>
  <c r="J27" i="34"/>
  <c r="AC27" i="34"/>
  <c r="F112" i="34"/>
  <c r="J37" i="34"/>
  <c r="AC37" i="34"/>
  <c r="J34" i="34"/>
  <c r="AC34" i="34"/>
  <c r="J29" i="34"/>
  <c r="AC29" i="34"/>
  <c r="J30" i="34"/>
  <c r="AC30" i="34"/>
  <c r="J31" i="34"/>
  <c r="AC31" i="34"/>
  <c r="J32" i="34"/>
  <c r="AC32" i="34"/>
  <c r="J45" i="34"/>
  <c r="AC45" i="34"/>
  <c r="J46" i="34"/>
  <c r="AC46" i="34"/>
  <c r="J47" i="34"/>
  <c r="AC47" i="34"/>
  <c r="J12" i="34"/>
  <c r="AC12" i="34"/>
  <c r="J13" i="34"/>
  <c r="AC13" i="34"/>
  <c r="J14" i="34"/>
  <c r="AC14" i="34"/>
  <c r="V49" i="34"/>
  <c r="R50" i="34"/>
  <c r="C50" i="34"/>
  <c r="B3" i="34"/>
  <c r="U6" i="1"/>
  <c r="M18" i="1"/>
  <c r="E105" i="34"/>
  <c r="F105" i="34"/>
  <c r="G105" i="34"/>
  <c r="H105" i="34"/>
  <c r="D105" i="34"/>
  <c r="F67" i="34"/>
  <c r="D118" i="34"/>
  <c r="F36" i="34"/>
  <c r="AA36" i="34"/>
  <c r="F15" i="34"/>
  <c r="AA15" i="34"/>
  <c r="F17" i="34"/>
  <c r="AA17" i="34"/>
  <c r="H40" i="34"/>
  <c r="AB40" i="34"/>
  <c r="H36" i="34"/>
  <c r="AB36" i="34"/>
  <c r="H15" i="34"/>
  <c r="AB15" i="34"/>
  <c r="H17" i="34"/>
  <c r="AB17" i="34"/>
  <c r="E118" i="34"/>
  <c r="J40" i="34"/>
  <c r="AC40" i="34"/>
  <c r="J36" i="34"/>
  <c r="AC36" i="34"/>
  <c r="J25" i="34"/>
  <c r="AC25" i="34"/>
  <c r="J15" i="34"/>
  <c r="AC15" i="34"/>
  <c r="J17" i="34"/>
  <c r="AC17" i="34"/>
  <c r="I37" i="34"/>
  <c r="F60" i="34"/>
  <c r="G60" i="34"/>
  <c r="H60" i="34"/>
  <c r="I60" i="34"/>
  <c r="J60" i="34"/>
  <c r="K60" i="34"/>
  <c r="L60" i="34"/>
  <c r="M60" i="34"/>
  <c r="E60" i="34"/>
  <c r="C34" i="34"/>
  <c r="D4" i="73"/>
  <c r="E20" i="43"/>
  <c r="N17" i="43"/>
  <c r="G20" i="43"/>
  <c r="F15" i="4"/>
  <c r="F6" i="1"/>
  <c r="I20" i="43"/>
  <c r="C20" i="43"/>
  <c r="K59" i="43"/>
  <c r="D59" i="43"/>
  <c r="K60" i="43"/>
  <c r="D60" i="43"/>
  <c r="K61" i="43"/>
  <c r="D61" i="43"/>
  <c r="K62" i="43"/>
  <c r="D62" i="43"/>
  <c r="D63" i="43"/>
  <c r="K64" i="43"/>
  <c r="D64" i="43"/>
  <c r="K65" i="43"/>
  <c r="D65" i="43"/>
  <c r="K66" i="43"/>
  <c r="J66" i="43"/>
  <c r="D66" i="43"/>
  <c r="K67" i="43"/>
  <c r="D67" i="43"/>
  <c r="E59" i="43"/>
  <c r="B57" i="43"/>
  <c r="C24" i="43"/>
  <c r="G3" i="43"/>
  <c r="E22" i="43"/>
  <c r="G22" i="43"/>
  <c r="F22" i="43"/>
  <c r="H22" i="43"/>
  <c r="D22" i="43"/>
  <c r="C21" i="43"/>
  <c r="G17" i="43"/>
  <c r="H17" i="43"/>
  <c r="I17" i="43"/>
  <c r="J17" i="43"/>
  <c r="C16" i="43"/>
  <c r="C5" i="43"/>
  <c r="C29" i="43"/>
  <c r="E29" i="43"/>
  <c r="D5" i="43"/>
  <c r="C33" i="43"/>
  <c r="E33" i="43"/>
  <c r="C34" i="43"/>
  <c r="E34" i="43"/>
  <c r="C35" i="43"/>
  <c r="E35" i="43"/>
  <c r="C36" i="43"/>
  <c r="E36" i="43"/>
  <c r="C37" i="43"/>
  <c r="E37" i="43"/>
  <c r="C38" i="43"/>
  <c r="E38" i="43"/>
  <c r="C39" i="43"/>
  <c r="E39" i="43"/>
  <c r="C26" i="43"/>
  <c r="B2" i="43"/>
  <c r="C6" i="68"/>
  <c r="D29" i="43"/>
  <c r="AH6" i="1"/>
  <c r="Y6" i="1"/>
  <c r="F19" i="6"/>
  <c r="D3" i="4"/>
  <c r="L3" i="7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B2" i="1"/>
  <c r="G19" i="43"/>
  <c r="M20" i="43"/>
  <c r="M19" i="43"/>
  <c r="C19" i="43"/>
  <c r="J20" i="43"/>
  <c r="G2" i="43"/>
  <c r="I2" i="43"/>
  <c r="M2" i="43"/>
  <c r="C6" i="43"/>
  <c r="C17" i="43"/>
  <c r="F39" i="43"/>
  <c r="G39" i="43"/>
  <c r="F38" i="43"/>
  <c r="G38" i="43"/>
  <c r="F37" i="43"/>
  <c r="G37" i="43"/>
  <c r="F36" i="43"/>
  <c r="G36" i="43"/>
  <c r="F35" i="43"/>
  <c r="G35" i="43"/>
  <c r="F34" i="43"/>
  <c r="G34" i="43"/>
  <c r="J53" i="67"/>
  <c r="M47" i="15"/>
  <c r="A6" i="1"/>
  <c r="G1" i="15"/>
  <c r="L48" i="15"/>
  <c r="J53" i="15"/>
  <c r="I4" i="6"/>
  <c r="F33" i="43"/>
  <c r="G33" i="43"/>
  <c r="I33" i="43"/>
  <c r="C101" i="43"/>
  <c r="C102" i="43"/>
  <c r="C103" i="43"/>
  <c r="C104" i="43"/>
  <c r="C105" i="43"/>
  <c r="C106" i="43"/>
  <c r="C107" i="43"/>
  <c r="C109" i="43"/>
  <c r="B113" i="43"/>
  <c r="B115" i="43"/>
  <c r="C115" i="43"/>
  <c r="B116" i="43"/>
  <c r="C116" i="43"/>
  <c r="B117" i="43"/>
  <c r="C117" i="43"/>
  <c r="B118" i="43"/>
  <c r="C118" i="43"/>
  <c r="D101" i="43"/>
  <c r="D102" i="43"/>
  <c r="D103" i="43"/>
  <c r="D104" i="43"/>
  <c r="D105" i="43"/>
  <c r="D106" i="43"/>
  <c r="D107" i="43"/>
  <c r="D109"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H113" i="43"/>
  <c r="D113" i="43"/>
  <c r="E7" i="76"/>
  <c r="E8" i="76"/>
  <c r="E9" i="76"/>
  <c r="E10" i="76"/>
  <c r="E11" i="76"/>
  <c r="E12" i="76"/>
  <c r="E13" i="76"/>
  <c r="D9" i="71"/>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10" i="71"/>
  <c r="P10" i="71"/>
  <c r="O10" i="71"/>
  <c r="N10"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D9" i="68"/>
  <c r="C9" i="68"/>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H33" i="43"/>
  <c r="P17" i="43"/>
  <c r="O17" i="43"/>
  <c r="M17"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G67" i="34"/>
  <c r="D126" i="34"/>
  <c r="E126" i="34"/>
  <c r="F126" i="34"/>
  <c r="G126" i="34"/>
  <c r="D124" i="34"/>
  <c r="E124" i="34"/>
  <c r="F124" i="34"/>
  <c r="G124" i="34"/>
  <c r="H124" i="34"/>
  <c r="I124" i="34"/>
  <c r="J124" i="34"/>
  <c r="K124" i="34"/>
  <c r="L124" i="34"/>
  <c r="M124" i="34"/>
  <c r="H43" i="34"/>
  <c r="AB43"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F28" i="34"/>
  <c r="AA28" i="34"/>
  <c r="F25" i="34"/>
  <c r="S25" i="34"/>
  <c r="H23" i="34"/>
  <c r="U23" i="34"/>
  <c r="J23" i="34"/>
  <c r="F19" i="34"/>
  <c r="U17"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c r="H114" i="34"/>
  <c r="I114" i="34"/>
  <c r="J114" i="34"/>
  <c r="K114" i="34"/>
  <c r="L114" i="34"/>
  <c r="M114" i="34"/>
  <c r="H38" i="34"/>
  <c r="AB38" i="34"/>
  <c r="W36" i="34"/>
  <c r="U37" i="34"/>
  <c r="H25" i="34"/>
  <c r="AB25" i="34"/>
  <c r="AB23" i="34"/>
  <c r="F23" i="34"/>
  <c r="AA23" i="34"/>
  <c r="J19" i="34"/>
  <c r="AC19" i="34"/>
  <c r="W17"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81" i="43"/>
  <c r="H83" i="43"/>
  <c r="F48" i="43"/>
  <c r="H52" i="43"/>
  <c r="N7" i="43"/>
  <c r="F70" i="43"/>
  <c r="H73" i="43"/>
  <c r="M6" i="43"/>
  <c r="M11" i="43"/>
  <c r="E17" i="43"/>
  <c r="U17" i="39"/>
  <c r="S14" i="35"/>
  <c r="U43" i="21"/>
  <c r="U35" i="21"/>
  <c r="AC35" i="21"/>
  <c r="U10" i="21"/>
  <c r="G8" i="1"/>
  <c r="G9" i="1"/>
  <c r="G10" i="1"/>
  <c r="F48" i="9"/>
  <c r="O52" i="9"/>
  <c r="AC11" i="39"/>
  <c r="AZ563" i="3"/>
  <c r="AZ501" i="3"/>
  <c r="W37" i="37"/>
  <c r="W44" i="34"/>
  <c r="AC44" i="34"/>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B34" i="36"/>
  <c r="U34" i="36"/>
  <c r="AB33" i="36"/>
  <c r="U33" i="36"/>
  <c r="AC12" i="39"/>
  <c r="W12" i="39"/>
  <c r="AC39" i="40"/>
  <c r="W39" i="40"/>
  <c r="AZ401" i="3"/>
  <c r="AZ412" i="3"/>
  <c r="AZ417" i="3"/>
  <c r="AZ428" i="3"/>
  <c r="AZ433" i="3"/>
  <c r="AZ465" i="3"/>
  <c r="AZ586" i="3"/>
  <c r="K101" i="43"/>
  <c r="K103" i="43"/>
  <c r="F101" i="43"/>
  <c r="F104" i="43"/>
  <c r="N101" i="43"/>
  <c r="N102" i="43"/>
  <c r="G101" i="43"/>
  <c r="G105" i="43"/>
  <c r="J101" i="43"/>
  <c r="J104" i="43"/>
  <c r="N104" i="46"/>
  <c r="W12" i="33"/>
  <c r="AC12" i="33"/>
  <c r="AA32" i="36"/>
  <c r="S32" i="36"/>
  <c r="AZ551" i="3"/>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W34" i="34"/>
  <c r="AA25" i="34"/>
  <c r="U28" i="34"/>
  <c r="S17" i="34"/>
  <c r="U27" i="34"/>
  <c r="S23" i="34"/>
  <c r="U15" i="34"/>
  <c r="S10" i="34"/>
  <c r="S13" i="34"/>
  <c r="H67"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BA5" i="3"/>
  <c r="E27" i="6"/>
  <c r="E11" i="6"/>
  <c r="E61" i="39"/>
  <c r="BL17" i="3"/>
  <c r="AZ17" i="3"/>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U25" i="34"/>
  <c r="W33" i="34"/>
  <c r="W29" i="34"/>
  <c r="W46" i="34"/>
  <c r="S32" i="34"/>
  <c r="U30" i="34"/>
  <c r="S37" i="34"/>
  <c r="U38" i="34"/>
  <c r="W40" i="34"/>
  <c r="AA19" i="34"/>
  <c r="S19" i="34"/>
  <c r="S36" i="34"/>
  <c r="AA8" i="34"/>
  <c r="S8" i="34"/>
  <c r="AB9" i="34"/>
  <c r="U9" i="34"/>
  <c r="S46" i="34"/>
  <c r="U32" i="34"/>
  <c r="U14" i="34"/>
  <c r="AC43" i="34"/>
  <c r="W43" i="34"/>
  <c r="AA11" i="34"/>
  <c r="W23" i="34"/>
  <c r="AC23" i="34"/>
  <c r="AC35"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6" i="15"/>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G49" i="34"/>
  <c r="G53" i="34"/>
  <c r="H53" i="34"/>
  <c r="W7" i="21"/>
  <c r="AA7" i="21"/>
  <c r="R48" i="21"/>
  <c r="E48" i="21"/>
  <c r="E52" i="21"/>
  <c r="F52" i="21"/>
  <c r="R26" i="6"/>
  <c r="R23" i="6"/>
  <c r="R24" i="6"/>
  <c r="R21" i="6"/>
  <c r="R8" i="1"/>
  <c r="R22" i="6"/>
  <c r="D30" i="6"/>
  <c r="D16" i="6"/>
  <c r="A7" i="51"/>
  <c r="B7" i="72"/>
  <c r="C4" i="52"/>
  <c r="B45" i="72"/>
  <c r="A10" i="51"/>
  <c r="B9" i="72"/>
  <c r="D27" i="6"/>
  <c r="D19"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37"/>
  <c r="C19" i="9"/>
  <c r="E2" i="68"/>
  <c r="D2" i="35"/>
  <c r="B20" i="31"/>
  <c r="B2" i="36"/>
  <c r="B3" i="36"/>
  <c r="B2" i="35"/>
  <c r="B3" i="35"/>
  <c r="B3" i="37"/>
  <c r="B2" i="34"/>
  <c r="B2" i="21"/>
  <c r="B3" i="21"/>
  <c r="B2" i="70"/>
  <c r="B3" i="70"/>
  <c r="C102" i="9"/>
  <c r="C21" i="9"/>
  <c r="B3" i="68"/>
  <c r="D19" i="9"/>
  <c r="C20" i="9"/>
  <c r="D20" i="9"/>
  <c r="G19" i="9"/>
  <c r="D102" i="9"/>
  <c r="D22" i="9"/>
  <c r="D21" i="9"/>
  <c r="C103" i="9"/>
  <c r="D103" i="9"/>
  <c r="G20" i="9"/>
  <c r="C32" i="9"/>
  <c r="G21" i="9"/>
  <c r="D34" i="9"/>
  <c r="H118" i="9"/>
  <c r="H101" i="9"/>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<sst xmlns="http://schemas.openxmlformats.org/spreadsheetml/2006/main" count="7774" uniqueCount="3148">
  <si>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</si>
  <si>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</si>
  <si>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</si>
  <si>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</si>
  <si>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</si>
  <si>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</si>
  <si>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</si>
  <si>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</si>
  <si>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</si>
  <si>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</si>
  <si>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</si>
  <si>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</si>
  <si>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</si>
  <si>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</si>
  <si>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</si>
  <si>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</si>
  <si>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</si>
  <si>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</si>
  <si>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</si>
  <si>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</si>
  <si>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</si>
  <si>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</si>
  <si>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</si>
  <si>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</si>
  <si>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</si>
  <si>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</si>
  <si>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</si>
  <si>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</si>
  <si>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</si>
  <si>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</si>
  <si>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</si>
  <si>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</si>
  <si>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</si>
  <si>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</si>
  <si>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</si>
  <si>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</si>
  <si>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</si>
  <si>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</si>
  <si>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</si>
  <si>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</si>
  <si>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</si>
  <si>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</si>
  <si>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</si>
  <si>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</si>
  <si>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</si>
  <si>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</si>
  <si>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</si>
  <si>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</si>
  <si>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</si>
  <si>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</si>
  <si>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</si>
  <si>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</si>
  <si>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</si>
  <si>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</si>
  <si>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</si>
  <si>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</si>
  <si>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</si>
  <si>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</si>
  <si>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</si>
  <si>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</si>
  <si>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</si>
  <si>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</si>
  <si>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</si>
  <si>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</si>
  <si>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</si>
  <si>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</si>
  <si>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</si>
  <si>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</si>
  <si>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</si>
  <si>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</si>
  <si>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</si>
  <si>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</si>
  <si>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</si>
  <si>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</si>
  <si>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</si>
  <si>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</si>
  <si>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</si>
  <si>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</si>
  <si>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</si>
  <si>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</si>
  <si>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</si>
  <si>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</si>
  <si>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</si>
  <si>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</si>
  <si>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</si>
  <si>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</si>
  <si>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</si>
  <si>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</si>
  <si>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</si>
  <si>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</si>
  <si>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</si>
  <si>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</si>
  <si>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</si>
  <si>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</si>
  <si>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</si>
  <si>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</si>
  <si>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</si>
  <si>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</si>
  <si>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</si>
  <si>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</si>
  <si>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</si>
  <si>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</si>
  <si>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</si>
  <si>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</si>
  <si>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</si>
  <si>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</si>
  <si>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</si>
  <si>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</si>
  <si>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</si>
  <si>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</si>
  <si>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</si>
  <si>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</si>
  <si>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</si>
  <si>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</si>
  <si>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</si>
  <si>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</si>
  <si>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</si>
  <si>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</si>
  <si>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</si>
  <si>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</si>
  <si>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</si>
  <si>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</si>
  <si>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</si>
  <si>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</si>
  <si>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</si>
  <si>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</si>
  <si>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</si>
  <si>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</si>
  <si>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</si>
  <si>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</si>
  <si>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</si>
  <si>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</si>
  <si>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</si>
  <si>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</si>
  <si>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</si>
  <si>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</si>
  <si>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</si>
  <si>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</si>
  <si>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</si>
  <si>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</si>
  <si>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</si>
  <si>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</si>
  <si>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</si>
  <si>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</si>
  <si>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</si>
  <si>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</si>
  <si>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</si>
  <si>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</si>
  <si>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</si>
  <si>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</si>
  <si>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</si>
  <si>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</si>
  <si>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</si>
  <si>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</si>
  <si>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</si>
  <si>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</si>
  <si>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</si>
  <si>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</si>
  <si>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</si>
  <si>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</si>
  <si>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</si>
  <si>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</si>
  <si>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</si>
  <si>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</si>
  <si>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</si>
  <si>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</si>
  <si>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</si>
  <si>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</si>
  <si>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</si>
  <si>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</si>
  <si>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</si>
  <si>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</si>
  <si>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</si>
  <si>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</si>
  <si>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</si>
  <si>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</si>
  <si>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</si>
  <si>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</si>
  <si>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</si>
  <si>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</si>
  <si>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</si>
  <si>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</si>
  <si>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</si>
  <si>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</si>
  <si>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</si>
  <si>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</si>
  <si>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</si>
  <si>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</si>
  <si>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</si>
  <si>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</si>
  <si>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</si>
  <si>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</si>
  <si>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</si>
  <si>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</si>
  <si>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</si>
  <si>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</si>
  <si>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</si>
  <si>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</si>
  <si>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</si>
  <si>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</si>
  <si>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</si>
  <si>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</si>
  <si>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</si>
  <si>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</si>
  <si>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</si>
  <si>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</si>
  <si>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</si>
  <si>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</si>
  <si>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</si>
  <si>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</si>
  <si>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</si>
  <si>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</si>
  <si>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</si>
  <si>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</si>
  <si>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</si>
  <si>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</si>
  <si>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</si>
  <si>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</si>
  <si>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</si>
  <si>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</si>
  <si>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</si>
  <si>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</si>
  <si>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</si>
  <si>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</si>
  <si>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</si>
  <si>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</si>
  <si>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</si>
  <si>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</si>
  <si>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</si>
  <si>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</si>
  <si>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</si>
  <si>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</si>
  <si>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</si>
  <si>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</si>
  <si>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</si>
  <si>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</si>
  <si>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</si>
  <si>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</si>
  <si>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</si>
  <si>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</si>
  <si>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</si>
  <si>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</si>
  <si>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</si>
  <si>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</si>
  <si>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</si>
  <si>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</si>
  <si>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</si>
  <si>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</si>
  <si>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</si>
  <si>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</si>
  <si>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</si>
  <si>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</si>
  <si>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</si>
  <si>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</si>
  <si>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</si>
  <si>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</si>
  <si>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</si>
  <si>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</si>
  <si>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</si>
  <si>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</si>
  <si>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</si>
  <si>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</si>
  <si>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</si>
  <si>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</si>
  <si>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</si>
  <si>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</si>
  <si>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</si>
  <si>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</si>
  <si>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</si>
  <si>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</si>
  <si>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</si>
  <si>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</si>
  <si>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</si>
  <si>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</si>
  <si>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</si>
  <si>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</si>
  <si>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</si>
  <si>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</si>
  <si>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</si>
  <si>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</si>
  <si>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</si>
  <si>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</si>
  <si>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</si>
  <si>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</si>
  <si>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</si>
  <si>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</si>
  <si>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</si>
  <si>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</si>
  <si>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</si>
  <si>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</si>
  <si>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</si>
  <si>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</si>
  <si>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</si>
  <si>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</si>
  <si>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</si>
  <si>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</si>
  <si>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</si>
  <si>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</si>
  <si>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</si>
  <si>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</si>
  <si>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</si>
  <si>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</si>
  <si>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</si>
  <si>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</si>
  <si>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</si>
  <si>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</si>
  <si>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</si>
  <si>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</si>
  <si>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</si>
  <si>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</si>
  <si>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</si>
  <si>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</si>
  <si>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</si>
  <si>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</si>
  <si>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</si>
  <si>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</si>
  <si>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</si>
  <si>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</si>
  <si>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</si>
  <si>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</si>
  <si>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</si>
  <si>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</si>
  <si>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</si>
  <si>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</si>
  <si>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</si>
  <si>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</si>
  <si>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</si>
  <si>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</si>
  <si>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</si>
  <si>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</si>
  <si>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</si>
  <si>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</si>
  <si>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</si>
  <si>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</si>
  <si>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</si>
  <si>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</si>
  <si>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</si>
  <si>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</si>
  <si>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</si>
  <si>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</si>
  <si>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</si>
  <si>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</si>
  <si>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</si>
  <si>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</si>
  <si>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</si>
  <si>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</si>
  <si>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</si>
  <si>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</si>
  <si>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</si>
  <si>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</si>
  <si>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</si>
  <si>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</si>
  <si>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</si>
  <si>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</si>
  <si>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</si>
  <si>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</si>
  <si>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</si>
  <si>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</si>
  <si>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</si>
  <si>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</si>
  <si>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</si>
  <si>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</si>
  <si>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</si>
  <si>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</si>
  <si>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</si>
  <si>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</si>
  <si>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</si>
  <si>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</si>
  <si>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</si>
  <si>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</si>
  <si>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</si>
  <si>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</si>
  <si>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</si>
  <si>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</si>
  <si>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</si>
  <si>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</si>
  <si>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</si>
  <si>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</si>
  <si>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</si>
  <si>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</si>
  <si>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</si>
  <si>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</si>
  <si>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</si>
  <si>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</si>
  <si>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</si>
  <si>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</si>
  <si>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</si>
  <si>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</si>
  <si>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</si>
  <si>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</si>
  <si>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</si>
  <si>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</si>
  <si>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</si>
  <si>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</si>
  <si>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</si>
  <si>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</si>
  <si>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</si>
  <si>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</si>
  <si>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</si>
  <si>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</si>
  <si>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</si>
  <si>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</si>
  <si>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</si>
  <si>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</si>
  <si>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</si>
  <si>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</si>
  <si>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</si>
  <si>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</si>
  <si>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</si>
  <si>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</si>
  <si>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</si>
  <si>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</si>
  <si>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</si>
  <si>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</si>
  <si>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</si>
  <si>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</si>
  <si>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</si>
  <si>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</si>
  <si>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</si>
  <si>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</si>
  <si>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</si>
  <si>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</si>
  <si>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</si>
  <si>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</si>
  <si>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</si>
  <si>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</si>
  <si>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</si>
  <si>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</si>
  <si>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</si>
  <si>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</si>
  <si>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</si>
  <si>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</si>
  <si>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</si>
  <si>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</si>
  <si>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</si>
  <si>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</si>
  <si>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</si>
  <si>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</si>
  <si>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</si>
  <si>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</si>
  <si>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</si>
  <si>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</si>
  <si>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</si>
  <si>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</si>
  <si>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</si>
  <si>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</si>
  <si>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</si>
  <si>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</si>
  <si>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</si>
  <si>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</si>
  <si>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</si>
  <si>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</si>
  <si>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</si>
  <si>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</si>
  <si>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</si>
  <si>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</si>
  <si>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</si>
  <si>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</si>
  <si>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</si>
  <si>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</si>
  <si>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</si>
  <si>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</si>
  <si>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</si>
  <si>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</si>
  <si>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</si>
  <si>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</si>
  <si>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</si>
  <si>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</si>
  <si>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</si>
  <si>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</si>
  <si>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</si>
  <si>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</si>
  <si>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</si>
  <si>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</si>
  <si>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</si>
  <si>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</si>
  <si>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</si>
  <si>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</si>
  <si>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</si>
  <si>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</si>
  <si>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</si>
  <si>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</si>
  <si>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</si>
  <si>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</si>
  <si>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</si>
  <si>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</si>
  <si>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</si>
  <si>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</si>
  <si>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</si>
  <si>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</si>
  <si>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</si>
  <si>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</si>
  <si>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</si>
  <si>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</si>
  <si>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</si>
  <si>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</si>
  <si>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</si>
  <si>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</si>
  <si>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</si>
  <si>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</si>
  <si>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</si>
  <si>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</si>
  <si>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</si>
  <si>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</si>
  <si>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</si>
  <si>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</si>
  <si>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</si>
  <si>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</si>
  <si>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</si>
  <si>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</si>
  <si>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</si>
  <si>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</si>
  <si>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</si>
  <si>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</si>
  <si>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</si>
  <si>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</si>
  <si>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</si>
  <si>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</si>
  <si>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</si>
  <si>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</si>
  <si>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</si>
  <si>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</si>
  <si>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</si>
  <si>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</si>
  <si>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</si>
  <si>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</si>
  <si>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</si>
  <si>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</si>
  <si>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</si>
  <si>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</si>
  <si>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</si>
  <si>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</si>
  <si>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</si>
  <si>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</si>
  <si>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</si>
  <si>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</si>
  <si>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</si>
  <si>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</si>
  <si>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</si>
  <si>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</si>
  <si>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</si>
  <si>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</si>
  <si>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</si>
  <si>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</si>
  <si>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</si>
  <si>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</si>
  <si>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</si>
  <si>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</si>
  <si>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</si>
  <si>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</si>
  <si>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</si>
  <si>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</si>
  <si>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</si>
  <si>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</si>
  <si>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</si>
  <si>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</si>
  <si>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</si>
  <si>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</si>
  <si>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</si>
  <si>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</si>
  <si>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</si>
  <si>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</si>
  <si>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</si>
  <si>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</si>
  <si>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</si>
  <si>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</si>
  <si>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</si>
  <si>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</si>
  <si>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</si>
  <si>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</si>
  <si>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</si>
  <si>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</si>
  <si>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</si>
  <si>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</si>
  <si>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</si>
  <si>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</si>
  <si>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</si>
  <si>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</si>
  <si>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</si>
  <si>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</si>
  <si>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</si>
  <si>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</si>
  <si>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</si>
  <si>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</si>
  <si>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</si>
  <si>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</si>
  <si>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</si>
  <si>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</si>
  <si>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</si>
  <si>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</si>
  <si>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</si>
  <si>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</si>
  <si>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</si>
  <si>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</si>
  <si>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</si>
  <si>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</si>
  <si>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</si>
  <si>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</si>
  <si>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</si>
  <si>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</si>
  <si>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</si>
  <si>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</si>
  <si>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</si>
  <si>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</si>
  <si>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</si>
  <si>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</si>
  <si>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</si>
  <si>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</si>
  <si>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</si>
  <si>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</si>
  <si>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</si>
  <si>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</si>
  <si>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</si>
  <si>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</si>
  <si>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</si>
  <si>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</si>
  <si>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</si>
  <si>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</si>
  <si>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</si>
  <si>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</si>
  <si>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</si>
  <si>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</si>
  <si>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</si>
  <si>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</si>
  <si>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</si>
  <si>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</si>
  <si>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</si>
  <si>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</si>
  <si>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</si>
  <si>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</si>
  <si>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</si>
  <si>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</si>
  <si>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</si>
  <si>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</si>
  <si>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</si>
  <si>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</si>
  <si>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</si>
  <si>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</si>
  <si>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</si>
  <si>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</si>
  <si>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</si>
  <si>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</si>
  <si>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</si>
  <si>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</si>
  <si>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</si>
  <si>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</si>
  <si>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</si>
  <si>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</si>
  <si>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</si>
  <si>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</si>
  <si>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</si>
  <si>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</si>
  <si>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</si>
  <si>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</si>
  <si>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</si>
  <si>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</si>
  <si>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</si>
  <si>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</si>
  <si>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</si>
  <si>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</si>
  <si>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</si>
  <si>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</si>
  <si>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</si>
  <si>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</si>
  <si>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</si>
  <si>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</si>
  <si>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</si>
  <si>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</si>
  <si>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</si>
  <si>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</si>
  <si>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</si>
  <si>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</si>
  <si>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</si>
  <si>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</si>
  <si>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</si>
  <si>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</si>
  <si>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</si>
  <si>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</si>
  <si>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</si>
  <si>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</si>
  <si>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</si>
  <si>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</si>
  <si>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</si>
  <si>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</si>
  <si>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</si>
  <si>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</si>
  <si>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</si>
  <si>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</si>
  <si>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</si>
  <si>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</si>
  <si>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</si>
  <si>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</si>
  <si>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</si>
  <si>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</si>
  <si>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</si>
  <si>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</si>
  <si>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</si>
  <si>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</si>
  <si>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</si>
  <si>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</si>
  <si>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</si>
  <si>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</si>
  <si>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</si>
  <si>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</si>
  <si>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</si>
  <si>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</si>
  <si>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</si>
  <si>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</si>
  <si>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</si>
  <si>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</si>
  <si>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</si>
  <si>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</si>
  <si>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</si>
  <si>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</si>
  <si>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</si>
  <si>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</si>
  <si>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</si>
  <si>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</si>
  <si>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</si>
  <si>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</si>
  <si>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</si>
  <si>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</si>
  <si>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</si>
  <si>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</si>
  <si>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</si>
  <si>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</si>
  <si>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</si>
  <si>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</si>
  <si>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</si>
  <si>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</si>
  <si>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</si>
  <si>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</si>
  <si>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</si>
  <si>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</si>
  <si>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</si>
  <si>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</si>
  <si>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</si>
  <si>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</si>
  <si>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</si>
  <si>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</si>
  <si>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</si>
  <si>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</si>
  <si>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</si>
  <si>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</si>
  <si>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</si>
  <si>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</si>
  <si>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</si>
  <si>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</si>
  <si>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</si>
  <si>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</si>
  <si>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</si>
  <si>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</si>
  <si>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</si>
  <si>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</si>
  <si>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</si>
  <si>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</si>
  <si>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</si>
  <si>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</si>
  <si>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</si>
  <si>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</si>
  <si>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</si>
  <si>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</si>
  <si>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</si>
  <si>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</si>
  <si>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</si>
  <si>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</si>
  <si>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</si>
  <si>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</si>
  <si>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</si>
  <si>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</si>
  <si>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</si>
  <si>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</si>
  <si>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</si>
  <si>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</si>
  <si>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</si>
  <si>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</si>
  <si>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</si>
  <si>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</si>
  <si>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</si>
  <si>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</si>
  <si>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</si>
  <si>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</si>
  <si>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</si>
  <si>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</si>
  <si>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</si>
  <si>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</si>
  <si>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</si>
  <si>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</si>
  <si>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</si>
  <si>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</si>
  <si>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</si>
  <si>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</si>
  <si>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</si>
  <si>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</si>
  <si>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</si>
  <si>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</si>
  <si>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</si>
  <si>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</si>
  <si>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</si>
  <si>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</si>
  <si>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</si>
  <si>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</si>
  <si>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</si>
  <si>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</si>
  <si>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</si>
  <si>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</si>
  <si>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</si>
  <si>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</si>
  <si>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</si>
  <si>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</si>
  <si>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</si>
  <si>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</si>
  <si>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</si>
  <si>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</si>
  <si>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</si>
  <si>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</si>
  <si>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</si>
  <si>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</si>
  <si>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</si>
  <si>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</si>
  <si>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</si>
  <si>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</si>
  <si>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</si>
  <si>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</si>
  <si>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</si>
  <si>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</si>
  <si>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</si>
  <si>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</si>
  <si>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</si>
  <si>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</si>
  <si>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</si>
  <si>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</si>
  <si>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</si>
  <si>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</si>
  <si>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</si>
  <si>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</si>
  <si>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</si>
  <si>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</si>
  <si>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</si>
  <si>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</si>
  <si>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</si>
  <si>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</si>
  <si>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</si>
  <si>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</si>
  <si>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</si>
  <si>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</si>
  <si>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</si>
  <si>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</si>
  <si>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</si>
  <si>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</si>
  <si>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</si>
  <si>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</si>
  <si>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</si>
  <si>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</si>
  <si>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</si>
  <si>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</si>
  <si>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</si>
  <si>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</si>
  <si>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</si>
  <si>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</si>
  <si>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</si>
  <si>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</si>
  <si>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</si>
  <si>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</si>
  <si>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</si>
  <si>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</si>
  <si>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</si>
  <si>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</si>
  <si>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</si>
  <si>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</si>
  <si>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</si>
  <si>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</si>
  <si>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</si>
  <si>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</si>
  <si>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</si>
  <si>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</si>
  <si>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</si>
  <si>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</si>
  <si>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</si>
  <si>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</si>
  <si>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</si>
  <si>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</si>
  <si>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</si>
  <si>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</si>
  <si>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</si>
  <si>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</si>
  <si>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</si>
  <si>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</si>
  <si>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</si>
  <si>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</si>
  <si>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</si>
  <si>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</si>
  <si>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</si>
  <si>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</si>
  <si>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</si>
  <si>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</si>
  <si>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</si>
  <si>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</si>
  <si>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</si>
  <si>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</si>
  <si>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</si>
  <si>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</si>
  <si>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</si>
  <si>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</si>
  <si>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</si>
  <si>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</si>
  <si>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</si>
  <si>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</si>
  <si>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</si>
  <si>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</si>
  <si>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</si>
  <si>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</si>
  <si>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</si>
  <si>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</si>
  <si>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</si>
  <si>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</si>
  <si>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</si>
  <si>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</si>
  <si>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</si>
  <si>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</si>
  <si>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</si>
  <si>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</si>
  <si>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</si>
  <si>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</si>
  <si>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</si>
  <si>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</si>
  <si>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</si>
  <si>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</si>
  <si>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</si>
  <si>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</si>
  <si>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</si>
  <si>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</si>
  <si>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</si>
  <si>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</si>
  <si>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</si>
  <si>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</si>
  <si>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</si>
  <si>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</si>
  <si>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</si>
  <si>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</si>
  <si>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</si>
  <si>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</si>
  <si>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</si>
  <si>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</si>
  <si>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</si>
  <si>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</si>
  <si>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</si>
  <si>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</si>
  <si>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</si>
  <si>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</si>
  <si>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</si>
  <si>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</si>
  <si>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</si>
  <si>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</si>
  <si>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</si>
  <si>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</si>
  <si>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</si>
  <si>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</si>
  <si>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</si>
  <si>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</si>
  <si>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</si>
  <si>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</si>
  <si>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</si>
  <si>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</si>
  <si>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</si>
  <si>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</si>
  <si>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</si>
  <si>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</si>
  <si>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</si>
  <si>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</si>
  <si>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</si>
  <si>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</si>
  <si>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</si>
  <si>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</si>
  <si>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</si>
  <si>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</si>
  <si>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</si>
  <si>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</si>
  <si>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</si>
  <si>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</si>
  <si>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</si>
  <si>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</si>
  <si>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</si>
  <si>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</si>
  <si>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</si>
  <si>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</si>
  <si>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</si>
  <si>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</si>
  <si>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</si>
  <si>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</si>
  <si>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</si>
  <si>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</si>
  <si>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</si>
  <si>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</si>
  <si>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</si>
  <si>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</si>
  <si>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</si>
  <si>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</si>
  <si>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</si>
  <si>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</si>
  <si>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</si>
  <si>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</si>
  <si>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</si>
  <si>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</si>
  <si>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</si>
  <si>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</si>
  <si>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</si>
  <si>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</si>
  <si>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</si>
  <si>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</si>
  <si>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</si>
  <si>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</si>
  <si>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</si>
  <si>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</si>
  <si>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</si>
  <si>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</si>
  <si>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</si>
  <si>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</si>
  <si>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</si>
  <si>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</si>
  <si>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</si>
  <si>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</si>
  <si>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</si>
  <si>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</si>
  <si>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</si>
  <si>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</si>
  <si>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</si>
  <si>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</si>
  <si>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</si>
  <si>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</si>
  <si>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</si>
  <si>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</si>
  <si>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</si>
  <si>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</si>
  <si>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</si>
  <si>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</si>
  <si>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</si>
  <si>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</si>
  <si>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</si>
  <si>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</si>
  <si>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</si>
  <si>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</si>
  <si>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</si>
  <si>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</si>
  <si>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</si>
  <si>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</si>
  <si>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</si>
  <si>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</si>
  <si>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</si>
  <si>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</si>
  <si>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</si>
  <si>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</si>
  <si>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</si>
  <si>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</si>
  <si>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</si>
  <si>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</si>
  <si>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</si>
  <si>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</si>
  <si>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</si>
  <si>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</si>
  <si>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</si>
  <si>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</si>
  <si>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</si>
  <si>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</si>
  <si>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</si>
  <si>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</si>
  <si>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</si>
  <si>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</si>
  <si>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</si>
  <si>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</si>
  <si>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</si>
  <si>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</si>
  <si>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</si>
  <si>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</si>
  <si>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</si>
  <si>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</si>
  <si>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</si>
  <si>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</si>
  <si>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</si>
  <si>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</si>
  <si>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</si>
  <si>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</si>
  <si>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</si>
  <si>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</si>
  <si>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</si>
  <si>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</si>
  <si>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</si>
  <si>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</si>
  <si>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</si>
  <si>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</si>
  <si>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</si>
  <si>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</si>
  <si>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</si>
  <si>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</si>
  <si>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</si>
  <si>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</si>
  <si>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</si>
  <si>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</si>
  <si>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</si>
  <si>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</si>
  <si>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</si>
  <si>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</si>
  <si>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</si>
  <si>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</si>
  <si>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</si>
  <si>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</si>
  <si>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</si>
  <si>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</si>
  <si>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</si>
  <si>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</si>
  <si>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</si>
  <si>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</si>
  <si>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</si>
  <si>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</si>
  <si>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</si>
  <si>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</si>
  <si>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</si>
  <si>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</si>
  <si>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</si>
  <si>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</si>
  <si>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</si>
  <si>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</si>
  <si>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</si>
  <si>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</si>
  <si>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</si>
  <si>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</si>
  <si>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</si>
  <si>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</si>
  <si>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</si>
  <si>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</si>
  <si>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</si>
  <si>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</si>
  <si>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</si>
  <si>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</si>
  <si>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</si>
  <si>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</si>
  <si>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</si>
  <si>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</si>
  <si>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</si>
  <si>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</si>
  <si>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</si>
  <si>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</si>
  <si>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</si>
  <si>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</si>
  <si>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</si>
  <si>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</si>
  <si>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</si>
  <si>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</si>
  <si>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</si>
  <si>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</si>
  <si>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</si>
  <si>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</si>
  <si>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</si>
  <si>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</si>
  <si>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</si>
  <si>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</si>
  <si>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</si>
  <si>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</si>
  <si>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</si>
  <si>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</si>
  <si>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</si>
  <si>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</si>
  <si>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</si>
  <si>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</si>
  <si>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</si>
  <si>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</si>
  <si>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</si>
  <si>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</si>
  <si>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</si>
  <si>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</si>
  <si>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</si>
  <si>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</si>
  <si>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</si>
  <si>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</si>
  <si>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</si>
  <si>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</si>
  <si>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</si>
  <si>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</si>
  <si>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</si>
  <si>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</si>
  <si>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</si>
  <si>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</si>
  <si>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</si>
  <si>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</si>
  <si>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</si>
  <si>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</si>
  <si>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</si>
  <si>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</si>
  <si>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</si>
  <si>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</si>
  <si>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</si>
  <si>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</si>
  <si>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</si>
  <si>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</si>
  <si>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</si>
  <si>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</si>
  <si>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</si>
  <si>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</si>
  <si>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</si>
  <si>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</si>
  <si>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</si>
  <si>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</si>
  <si>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</si>
  <si>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</si>
  <si>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</si>
  <si>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</si>
  <si>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</si>
  <si>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</si>
  <si>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</si>
  <si>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</si>
  <si>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</si>
  <si>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</si>
  <si>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</si>
  <si>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</si>
  <si>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</si>
  <si>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</si>
  <si>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</si>
  <si>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</si>
  <si>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</si>
  <si>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</si>
  <si>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</si>
  <si>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</si>
  <si>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</si>
  <si>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</si>
  <si>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</si>
  <si>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</si>
  <si>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</si>
  <si>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</si>
  <si>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</si>
  <si>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</si>
  <si>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</si>
  <si>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</si>
  <si>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</si>
  <si>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</si>
  <si>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</si>
  <si>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</si>
  <si>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</si>
  <si>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</si>
  <si>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</si>
  <si>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</si>
  <si>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</si>
  <si>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</si>
  <si>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</si>
  <si>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</si>
  <si>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</si>
  <si>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</si>
  <si>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</si>
  <si>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</si>
  <si>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</si>
  <si>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</si>
  <si>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</si>
  <si>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</si>
  <si>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</si>
  <si>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</si>
  <si>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</si>
  <si>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</si>
  <si>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</si>
  <si>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</si>
  <si>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</si>
  <si>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</si>
  <si>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</si>
  <si>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</si>
  <si>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</si>
  <si>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</si>
  <si>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</si>
  <si>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</si>
  <si>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</si>
  <si>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</si>
  <si>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</si>
  <si>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</si>
  <si>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</si>
  <si>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</si>
  <si>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</si>
  <si>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</si>
  <si>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</si>
  <si>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</si>
  <si>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</si>
  <si>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</si>
  <si>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</si>
  <si>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</si>
  <si>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</si>
  <si>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</si>
  <si>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</si>
  <si>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</si>
  <si>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</si>
  <si>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</si>
  <si>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</si>
  <si>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</si>
  <si>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</si>
  <si>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</si>
  <si>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</si>
  <si>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</si>
  <si>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</si>
  <si>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</si>
  <si>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</si>
  <si>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</si>
  <si>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</si>
  <si>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</si>
  <si>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</si>
  <si>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</si>
  <si>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</si>
  <si>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</si>
  <si>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</si>
  <si>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</si>
  <si>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</si>
  <si>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</si>
  <si>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</si>
  <si>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</si>
  <si>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</si>
  <si>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</si>
  <si>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</si>
  <si>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</si>
  <si>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</si>
  <si>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</si>
  <si>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</si>
  <si>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</si>
  <si>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</si>
  <si>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</si>
  <si>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</si>
  <si>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</si>
  <si>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</si>
  <si>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</si>
  <si>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</si>
  <si>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</si>
  <si>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</si>
  <si>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</si>
  <si>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</si>
  <si>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</si>
  <si>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</si>
  <si>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</si>
  <si>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</si>
  <si>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</si>
  <si>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</si>
  <si>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</si>
  <si>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</si>
  <si>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</si>
  <si>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</si>
  <si>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</si>
  <si>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</si>
  <si>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</si>
  <si>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</si>
  <si>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</si>
  <si>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</si>
  <si>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</si>
  <si>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</si>
  <si>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</si>
  <si>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</si>
  <si>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</si>
  <si>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</si>
  <si>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</si>
  <si>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</si>
  <si>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</si>
  <si>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</si>
  <si>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</si>
  <si>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</si>
  <si>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</si>
  <si>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</si>
  <si>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</si>
  <si>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</si>
  <si>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</si>
  <si>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</si>
  <si>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</si>
  <si>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</si>
  <si>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</si>
  <si>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</si>
  <si>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</si>
  <si>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</si>
  <si>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</si>
  <si>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</si>
  <si>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</si>
  <si>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</si>
  <si>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</si>
  <si>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</si>
  <si>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</si>
  <si>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</si>
  <si>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</si>
  <si>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</si>
  <si>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</si>
  <si>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</si>
  <si>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</si>
  <si>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</si>
  <si>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</si>
  <si>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</si>
  <si>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</si>
  <si>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</si>
  <si>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</si>
  <si>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</si>
  <si>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</si>
  <si>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</si>
  <si>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</si>
  <si>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</si>
  <si>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</si>
  <si>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</si>
  <si>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</si>
  <si>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</si>
  <si>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</si>
  <si>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</si>
  <si>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</si>
  <si>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</si>
  <si>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</si>
  <si>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</si>
  <si>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</si>
  <si>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</si>
  <si>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</si>
  <si>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</si>
  <si>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</si>
  <si>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</si>
  <si>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</si>
  <si>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</si>
  <si>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</si>
  <si>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</si>
  <si>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</si>
  <si>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</si>
  <si>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</si>
  <si>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</si>
  <si>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</si>
  <si>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</si>
  <si>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</si>
  <si>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</si>
  <si>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</si>
  <si>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</si>
  <si>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</si>
  <si>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</si>
  <si>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</si>
  <si>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</si>
  <si>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</si>
  <si>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</si>
  <si>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</si>
  <si>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</si>
  <si>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</si>
  <si>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</si>
  <si>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</si>
  <si>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</si>
  <si>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</si>
  <si>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</si>
  <si>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</si>
  <si>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</si>
  <si>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</si>
  <si>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</si>
  <si>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</si>
  <si>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</si>
  <si>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</si>
  <si>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</si>
  <si>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</si>
  <si>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</si>
  <si>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</si>
  <si>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</si>
  <si>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</si>
  <si>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</si>
  <si>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</si>
  <si>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</si>
  <si>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</si>
  <si>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</si>
  <si>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</si>
  <si>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</si>
  <si>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</si>
  <si>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</si>
  <si>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</si>
  <si>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</si>
  <si>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</si>
  <si>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</si>
  <si>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</si>
  <si>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</si>
  <si>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</si>
  <si>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</si>
  <si>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</si>
  <si>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</si>
  <si>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</si>
  <si>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</si>
  <si>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</si>
  <si>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</si>
  <si>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</si>
  <si>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</si>
  <si>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</si>
  <si>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</si>
  <si>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</si>
  <si>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</si>
  <si>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</si>
  <si>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</si>
  <si>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</si>
  <si>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</si>
  <si>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</si>
  <si>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</si>
  <si>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</si>
  <si>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</si>
  <si>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</si>
  <si>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</si>
  <si>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</si>
  <si>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</si>
  <si>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</si>
  <si>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</si>
  <si>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</si>
  <si>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</si>
  <si>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</si>
  <si>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</si>
  <si>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</si>
  <si>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</si>
  <si>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</si>
  <si>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</si>
  <si>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</si>
  <si>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</si>
  <si>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</si>
  <si>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</si>
  <si>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</si>
  <si>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</si>
  <si>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</si>
  <si>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</si>
  <si>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</si>
  <si>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</si>
  <si>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</si>
  <si>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</si>
  <si>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</si>
  <si>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</si>
  <si>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</si>
  <si>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</si>
  <si>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</si>
  <si>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</si>
  <si>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</si>
  <si>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</si>
  <si>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</si>
  <si>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</si>
  <si>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</si>
  <si>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</si>
  <si>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</si>
  <si>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</si>
  <si>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</si>
  <si>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</si>
  <si>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</si>
  <si>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</si>
  <si>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</si>
  <si>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</si>
  <si>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</si>
  <si>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</si>
  <si>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</si>
  <si>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</si>
  <si>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</si>
  <si>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</si>
  <si>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</si>
  <si>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</si>
  <si>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</si>
  <si>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</si>
  <si>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</si>
  <si>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</si>
  <si>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</si>
  <si>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</si>
  <si>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</si>
  <si>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</si>
  <si>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</si>
  <si>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</si>
  <si>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</si>
  <si>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</si>
  <si>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</si>
  <si>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</si>
  <si>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</si>
  <si>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</si>
  <si>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</si>
  <si>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</si>
  <si>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</si>
  <si>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</si>
  <si>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</si>
  <si>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</si>
  <si>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</si>
  <si>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</si>
  <si>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</si>
  <si>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</si>
  <si>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</si>
  <si>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</si>
  <si>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</si>
  <si>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</si>
  <si>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</si>
  <si>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</si>
  <si>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</si>
  <si>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</si>
  <si>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</si>
  <si>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</si>
  <si>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</si>
  <si>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</si>
  <si>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</si>
  <si>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</si>
  <si>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</si>
  <si>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</si>
  <si>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</si>
  <si>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</si>
  <si>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</si>
  <si>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</si>
  <si>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</si>
  <si>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</si>
  <si>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</si>
  <si>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</si>
  <si>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</si>
  <si>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</si>
  <si>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</si>
  <si>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</si>
  <si>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</si>
  <si>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</si>
  <si>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</si>
  <si>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</si>
  <si>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</si>
  <si>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</si>
  <si>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</si>
  <si>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</si>
  <si>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</si>
  <si>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</si>
  <si>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</si>
  <si>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</si>
  <si>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</si>
  <si>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</si>
  <si>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</si>
  <si>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</si>
  <si>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</si>
  <si>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</si>
  <si>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</si>
  <si>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</si>
  <si>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</si>
  <si>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</si>
  <si>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</si>
  <si>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</si>
  <si>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</si>
  <si>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</si>
  <si>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</si>
  <si>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</si>
  <si>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</si>
  <si>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</si>
  <si>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</si>
  <si>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</si>
  <si>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</si>
  <si>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</si>
  <si>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</si>
  <si>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</si>
  <si>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</si>
  <si>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</si>
  <si>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</si>
  <si>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</si>
  <si>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</si>
  <si>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</si>
  <si>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</si>
  <si>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</si>
  <si>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</si>
  <si>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</si>
  <si>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</si>
  <si>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</si>
  <si>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</si>
  <si>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</si>
  <si>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</si>
  <si>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</si>
  <si>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</si>
  <si>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</si>
  <si>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</si>
  <si>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</si>
  <si>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</si>
  <si>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</si>
  <si>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</si>
  <si>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</si>
  <si>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</si>
  <si>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</si>
  <si>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</si>
  <si>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</si>
  <si>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</si>
  <si>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</si>
  <si>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</si>
  <si>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</si>
  <si>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</si>
  <si>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</si>
  <si>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</si>
  <si>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</si>
  <si>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</si>
  <si>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</si>
  <si>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</si>
  <si>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</si>
  <si>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</si>
  <si>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</si>
  <si>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</si>
  <si>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</si>
  <si>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</si>
  <si>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</si>
  <si>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</si>
  <si>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</si>
  <si>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</si>
  <si>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</si>
  <si>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</si>
  <si>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</si>
  <si>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</si>
  <si>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</si>
  <si>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</si>
  <si>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</si>
  <si>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</si>
  <si>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</si>
  <si>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</si>
  <si>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</si>
  <si>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</si>
  <si>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</si>
  <si>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</si>
  <si>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</si>
  <si>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</si>
  <si>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</si>
  <si>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</si>
  <si>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</si>
  <si>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</si>
  <si>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</si>
  <si>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</si>
  <si>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</si>
  <si>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</si>
  <si>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</si>
  <si>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</si>
  <si>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</si>
  <si>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</si>
  <si>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</si>
  <si>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</si>
  <si>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</si>
  <si>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</si>
  <si>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</si>
  <si>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</si>
  <si>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</si>
  <si>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</si>
  <si>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</si>
  <si>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</si>
  <si>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</si>
  <si>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</si>
  <si>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</si>
  <si>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</si>
  <si>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</si>
  <si>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</si>
  <si>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</si>
  <si>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</si>
  <si>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</si>
  <si>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</si>
  <si>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</si>
  <si>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</si>
  <si>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</si>
  <si>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</si>
  <si>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</si>
  <si>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</si>
  <si>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</si>
  <si>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</si>
  <si>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</si>
  <si>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</si>
  <si>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</si>
  <si>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</si>
  <si>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</si>
  <si>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</si>
  <si>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</si>
  <si>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</si>
  <si>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</si>
  <si>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</si>
  <si>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</si>
  <si>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</si>
  <si>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</si>
  <si>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</si>
  <si>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</si>
  <si>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</si>
  <si>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</si>
  <si>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</si>
  <si>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</si>
  <si>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</si>
  <si>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</si>
  <si>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</si>
  <si>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</si>
  <si>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</si>
  <si>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</si>
  <si>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</si>
  <si>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</si>
  <si>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</si>
  <si>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</si>
  <si>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</si>
  <si>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</si>
  <si>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</si>
  <si>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</si>
  <si>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</si>
  <si>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</si>
  <si>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</si>
  <si>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</si>
  <si>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</si>
  <si>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</si>
  <si>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</si>
  <si>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</si>
  <si>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</si>
  <si>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</si>
  <si>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</si>
  <si>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</si>
  <si>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</si>
  <si>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</si>
  <si>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</si>
  <si>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</si>
  <si>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</si>
  <si>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</si>
  <si>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</si>
  <si>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</si>
  <si>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</si>
  <si>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</si>
  <si>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</si>
  <si>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</si>
  <si>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</si>
  <si>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</si>
  <si>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</si>
  <si>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</si>
  <si>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</si>
  <si>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</si>
  <si>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</si>
  <si>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</si>
  <si>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</si>
  <si>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</si>
  <si>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</si>
  <si>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</si>
  <si>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</si>
  <si>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</si>
  <si>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</si>
  <si>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</si>
  <si>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</si>
  <si>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</si>
  <si>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</si>
  <si>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</si>
  <si>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</si>
  <si>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</si>
  <si>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</si>
  <si>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</si>
  <si>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</si>
  <si>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</si>
  <si>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</si>
  <si>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</si>
  <si>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</si>
  <si>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</si>
  <si>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</si>
  <si>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</si>
  <si>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</si>
  <si>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</si>
  <si>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</si>
  <si>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</si>
  <si>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</si>
  <si>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</si>
  <si>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</si>
  <si>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</si>
  <si>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</si>
  <si>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</si>
  <si>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</si>
  <si>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</si>
  <si>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</si>
  <si>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</si>
  <si>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</si>
  <si>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</si>
  <si>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</si>
  <si>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</si>
  <si>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</si>
  <si>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</si>
  <si>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</si>
  <si>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</si>
  <si>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</si>
  <si>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</si>
  <si>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</si>
  <si>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</si>
  <si>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</si>
  <si>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</si>
  <si>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</si>
  <si>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</si>
  <si>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</si>
  <si>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</si>
  <si>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</si>
  <si>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</si>
  <si>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</si>
  <si>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</si>
  <si>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</si>
  <si>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</si>
  <si>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</si>
  <si>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</si>
  <si>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</si>
  <si>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</si>
  <si>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</si>
  <si>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</si>
  <si>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</si>
  <si>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</si>
  <si>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</si>
  <si>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</si>
  <si>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</si>
  <si>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</si>
  <si>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</si>
  <si>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</si>
  <si>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</si>
  <si>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</si>
  <si>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</si>
  <si>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</si>
  <si>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</si>
  <si>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</si>
  <si>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</si>
  <si>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</si>
  <si>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</si>
  <si>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</si>
  <si>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</si>
  <si>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</si>
  <si>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</si>
  <si>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</si>
  <si>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</si>
  <si>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</si>
  <si>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</si>
  <si>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</si>
  <si>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</si>
  <si>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</si>
  <si>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</si>
  <si>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</si>
  <si>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</si>
  <si>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</si>
  <si>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</si>
  <si>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</si>
  <si>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</si>
  <si>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</si>
  <si>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</si>
  <si>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</si>
  <si>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</si>
  <si>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</si>
  <si>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</si>
  <si>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</si>
  <si>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</si>
  <si>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</si>
  <si>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</si>
  <si>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</si>
  <si>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</si>
  <si>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</si>
  <si>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</si>
  <si>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</si>
  <si>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</si>
  <si>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</si>
  <si>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</si>
  <si>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</si>
  <si>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</si>
  <si>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</si>
  <si>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</si>
  <si>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</si>
  <si>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</si>
  <si>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</si>
  <si>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</si>
  <si>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</si>
  <si>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</si>
  <si>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</si>
  <si>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</si>
  <si>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</si>
  <si>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</si>
  <si>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</si>
  <si>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</si>
  <si>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</si>
  <si>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</si>
  <si>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</si>
  <si>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</si>
  <si>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</si>
  <si>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</si>
  <si>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</si>
  <si>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</si>
  <si>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</si>
  <si>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</si>
  <si>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</si>
  <si>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</si>
  <si>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</si>
  <si>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</si>
  <si>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</si>
  <si>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</si>
  <si>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</si>
  <si>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</si>
  <si>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</si>
  <si>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</si>
  <si>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</si>
  <si>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</si>
  <si>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</si>
  <si>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</si>
  <si>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</si>
  <si>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</si>
  <si>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</si>
  <si>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</si>
  <si>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</si>
  <si>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</si>
  <si>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</si>
  <si>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</si>
  <si>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</si>
  <si>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</si>
  <si>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</si>
  <si>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</si>
  <si>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</si>
  <si>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</si>
  <si>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</si>
  <si>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</si>
  <si>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</si>
  <si>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</si>
  <si>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</si>
  <si>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</si>
  <si>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</si>
  <si>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</si>
  <si>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</si>
  <si>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</si>
  <si>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</si>
  <si>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</si>
  <si>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</si>
  <si>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</si>
  <si>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</si>
  <si>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</si>
  <si>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</si>
  <si>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</si>
  <si>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</si>
  <si>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</si>
  <si>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</si>
  <si>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</si>
  <si>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</si>
  <si>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</si>
  <si>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</si>
  <si>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</si>
  <si>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</si>
  <si>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</si>
  <si>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</si>
  <si>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</si>
  <si>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</si>
  <si>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</si>
  <si>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</si>
  <si>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</si>
  <si>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</si>
  <si>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</si>
  <si>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</si>
  <si>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</si>
  <si>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</si>
  <si>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</si>
  <si>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</si>
  <si>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</si>
  <si>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</si>
  <si>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</si>
  <si>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</si>
  <si>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</si>
  <si>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</si>
  <si>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</si>
  <si>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</si>
  <si>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</si>
  <si>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</si>
  <si>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</si>
  <si>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</si>
  <si>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</si>
  <si>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</si>
  <si>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</si>
  <si>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</si>
  <si>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</si>
  <si>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</si>
  <si>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</si>
  <si>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</si>
  <si>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</si>
  <si>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</si>
  <si>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</si>
  <si>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</si>
  <si>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</si>
  <si>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</si>
  <si>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</si>
  <si>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</si>
  <si>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</si>
  <si>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</si>
  <si>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</si>
  <si>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</si>
  <si>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</si>
  <si>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</si>
  <si>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</si>
  <si>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</si>
  <si>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</si>
  <si>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</si>
  <si>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</si>
  <si>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</si>
  <si>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</si>
  <si>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</si>
  <si>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</si>
  <si>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</si>
  <si>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</si>
  <si>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</si>
  <si>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</si>
  <si>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</si>
  <si>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</si>
  <si>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</si>
  <si>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</si>
  <si>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</si>
  <si>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</si>
  <si>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</si>
  <si>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</si>
  <si>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</si>
  <si>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</si>
  <si>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</si>
  <si>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</si>
  <si>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</si>
  <si>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</si>
  <si>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</si>
  <si>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</si>
  <si>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</si>
  <si>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</si>
  <si>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</si>
  <si>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</si>
  <si>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</si>
  <si>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</si>
  <si>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</si>
  <si>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</si>
  <si>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</si>
  <si>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</si>
  <si>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</si>
  <si>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</si>
  <si>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</si>
  <si>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</si>
  <si>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</si>
  <si>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</si>
  <si>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</si>
  <si>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</si>
  <si>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</si>
  <si>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</si>
  <si>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</si>
  <si>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</si>
  <si>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</si>
  <si>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</si>
  <si>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</si>
  <si>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</si>
  <si>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</si>
  <si>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</si>
  <si>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</si>
  <si>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</si>
  <si>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</si>
  <si>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</si>
  <si>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</si>
  <si>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</si>
  <si>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</si>
  <si>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</si>
  <si>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</si>
  <si>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</si>
  <si>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</si>
  <si>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</si>
  <si>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</si>
  <si>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</si>
  <si>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</si>
  <si>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</si>
  <si>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</si>
  <si>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</si>
  <si>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</si>
  <si>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</si>
  <si>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</si>
  <si>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</si>
  <si>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</si>
  <si>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</si>
  <si>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</si>
  <si>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</si>
  <si>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</si>
  <si>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</si>
  <si>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</si>
  <si>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</si>
  <si>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</si>
  <si>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</si>
  <si>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</si>
  <si>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</si>
  <si>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</si>
  <si>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</si>
  <si>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</si>
  <si>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</si>
  <si>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</si>
  <si>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</si>
  <si>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</si>
  <si>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</si>
  <si>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</si>
  <si>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</si>
  <si>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</si>
  <si>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</si>
  <si>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</si>
  <si>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</si>
  <si>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</si>
  <si>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</si>
  <si>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</si>
  <si>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</si>
  <si>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</si>
  <si>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</si>
  <si>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</si>
  <si>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</si>
  <si>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</si>
  <si>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</si>
  <si>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</si>
  <si>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</si>
  <si>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</si>
  <si>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</si>
  <si>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</si>
  <si>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</si>
  <si>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</si>
  <si>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</si>
  <si>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</si>
  <si>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</si>
  <si>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</si>
  <si>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</si>
  <si>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</si>
  <si>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</si>
  <si>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</si>
  <si>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</si>
  <si>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</si>
  <si>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</si>
  <si>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</si>
  <si>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</si>
  <si>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</si>
  <si>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</si>
  <si>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</si>
  <si>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</si>
  <si>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</si>
  <si>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</si>
  <si>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</si>
  <si>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</si>
  <si>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</si>
  <si>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</si>
  <si>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</si>
  <si>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</si>
  <si>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</si>
  <si>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</si>
  <si>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</si>
  <si>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</si>
  <si>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</si>
  <si>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</si>
  <si>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</si>
  <si>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</si>
  <si>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</si>
  <si>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</si>
  <si>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</si>
  <si>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</si>
  <si>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</si>
  <si>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</si>
  <si>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</si>
  <si>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</si>
  <si>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</si>
  <si>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</si>
  <si>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</si>
  <si>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</si>
  <si>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</si>
  <si>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</si>
  <si>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</si>
  <si>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</si>
  <si>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</si>
  <si>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</si>
  <si>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</si>
  <si>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</si>
  <si>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</si>
  <si>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</si>
  <si>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</si>
  <si>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</si>
  <si>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</si>
  <si>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</si>
  <si>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</si>
  <si>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</si>
  <si>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</si>
  <si>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</si>
  <si>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</si>
  <si>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</si>
  <si>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</si>
  <si>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</si>
  <si>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</si>
  <si>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</si>
  <si>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</si>
  <si>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</si>
  <si>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</si>
  <si>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</si>
  <si>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</si>
  <si>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</si>
  <si>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</si>
  <si>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</si>
  <si>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</si>
  <si>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</si>
  <si>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</si>
  <si>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</si>
  <si>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</si>
  <si>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</si>
  <si>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</si>
  <si>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</si>
  <si>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</si>
  <si>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</si>
  <si>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</si>
  <si>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</si>
  <si>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</si>
  <si>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</si>
  <si>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</si>
  <si>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</si>
  <si>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</si>
  <si>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</si>
  <si>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</si>
  <si>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</si>
  <si>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</si>
  <si>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</si>
  <si>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</si>
  <si>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</si>
  <si>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</si>
  <si>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</si>
  <si>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</si>
  <si>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</si>
  <si>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</si>
  <si>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</si>
  <si>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</si>
  <si>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</si>
  <si>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</si>
  <si>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</si>
  <si>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</si>
  <si>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</si>
  <si>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</si>
  <si>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</si>
  <si>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</si>
  <si>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</si>
  <si>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</si>
  <si>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</si>
  <si>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</si>
  <si>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</si>
  <si>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</si>
  <si>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</si>
  <si>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</si>
  <si>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</si>
  <si>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</si>
  <si>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</si>
  <si>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</si>
  <si>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</si>
  <si>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</si>
  <si>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</si>
  <si>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</si>
  <si>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</si>
  <si>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</si>
  <si>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</si>
  <si>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</si>
  <si>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</si>
  <si>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</si>
  <si>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</si>
  <si>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</si>
  <si>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</si>
  <si>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</si>
  <si>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</si>
  <si>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</si>
  <si>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</si>
  <si>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</si>
  <si>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</si>
  <si>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</si>
  <si>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</si>
  <si>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</si>
  <si>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</si>
  <si>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</si>
  <si>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</si>
  <si>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</si>
  <si>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</si>
  <si>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</si>
  <si>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</si>
  <si>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</si>
  <si>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</si>
  <si>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</si>
  <si>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</si>
  <si>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</si>
  <si>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</si>
  <si>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</si>
  <si>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</si>
  <si>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</si>
  <si>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</si>
  <si>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</si>
  <si>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</si>
  <si>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</si>
  <si>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</si>
  <si>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</si>
  <si>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</si>
  <si>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</si>
  <si>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</si>
  <si>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</si>
  <si>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</si>
  <si>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</si>
  <si>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</si>
  <si>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</si>
  <si>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</si>
  <si>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</si>
  <si>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</si>
  <si>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</si>
  <si>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</si>
  <si>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</si>
  <si>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</si>
  <si>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</si>
  <si>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</si>
  <si>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</si>
  <si>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</si>
  <si>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</si>
  <si>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</si>
  <si>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</si>
  <si>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</si>
  <si>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</si>
  <si>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</si>
  <si>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</si>
  <si>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</si>
  <si>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</si>
  <si>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</si>
  <si>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</si>
  <si>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</si>
  <si>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</si>
  <si>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</si>
  <si>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</si>
  <si>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</si>
  <si>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</si>
  <si>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</si>
  <si>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</si>
  <si>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</si>
  <si>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</si>
  <si>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</si>
  <si>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</si>
  <si>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</si>
  <si>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</si>
  <si>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</si>
  <si>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</si>
  <si>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</si>
  <si>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</si>
  <si>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</si>
  <si>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</si>
  <si>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</si>
  <si>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</si>
  <si>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</si>
  <si>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</si>
  <si>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</si>
  <si>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</si>
  <si>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</si>
  <si>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</si>
  <si>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</si>
  <si>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</si>
  <si>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</si>
  <si>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</si>
  <si>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</si>
  <si>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</si>
  <si>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</si>
  <si>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</si>
  <si>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</si>
  <si>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</si>
  <si>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</si>
  <si>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</si>
  <si>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</si>
  <si>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</si>
  <si>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</si>
  <si>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</si>
  <si>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</si>
  <si>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</si>
  <si>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</si>
  <si>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</si>
  <si>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</si>
  <si>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</si>
  <si>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</si>
  <si>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</si>
  <si>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</si>
  <si>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</si>
  <si>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</si>
  <si>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</si>
  <si>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</si>
  <si>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</si>
  <si>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</si>
  <si>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</si>
  <si>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</si>
  <si>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</si>
  <si>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</si>
  <si>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</si>
  <si>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</si>
  <si>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</si>
  <si>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</si>
  <si>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</si>
  <si>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</si>
  <si>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</si>
  <si>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</si>
  <si>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</si>
  <si>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</si>
  <si>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</si>
  <si>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</si>
  <si>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</si>
  <si>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</si>
  <si>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</si>
  <si>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</si>
  <si>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</si>
  <si>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</si>
  <si>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</si>
  <si>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</si>
  <si>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</si>
  <si>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</si>
  <si>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</si>
  <si>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</si>
  <si>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</si>
  <si>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</si>
  <si>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</si>
  <si>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</si>
  <si>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</si>
  <si>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</si>
  <si>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</si>
  <si>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</si>
  <si>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</si>
  <si>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</si>
  <si>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</si>
  <si>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</si>
  <si>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</si>
  <si>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</si>
  <si>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</si>
  <si>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</si>
  <si>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</si>
  <si>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</si>
  <si>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</si>
  <si>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</si>
  <si>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</si>
  <si>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</si>
  <si>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</si>
  <si>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</si>
  <si>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</si>
  <si>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</si>
  <si>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</si>
  <si>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</si>
  <si>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</si>
  <si>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</si>
  <si>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</si>
  <si>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</si>
  <si>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</si>
  <si>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</si>
  <si>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</si>
  <si>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</si>
  <si>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</si>
  <si>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</si>
  <si>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</si>
  <si>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</si>
  <si>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</si>
  <si>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</si>
  <si>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</si>
  <si>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</si>
  <si>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</si>
  <si>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</si>
  <si>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</si>
  <si>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</si>
  <si>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</si>
  <si>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</si>
  <si>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</si>
  <si>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</si>
  <si>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</si>
  <si>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</si>
  <si>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</si>
  <si>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</si>
  <si>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</si>
  <si>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</si>
  <si>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</si>
  <si>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</si>
  <si>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</si>
  <si>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</si>
  <si>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</si>
  <si>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</si>
  <si>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</si>
  <si>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</si>
  <si>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</si>
  <si>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</si>
  <si>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</si>
  <si>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</si>
  <si>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</si>
  <si>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</si>
  <si>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</si>
  <si>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</si>
  <si>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</si>
  <si>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</si>
  <si>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</si>
  <si>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</si>
  <si>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</si>
  <si>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</si>
  <si>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</si>
  <si>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</si>
  <si>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</si>
  <si>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</si>
  <si>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</si>
  <si>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</si>
  <si>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</si>
  <si>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</si>
  <si>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</si>
  <si>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</si>
  <si>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</si>
  <si>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</si>
  <si>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</si>
  <si>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</si>
  <si>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</si>
  <si>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</si>
  <si>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</si>
  <si>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</si>
  <si>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</si>
  <si>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</si>
  <si>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</si>
  <si>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</si>
  <si>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</si>
  <si>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</si>
  <si>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</si>
  <si>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</si>
  <si>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</si>
  <si>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</si>
  <si>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</si>
  <si>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</si>
  <si>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</si>
  <si>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</si>
  <si>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</si>
  <si>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</si>
  <si>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</si>
  <si>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</si>
  <si>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</si>
  <si>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</si>
  <si>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</si>
  <si>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</si>
  <si>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</si>
  <si>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</si>
  <si>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</si>
  <si>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</si>
  <si>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</si>
  <si>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</si>
  <si>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</si>
  <si>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</si>
  <si>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</si>
  <si>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</si>
  <si>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</si>
  <si>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</si>
  <si>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</si>
  <si>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</si>
  <si>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</si>
  <si>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</si>
  <si>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</si>
  <si>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</si>
  <si>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</si>
  <si>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</si>
  <si>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</si>
  <si>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</si>
  <si>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</si>
  <si>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</si>
  <si>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</si>
  <si>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</si>
  <si>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</si>
  <si>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</si>
  <si>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</si>
  <si>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</si>
  <si>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</si>
  <si>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</si>
  <si>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</si>
  <si>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</si>
  <si>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</si>
  <si>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</si>
  <si>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</si>
  <si>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</si>
  <si>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</si>
  <si>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</si>
  <si>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</si>
  <si>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</si>
  <si>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</si>
  <si>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</si>
  <si>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</si>
  <si>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</si>
  <si>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</si>
  <si>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</si>
  <si>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</si>
  <si>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</si>
  <si>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</si>
  <si>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</si>
  <si>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</si>
  <si>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</si>
  <si>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</si>
  <si>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</si>
  <si>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</si>
  <si>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</si>
  <si>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</si>
  <si>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</si>
  <si>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</si>
  <si>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</si>
  <si>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</si>
  <si>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</si>
  <si>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</si>
  <si>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</si>
  <si>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</si>
  <si>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</si>
  <si>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</si>
  <si>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</si>
  <si>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</si>
  <si>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</si>
  <si>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</si>
  <si>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</si>
  <si>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</si>
  <si>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</si>
  <si>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</si>
  <si>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</si>
  <si>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</si>
  <si>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</si>
  <si>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</si>
  <si>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</si>
  <si>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</si>
  <si>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</si>
  <si>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</si>
  <si>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</si>
  <si>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</si>
  <si>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</si>
  <si>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</si>
  <si>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</si>
  <si>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</si>
  <si>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</si>
  <si>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</si>
  <si>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</si>
  <si>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</si>
  <si>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</si>
  <si>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</si>
  <si>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</si>
  <si>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</si>
  <si>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</si>
  <si>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</si>
  <si>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</si>
  <si>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</si>
  <si>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</si>
  <si>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</si>
  <si>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</si>
  <si>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</si>
  <si>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</si>
  <si>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</si>
  <si>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</si>
  <si>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</si>
  <si>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</si>
  <si>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</si>
  <si>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</si>
  <si>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</si>
  <si>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</si>
  <si>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</si>
  <si>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</si>
  <si>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</si>
  <si>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</si>
  <si>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</si>
  <si>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</si>
  <si>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</si>
  <si>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</si>
  <si>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</si>
  <si>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</si>
  <si>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</si>
  <si>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</si>
  <si>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</si>
  <si>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</si>
  <si>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</si>
  <si>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</si>
  <si>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</si>
  <si>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</si>
  <si>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</si>
  <si>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</si>
  <si>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</si>
  <si>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</si>
  <si>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</si>
  <si>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</si>
  <si>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</si>
  <si>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</si>
  <si>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</si>
  <si>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</si>
  <si>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</si>
  <si>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</si>
  <si>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</si>
  <si>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</si>
  <si>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</si>
  <si>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</si>
  <si>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</si>
  <si>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</si>
  <si>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</si>
  <si>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</si>
  <si>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</si>
  <si>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</si>
  <si>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</si>
  <si>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</si>
  <si>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</si>
  <si>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</si>
  <si>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</si>
  <si>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</si>
  <si>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</si>
  <si>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</si>
  <si>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</si>
  <si>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</si>
  <si>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</si>
  <si>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</si>
  <si>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</si>
  <si>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</si>
  <si>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</si>
  <si>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</si>
  <si>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</si>
  <si>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</si>
  <si>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</si>
  <si>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</si>
  <si>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</si>
  <si>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</si>
  <si>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</si>
  <si>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</si>
  <si>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</si>
  <si>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</si>
  <si>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</si>
  <si>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</si>
  <si>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</si>
  <si>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</si>
  <si>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</si>
  <si>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</si>
  <si>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</si>
  <si>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</si>
  <si>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</si>
  <si>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</si>
  <si>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</si>
  <si>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</si>
  <si>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</si>
  <si>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</si>
  <si>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</si>
  <si>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</si>
  <si>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</si>
  <si>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</si>
  <si>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</si>
  <si>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</si>
  <si>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</si>
  <si>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</si>
  <si>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</si>
  <si>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</si>
  <si>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</si>
  <si>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</si>
  <si>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</si>
  <si>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</si>
  <si>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</si>
  <si>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</si>
  <si>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</si>
  <si>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</si>
  <si>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</si>
  <si>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</si>
  <si>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</si>
  <si>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</si>
  <si>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</si>
  <si>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</si>
  <si>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</si>
  <si>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</si>
  <si>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</si>
  <si>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</si>
  <si>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</si>
  <si>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</si>
  <si>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</si>
  <si>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</si>
  <si>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</si>
  <si>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</si>
  <si>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</si>
  <si>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</si>
  <si>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</si>
  <si>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</si>
  <si>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</si>
  <si>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</si>
  <si>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</si>
  <si>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</si>
  <si>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</si>
  <si>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</si>
  <si>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</si>
  <si>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</si>
  <si>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</si>
  <si>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</si>
  <si>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</si>
  <si>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</si>
  <si>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</si>
  <si>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</si>
  <si>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</si>
  <si>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</si>
  <si>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</si>
  <si>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</si>
  <si>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</si>
  <si>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</si>
  <si>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</si>
  <si>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</si>
  <si>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</si>
  <si>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</si>
  <si>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</si>
  <si>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</si>
  <si>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</si>
  <si>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</si>
  <si>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</si>
  <si>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</si>
  <si>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</si>
  <si>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</si>
  <si>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</si>
  <si>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</si>
  <si>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</si>
  <si>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</si>
  <si>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</si>
  <si>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</si>
  <si>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</si>
  <si>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</si>
  <si>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</si>
  <si>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</si>
  <si>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</si>
  <si>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</si>
  <si>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</si>
  <si>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</si>
  <si>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</si>
  <si>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</si>
  <si>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</si>
  <si>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</si>
  <si>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</si>
  <si>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</si>
  <si>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</si>
  <si>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</si>
  <si>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</si>
  <si>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</si>
  <si>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</si>
  <si>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</si>
  <si>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</si>
  <si>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</si>
  <si>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</si>
  <si>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</si>
  <si>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</si>
  <si>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</si>
  <si>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</si>
  <si>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</si>
  <si>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</si>
  <si>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</si>
  <si>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</si>
  <si>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</si>
  <si>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</si>
  <si>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</si>
  <si>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</si>
  <si>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</si>
  <si>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</si>
  <si>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</si>
  <si>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</si>
  <si>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</si>
  <si>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</si>
  <si>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</si>
  <si>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</si>
  <si>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</si>
  <si>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</si>
  <si>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</si>
  <si>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</si>
  <si>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</si>
  <si>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</si>
  <si>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</si>
  <si>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</si>
  <si>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</si>
  <si>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</si>
  <si>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</si>
  <si>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</si>
  <si>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</si>
  <si>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</si>
  <si>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</si>
  <si>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</si>
  <si>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</si>
  <si>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</si>
  <si>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</si>
  <si>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</si>
  <si>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</si>
  <si>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</si>
  <si>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</si>
  <si>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</si>
  <si>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</si>
  <si>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</si>
  <si>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</si>
  <si>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</si>
  <si>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</si>
  <si>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</si>
  <si>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</si>
  <si>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</si>
  <si>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</si>
  <si>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</si>
  <si>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</si>
  <si>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</si>
  <si>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</si>
  <si>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</si>
  <si>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</si>
  <si>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</si>
  <si>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</si>
  <si>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</si>
  <si>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</si>
  <si>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</si>
  <si>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</si>
  <si>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</si>
  <si>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</si>
  <si>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</si>
  <si>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</si>
  <si>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</si>
  <si>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</si>
  <si>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</si>
  <si>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</si>
  <si>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</si>
  <si>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</si>
  <si>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</si>
  <si>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</si>
  <si>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</si>
  <si>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</si>
  <si>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</si>
  <si>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</si>
  <si>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</si>
  <si>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</si>
  <si>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</si>
  <si>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</si>
  <si>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</si>
  <si>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</si>
  <si>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</si>
  <si>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</si>
  <si>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</si>
  <si>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</si>
  <si>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</si>
  <si>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</si>
  <si>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</si>
  <si>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</si>
  <si>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</si>
  <si>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</si>
  <si>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</si>
  <si>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</si>
  <si>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</si>
  <si>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</si>
  <si>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</si>
  <si>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</si>
  <si>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</si>
  <si>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</si>
  <si>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</si>
  <si>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</si>
  <si>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</si>
  <si>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</si>
  <si>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</si>
  <si>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</si>
  <si>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</si>
  <si>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</si>
  <si>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</si>
  <si>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</si>
  <si>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</si>
  <si>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</si>
  <si>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</si>
  <si>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</si>
  <si>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</si>
  <si>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</si>
  <si>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</si>
  <si>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</si>
  <si>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</si>
  <si>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</si>
  <si>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</si>
  <si>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</si>
  <si>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</si>
  <si>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</si>
  <si>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</si>
  <si>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</si>
  <si>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</si>
  <si>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</si>
  <si>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</si>
  <si>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</si>
  <si>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</si>
  <si>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</si>
  <si>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</si>
  <si>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</si>
  <si>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</si>
  <si>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</si>
  <si>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</si>
  <si>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</si>
  <si>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</si>
  <si>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</si>
  <si>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</si>
  <si>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</si>
  <si>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</si>
  <si>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</si>
  <si>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</si>
  <si>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</si>
  <si>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</si>
  <si>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</si>
  <si>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</si>
  <si>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</si>
  <si>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</si>
  <si>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</si>
  <si>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</si>
  <si>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</si>
  <si>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</si>
  <si>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</si>
  <si>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2018-1-0877-P01DYGJ1</t>
    <phoneticPr fontId="3" type="noConversion"/>
  </si>
  <si>
    <t>崔锴</t>
  </si>
  <si>
    <t>吴薇</t>
  </si>
  <si>
    <t>大连国美电器有限公司</t>
    <phoneticPr fontId="6" type="noConversion"/>
  </si>
  <si>
    <t>民生银行大连支行</t>
    <phoneticPr fontId="6" type="noConversion"/>
  </si>
  <si>
    <t>抵押</t>
  </si>
  <si>
    <t>房地产抵押价值</t>
  </si>
  <si>
    <t>北京市</t>
  </si>
  <si>
    <t>企业</t>
  </si>
  <si>
    <r>
      <rPr>
        <sz val="12"/>
        <color theme="9" tint="-0.249977111117893"/>
        <rFont val="宋体"/>
        <family val="3"/>
        <charset val="134"/>
      </rPr>
      <t>北京市海淀区中关村大街</t>
    </r>
    <r>
      <rPr>
        <sz val="12"/>
        <color theme="9" tint="-0.249977111117893"/>
        <rFont val="Arial"/>
        <family val="2"/>
      </rPr>
      <t>18</t>
    </r>
    <r>
      <rPr>
        <sz val="12"/>
        <color theme="9" tint="-0.249977111117893"/>
        <rFont val="宋体"/>
        <family val="3"/>
        <charset val="134"/>
      </rPr>
      <t>号</t>
    </r>
    <phoneticPr fontId="6" type="noConversion"/>
  </si>
  <si>
    <t>出让</t>
  </si>
  <si>
    <t>办公</t>
    <phoneticPr fontId="6" type="noConversion"/>
  </si>
  <si>
    <r>
      <t>32.53</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</si>
  <si>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京房权海字第</t>
    </r>
    <r>
      <rPr>
        <sz val="12"/>
        <color theme="9" tint="-0.249977111117893"/>
        <rFont val="Arial"/>
        <family val="2"/>
      </rPr>
      <t>065779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</si>
  <si>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2009</t>
    </r>
    <r>
      <rPr>
        <sz val="12"/>
        <color theme="9" tint="-0.249977111117893"/>
        <rFont val="宋体"/>
        <family val="3"/>
        <charset val="134"/>
      </rPr>
      <t>转）第</t>
    </r>
    <r>
      <rPr>
        <sz val="12"/>
        <color theme="9" tint="-0.249977111117893"/>
        <rFont val="Arial"/>
        <family val="2"/>
      </rPr>
      <t>4657</t>
    </r>
    <r>
      <rPr>
        <sz val="12"/>
        <color theme="9" tint="-0.249977111117893"/>
        <rFont val="宋体"/>
        <family val="3"/>
        <charset val="134"/>
      </rPr>
      <t>号</t>
    </r>
    <r>
      <rPr>
        <sz val="12"/>
        <color theme="9" tint="-0.249977111117893"/>
        <rFont val="Arial"/>
        <family val="2"/>
      </rPr>
      <t>]</t>
    </r>
    <phoneticPr fontId="6" type="noConversion"/>
  </si>
  <si>
    <t>是</t>
  </si>
  <si>
    <t>否</t>
  </si>
  <si>
    <t>复印件</t>
  </si>
  <si>
    <t>综合项目（商业、办公）</t>
  </si>
  <si>
    <t>无</t>
  </si>
  <si>
    <t>现房</t>
  </si>
  <si>
    <t>正常</t>
  </si>
  <si>
    <t>正常</t>
    <phoneticPr fontId="6" type="noConversion"/>
  </si>
  <si>
    <t>通路</t>
  </si>
  <si>
    <t>通电</t>
  </si>
  <si>
    <t>通讯</t>
  </si>
  <si>
    <t>通上水</t>
  </si>
  <si>
    <t>通下水</t>
  </si>
  <si>
    <t>通热</t>
  </si>
  <si>
    <t>燃气</t>
  </si>
  <si>
    <t>地上</t>
  </si>
  <si>
    <t>办公楼</t>
  </si>
  <si>
    <t>成新度</t>
  </si>
  <si>
    <t>收益法</t>
  </si>
  <si>
    <t>城市次干道-中关村大街</t>
  </si>
  <si>
    <t>商务金融用地（办公类）</t>
  </si>
  <si>
    <t>六通一平</t>
  </si>
  <si>
    <t>缺少</t>
  </si>
  <si>
    <t>按公示增长率计算</t>
  </si>
  <si>
    <t>容积率修正</t>
  </si>
  <si>
    <t>紧邻中关村大街，利用程度较好</t>
    <phoneticPr fontId="79" type="noConversion"/>
  </si>
  <si>
    <t>宗地形状较规则，基本不影响</t>
    <phoneticPr fontId="79" type="noConversion"/>
  </si>
  <si>
    <t>较好</t>
  </si>
  <si>
    <t>一般</t>
  </si>
  <si>
    <t>好</t>
  </si>
  <si>
    <t>未包含在土地购买价格中</t>
  </si>
  <si>
    <t>已包含在土地取得成本中</t>
  </si>
  <si>
    <t>按租金收入计税</t>
  </si>
  <si>
    <t>押一</t>
  </si>
  <si>
    <t>钢混</t>
  </si>
  <si>
    <t>非生产用房</t>
  </si>
  <si>
    <t>30-40（含）</t>
  </si>
  <si>
    <t>七通</t>
  </si>
  <si>
    <t>次干道</t>
  </si>
  <si>
    <t>中区</t>
  </si>
  <si>
    <t>塔楼</t>
  </si>
  <si>
    <t>精装修</t>
  </si>
  <si>
    <t>标准</t>
  </si>
  <si>
    <t>专业</t>
  </si>
  <si>
    <t>六通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</si>
  <si>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</si>
  <si>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</si>
  <si>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</si>
  <si>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</si>
  <si>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</si>
  <si>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</si>
  <si>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</si>
  <si>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</si>
  <si>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塔楼</t>
    <phoneticPr fontId="3" type="noConversion"/>
  </si>
  <si>
    <t>钢混</t>
    <phoneticPr fontId="3" type="noConversion"/>
  </si>
  <si>
    <t>精装修</t>
    <phoneticPr fontId="3" type="noConversion"/>
  </si>
  <si>
    <t>简装修</t>
    <phoneticPr fontId="3" type="noConversion"/>
  </si>
  <si>
    <t>毛坯</t>
    <phoneticPr fontId="3" type="noConversion"/>
  </si>
  <si>
    <t>标准</t>
    <phoneticPr fontId="32" type="noConversion"/>
  </si>
  <si>
    <t>专业</t>
    <phoneticPr fontId="32" type="noConversion"/>
  </si>
  <si>
    <t>七通</t>
    <phoneticPr fontId="32" type="noConversion"/>
  </si>
  <si>
    <t>六通</t>
    <phoneticPr fontId="32" type="noConversion"/>
  </si>
  <si>
    <t>办公</t>
    <phoneticPr fontId="32" type="noConversion"/>
  </si>
  <si>
    <t>低区</t>
  </si>
  <si>
    <t>租金</t>
  </si>
  <si>
    <r>
      <t>6</t>
    </r>
    <r>
      <rPr>
        <sz val="10"/>
        <color indexed="8"/>
        <rFont val="宋体"/>
        <family val="3"/>
        <charset val="134"/>
      </rPr>
      <t>层</t>
    </r>
    <phoneticPr fontId="7" type="noConversion"/>
  </si>
  <si>
    <t>6层</t>
  </si>
  <si>
    <t>成本法</t>
  </si>
  <si>
    <t>成本比率</t>
  </si>
  <si>
    <t>中关村大街18号</t>
  </si>
  <si>
    <t>五通</t>
  </si>
  <si>
    <t>五通</t>
    <phoneticPr fontId="32" type="noConversion"/>
  </si>
  <si>
    <t>四通</t>
    <phoneticPr fontId="32" type="noConversion"/>
  </si>
  <si>
    <t>三通</t>
    <phoneticPr fontId="32" type="noConversion"/>
  </si>
  <si>
    <r>
      <rPr>
        <sz val="11"/>
        <rFont val="宋体"/>
        <family val="3"/>
        <charset val="134"/>
      </rPr>
      <t>城市次干道</t>
    </r>
    <r>
      <rPr>
        <sz val="11"/>
        <rFont val="Arial"/>
        <family val="2"/>
      </rPr>
      <t>-</t>
    </r>
    <r>
      <rPr>
        <sz val="11"/>
        <rFont val="宋体"/>
        <family val="3"/>
        <charset val="134"/>
      </rPr>
      <t>中关村大街</t>
    </r>
    <phoneticPr fontId="32" type="noConversion"/>
  </si>
  <si>
    <t>普通装修</t>
  </si>
  <si>
    <t>普通装修</t>
    <phoneticPr fontId="3" type="noConversion"/>
  </si>
  <si>
    <r>
      <t>6</t>
    </r>
    <r>
      <rPr>
        <sz val="10"/>
        <color indexed="8"/>
        <rFont val="宋体"/>
        <family val="3"/>
        <charset val="134"/>
      </rPr>
      <t>层</t>
    </r>
    <phoneticPr fontId="3" type="noConversion"/>
  </si>
  <si>
    <t>单面临街</t>
  </si>
  <si>
    <t>高区</t>
  </si>
  <si>
    <t>海龙大厦</t>
    <phoneticPr fontId="32" type="noConversion"/>
  </si>
  <si>
    <r>
      <rPr>
        <sz val="11"/>
        <color theme="9" tint="-0.249977111117893"/>
        <rFont val="宋体"/>
        <family val="3"/>
        <charset val="134"/>
      </rPr>
      <t>中关村大街</t>
    </r>
    <r>
      <rPr>
        <sz val="11"/>
        <color theme="9" tint="-0.249977111117893"/>
        <rFont val="Arial"/>
        <family val="2"/>
      </rPr>
      <t>1</t>
    </r>
    <r>
      <rPr>
        <sz val="11"/>
        <color theme="9" tint="-0.249977111117893"/>
        <rFont val="宋体"/>
        <family val="3"/>
        <charset val="134"/>
      </rPr>
      <t>号</t>
    </r>
    <phoneticPr fontId="32" type="noConversion"/>
  </si>
  <si>
    <t>中关村科贸电子城</t>
    <phoneticPr fontId="32" type="noConversion"/>
  </si>
  <si>
    <r>
      <rPr>
        <sz val="11"/>
        <rFont val="宋体"/>
        <family val="3"/>
        <charset val="134"/>
      </rPr>
      <t>城市支道</t>
    </r>
    <r>
      <rPr>
        <sz val="11"/>
        <rFont val="Arial"/>
        <family val="2"/>
      </rPr>
      <t>-</t>
    </r>
    <r>
      <rPr>
        <sz val="11"/>
        <rFont val="宋体"/>
        <family val="3"/>
        <charset val="134"/>
      </rPr>
      <t>中关村大街</t>
    </r>
    <phoneticPr fontId="32" type="noConversion"/>
  </si>
  <si>
    <t>宗地容积率</t>
  </si>
  <si>
    <t>不临58条商业街</t>
  </si>
  <si>
    <t>建筑面积</t>
  </si>
  <si>
    <t>分摊土地面积</t>
  </si>
  <si>
    <t>建筑物价值</t>
  </si>
  <si>
    <t>售价</t>
  </si>
  <si>
    <t>鼎好电子大厦</t>
    <phoneticPr fontId="32" type="noConversion"/>
  </si>
  <si>
    <t>天创科技大厦</t>
    <phoneticPr fontId="32" type="noConversion"/>
  </si>
  <si>
    <t>彩和坊路8号</t>
    <phoneticPr fontId="32" type="noConversion"/>
  </si>
  <si>
    <t>全部缴纳</t>
  </si>
  <si>
    <t>好</t>
    <phoneticPr fontId="25" type="noConversion"/>
  </si>
  <si>
    <t>较好</t>
    <phoneticPr fontId="25" type="noConversion"/>
  </si>
  <si>
    <t>七通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</si>
</sst>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style="medium">
        <color indexed="64"/>
      </right>
      <top style="medium">
        <color indexed="64"/>
      </top>
      <bottom style="double">
        <color indexed="64"/>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 fontId="55" fillId="0" borderId="156" xfId="0" applyNumberFormat="1"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50" fillId="0" borderId="32" xfId="0" applyFont="1" applyFill="1" applyBorder="1" applyAlignment="1" applyProtection="1">
      <alignment vertical="center" wrapText="1"/>
      <protection locked="0"/>
    </xf>
    <xf numFmtId="10" fontId="50" fillId="0" borderId="24" xfId="1" applyNumberFormat="1" applyFont="1" applyFill="1" applyBorder="1" applyAlignment="1" applyProtection="1">
      <alignment horizontal="center" vertical="center"/>
      <protection locked="0"/>
    </xf>
    <xf numFmtId="10" fontId="47" fillId="6" borderId="0" xfId="0" applyNumberFormat="1" applyFont="1" applyFill="1" applyAlignment="1" applyProtection="1">
      <alignment vertical="center"/>
      <protection locked="0"/>
    </xf>
    <xf numFmtId="9" fontId="47" fillId="0" borderId="24" xfId="0" applyNumberFormat="1" applyFont="1" applyBorder="1" applyAlignment="1" applyProtection="1">
      <alignment vertical="center"/>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97" fontId="73" fillId="3" borderId="20" xfId="0" applyNumberFormat="1" applyFont="1" applyFill="1" applyBorder="1" applyAlignment="1" applyProtection="1">
      <alignment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2" fontId="54" fillId="6" borderId="0" xfId="0" applyNumberFormat="1" applyFont="1" applyFill="1" applyAlignment="1" applyProtection="1">
      <alignment horizontal="center" vertical="center"/>
      <protection locked="0"/>
    </xf>
    <xf numFmtId="197" fontId="53" fillId="6" borderId="38" xfId="0" applyNumberFormat="1" applyFont="1" applyFill="1" applyBorder="1" applyAlignment="1" applyProtection="1">
      <alignment vertical="center" wrapText="1"/>
    </xf>
    <xf numFmtId="197" fontId="53" fillId="6" borderId="47" xfId="0" applyNumberFormat="1" applyFont="1" applyFill="1" applyBorder="1" applyAlignment="1" applyProtection="1">
      <alignment vertical="center" wrapText="1"/>
    </xf>
    <xf numFmtId="189" fontId="60" fillId="6" borderId="13" xfId="0" applyNumberFormat="1" applyFont="1" applyFill="1" applyBorder="1" applyAlignment="1" applyProtection="1">
      <alignment horizontal="right" vertical="center"/>
    </xf>
    <xf numFmtId="9" fontId="47" fillId="6" borderId="8" xfId="0" applyNumberFormat="1" applyFont="1" applyFill="1" applyBorder="1" applyProtection="1">
      <alignment vertical="center"/>
    </xf>
    <xf numFmtId="9" fontId="47" fillId="6" borderId="49" xfId="0" applyNumberFormat="1" applyFont="1" applyFill="1" applyBorder="1" applyProtection="1">
      <alignment vertical="center"/>
    </xf>
    <xf numFmtId="49" fontId="225" fillId="0" borderId="24" xfId="0" applyNumberFormat="1" applyFont="1" applyFill="1" applyBorder="1" applyAlignment="1" applyProtection="1">
      <alignment horizontal="center" vertical="center" wrapText="1"/>
      <protection locked="0"/>
    </xf>
    <xf numFmtId="184" fontId="186" fillId="5" borderId="1" xfId="0" applyNumberFormat="1" applyFont="1" applyFill="1" applyBorder="1" applyAlignment="1" applyProtection="1">
      <alignment horizontal="center" vertical="center" shrinkToFit="1"/>
      <protection locked="0"/>
    </xf>
    <xf numFmtId="181" fontId="106" fillId="5" borderId="1" xfId="0" applyNumberFormat="1" applyFont="1" applyFill="1" applyBorder="1" applyAlignment="1" applyProtection="1">
      <alignment vertical="center"/>
      <protection locked="0"/>
    </xf>
    <xf numFmtId="177" fontId="148" fillId="3" borderId="3" xfId="0" applyNumberFormat="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 fontId="73" fillId="3" borderId="20" xfId="0" applyNumberFormat="1" applyFont="1" applyFill="1" applyBorder="1" applyAlignment="1" applyProtection="1">
      <alignment vertical="center" wrapText="1"/>
      <protection locked="0"/>
    </xf>
    <xf numFmtId="1" fontId="73" fillId="6" borderId="20" xfId="0" applyNumberFormat="1" applyFont="1" applyFill="1" applyBorder="1" applyAlignment="1" applyProtection="1">
      <alignment vertical="center" wrapText="1"/>
    </xf>
    <xf numFmtId="1" fontId="73" fillId="6" borderId="21" xfId="0" applyNumberFormat="1" applyFont="1" applyFill="1" applyBorder="1" applyAlignment="1" applyProtection="1">
      <alignment vertical="center" wrapText="1"/>
    </xf>
    <xf numFmtId="1" fontId="53" fillId="6" borderId="38" xfId="0" applyNumberFormat="1"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22" xfId="0" applyFont="1" applyFill="1" applyBorder="1" applyAlignment="1" applyProtection="1">
      <alignment horizontal="center" vertical="center" wrapText="1"/>
      <protection locked="0"/>
    </xf>
    <xf numFmtId="181" fontId="50" fillId="0" borderId="1" xfId="1" applyNumberFormat="1" applyFont="1" applyFill="1" applyBorder="1" applyAlignment="1" applyProtection="1">
      <alignment horizontal="center" vertical="center"/>
      <protection locked="0"/>
    </xf>
    <xf numFmtId="0" fontId="120" fillId="13" borderId="127" xfId="9" applyFont="1" applyFill="1" applyBorder="1" applyAlignment="1" applyProtection="1">
      <alignment horizontal="center" vertical="center" wrapText="1"/>
    </xf>
    <xf numFmtId="0" fontId="120" fillId="12" borderId="124" xfId="9" applyFont="1" applyFill="1" applyBorder="1" applyAlignment="1" applyProtection="1">
      <alignment horizontal="center" vertical="center" wrapText="1"/>
    </xf>
    <xf numFmtId="0" fontId="120" fillId="12" borderId="127" xfId="9" applyFont="1" applyFill="1" applyBorder="1" applyAlignment="1" applyProtection="1">
      <alignment horizontal="center" vertical="center" wrapText="1"/>
    </xf>
    <xf numFmtId="0" fontId="120" fillId="12" borderId="133" xfId="9" applyFont="1" applyFill="1" applyBorder="1" applyAlignment="1" applyProtection="1">
      <alignment horizontal="center" vertical="center" wrapText="1"/>
    </xf>
    <xf numFmtId="0" fontId="120" fillId="13" borderId="124" xfId="9" applyFont="1" applyFill="1" applyBorder="1" applyAlignment="1" applyProtection="1">
      <alignment horizontal="center" vertical="center" wrapText="1"/>
    </xf>
    <xf numFmtId="0" fontId="120" fillId="5" borderId="127" xfId="9" applyFont="1" applyFill="1" applyBorder="1" applyAlignment="1" applyProtection="1">
      <alignment horizontal="center" vertical="center" wrapText="1"/>
    </xf>
    <xf numFmtId="181" fontId="47" fillId="0" borderId="37"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北京市北京市海淀区中关村大街18号房地产抵押价值预评估</v>
      </c>
    </row>
    <row r="3" spans="1:2" s="1591" customFormat="1">
      <c r="A3" s="1589" t="s">
        <v>1221</v>
      </c>
      <c r="B3" s="1590" t="str">
        <f>'预评函-封皮'!B40</f>
        <v>大连国美电器有限公司</v>
      </c>
    </row>
    <row r="4" spans="1:2" s="1591" customFormat="1">
      <c r="A4" s="1589" t="s">
        <v>1222</v>
      </c>
      <c r="B4" s="1590" t="str">
        <f ca="1">'预评函-封皮'!B46</f>
        <v>崔锴（注册号：1120100036)、吴薇（注册号：1419970001)</v>
      </c>
    </row>
    <row r="5" spans="1:2" s="1585" customFormat="1" ht="15" thickBot="1">
      <c r="A5" s="1592" t="s">
        <v>1223</v>
      </c>
      <c r="B5" s="1593" t="str">
        <f>'预评函-封皮'!B49</f>
        <v>康正预评字2018-1-0877-P01DYGJ1号</v>
      </c>
    </row>
    <row r="6" spans="1:2" s="1588" customFormat="1" ht="15" thickTop="1">
      <c r="A6" s="1586" t="s">
        <v>1224</v>
      </c>
      <c r="B6" s="1587" t="str">
        <f>'预评函-1'!A4</f>
        <v>受贵公司委托，我公司对北京市北京市海淀区中关村大街18号房地产抵押价值进行了预评估。</v>
      </c>
    </row>
    <row r="7" spans="1:2" s="1591" customFormat="1">
      <c r="A7" s="1589" t="s">
        <v>1264</v>
      </c>
      <c r="B7" s="1590" t="str">
        <f>'预评函-1'!A7</f>
        <v>估价对象为北京市北京市海淀区中关村大街18号房地产，为所有。根据《国有土地使用证》[京海国用（2009转）第4657号]，估价对象（分摊）出让国有建设用地使用权面积为927.85平方米，建筑面积为8276.64平方米。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为估价委托人在向民生银行大连支行办理贷款手续过程中，确定房地产抵押贷款额度提供参考依据而评估房地产抵押价值。</v>
      </c>
    </row>
    <row r="12" spans="1:2" s="1591" customFormat="1">
      <c r="A12" s="1589" t="s">
        <v>1226</v>
      </c>
      <c r="B12" s="1590" t="str">
        <f>'预评函-1'!A15</f>
        <v>2018年12月18日（评估专业人员实地查勘之日）</v>
      </c>
    </row>
    <row r="13" spans="1:2" s="1591" customFormat="1">
      <c r="A13" s="1589" t="s">
        <v>1227</v>
      </c>
      <c r="B13" s="1590" t="str">
        <f>'预评函-1'!A18</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4" spans="1:2" s="1591" customFormat="1">
      <c r="A14" s="1589" t="s">
        <v>1228</v>
      </c>
      <c r="B14" s="1590" t="str">
        <f>'预评函-1'!A19</f>
        <v>其中，“出让国有建设用地使用权价值”是指估价对象用途为办公，实际开发程度为宗地红线外“六通”（即通路、通电、通讯、通上水、通下水、通热）、红线内场地平整条件下，剩余土地使用年限为32.53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本次评估采用的主估价方法为成本法和收益法。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28831</v>
      </c>
    </row>
    <row r="21" spans="1:2" s="1591" customFormat="1">
      <c r="A21" s="1589" t="s">
        <v>1235</v>
      </c>
      <c r="B21" s="1590">
        <f ca="1">'预评函-2'!D7</f>
        <v>34834</v>
      </c>
    </row>
    <row r="22" spans="1:2" s="1591" customFormat="1">
      <c r="A22" s="1589" t="s">
        <v>1236</v>
      </c>
      <c r="B22" s="1590" t="str">
        <f ca="1">'预评函-2'!D6</f>
        <v>贰亿捌仟捌佰叁拾壹万元整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28831</v>
      </c>
    </row>
    <row r="31" spans="1:2" s="1591" customFormat="1">
      <c r="A31" s="1589" t="s">
        <v>1274</v>
      </c>
      <c r="B31" s="1590">
        <f ca="1">'预评函-2'!D15</f>
        <v>34834</v>
      </c>
    </row>
    <row r="32" spans="1:2" s="1591" customFormat="1">
      <c r="A32" s="1589" t="s">
        <v>1241</v>
      </c>
      <c r="B32" s="1590" t="str">
        <f ca="1">'预评函-2'!D14</f>
        <v>贰亿捌仟捌佰叁拾壹万元整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北京市北京市海淀区中关村大街18号房地产</v>
      </c>
    </row>
    <row r="42" spans="1:2" s="1591" customFormat="1">
      <c r="A42" s="1589" t="s">
        <v>1288</v>
      </c>
      <c r="B42" s="1590" t="str">
        <f>'预评函-3'!B2</f>
        <v>建筑面积</v>
      </c>
    </row>
    <row r="43" spans="1:2" s="1591" customFormat="1">
      <c r="A43" s="1589" t="s">
        <v>1289</v>
      </c>
      <c r="B43" s="1590">
        <f>'预评函-3'!B4</f>
        <v>8276.64</v>
      </c>
    </row>
    <row r="44" spans="1:2" s="1591" customFormat="1">
      <c r="A44" s="1589" t="s">
        <v>1273</v>
      </c>
      <c r="B44" s="1590" t="str">
        <f>'预评函-3'!C2</f>
        <v>(分摊)土地面积</v>
      </c>
    </row>
    <row r="45" spans="1:2" s="1591" customFormat="1">
      <c r="A45" s="1589" t="s">
        <v>1245</v>
      </c>
      <c r="B45" s="1590">
        <f>'预评函-3'!C4</f>
        <v>927.85</v>
      </c>
    </row>
    <row r="46" spans="1:2" s="1591" customFormat="1">
      <c r="A46" s="1589" t="s">
        <v>1271</v>
      </c>
      <c r="B46" s="1590" t="str">
        <f>'预评函-3'!D2</f>
        <v>出让国有建设用地使用权价值</v>
      </c>
    </row>
    <row r="47" spans="1:2" s="1591" customFormat="1">
      <c r="A47" s="1589" t="s">
        <v>1246</v>
      </c>
      <c r="B47" s="1590">
        <f ca="1">'预评函-3'!D4</f>
        <v>25458</v>
      </c>
    </row>
    <row r="48" spans="1:2" s="1591" customFormat="1">
      <c r="A48" s="1589" t="s">
        <v>1247</v>
      </c>
      <c r="B48" s="1590">
        <f ca="1">'预评函-3'!E4</f>
        <v>30759</v>
      </c>
    </row>
    <row r="49" spans="1:2" s="1591" customFormat="1">
      <c r="A49" s="1589" t="s">
        <v>1248</v>
      </c>
      <c r="B49" s="1590" t="str">
        <f ca="1">'预评函-3'!D5</f>
        <v>贰亿伍仟肆佰伍拾捌万元整</v>
      </c>
    </row>
    <row r="50" spans="1:2" s="1591" customFormat="1">
      <c r="A50" s="1589" t="s">
        <v>1272</v>
      </c>
      <c r="B50" s="1590" t="str">
        <f>'预评函-3'!F2</f>
        <v>建筑物价值</v>
      </c>
    </row>
    <row r="51" spans="1:2" s="1591" customFormat="1">
      <c r="A51" s="1589" t="s">
        <v>1249</v>
      </c>
      <c r="B51" s="1590">
        <f ca="1">'预评函-3'!F4</f>
        <v>3373</v>
      </c>
    </row>
    <row r="52" spans="1:2" s="1591" customFormat="1">
      <c r="A52" s="1589" t="s">
        <v>1250</v>
      </c>
      <c r="B52" s="1590">
        <f ca="1">'预评函-3'!G4</f>
        <v>4075</v>
      </c>
    </row>
    <row r="53" spans="1:2" s="1591" customFormat="1">
      <c r="A53" s="1589" t="s">
        <v>1278</v>
      </c>
      <c r="B53" s="1590" t="str">
        <f ca="1">'预评函-3'!F5</f>
        <v>叁仟叁佰柒拾叁万元整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v>
      </c>
    </row>
    <row r="67" spans="1:2" s="1591" customFormat="1">
      <c r="A67" s="1589" t="s">
        <v>1269</v>
      </c>
      <c r="B67" s="1590" t="str">
        <f>'预评函-4'!A21</f>
        <v>——</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崔锴</v>
      </c>
    </row>
    <row r="71" spans="1:2">
      <c r="A71" s="1589" t="s">
        <v>1261</v>
      </c>
      <c r="B71" s="1590">
        <f ca="1">'预评函-4'!B4</f>
        <v>1120100036</v>
      </c>
    </row>
    <row r="72" spans="1:2">
      <c r="A72" s="1589" t="s">
        <v>1262</v>
      </c>
      <c r="B72" s="1598" t="str">
        <f>'预评函-4'!A5</f>
        <v>吴薇</v>
      </c>
    </row>
    <row r="73" spans="1:2" s="1585" customFormat="1" ht="15" thickBot="1">
      <c r="A73" s="1592" t="s">
        <v>1263</v>
      </c>
      <c r="B73" s="1593">
        <f ca="1">'预评函-4'!B5</f>
        <v>1419970001</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5" sqref="C5:C10"/>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1690</v>
      </c>
      <c r="C1" s="2007" t="s">
        <v>759</v>
      </c>
      <c r="D1" s="2008" t="s">
        <v>1691</v>
      </c>
      <c r="E1" s="2008" t="s">
        <v>1692</v>
      </c>
      <c r="F1" s="2008" t="s">
        <v>1693</v>
      </c>
      <c r="G1" s="2008" t="s">
        <v>1694</v>
      </c>
      <c r="H1" s="2008" t="s">
        <v>1695</v>
      </c>
      <c r="I1" s="2008" t="s">
        <v>1696</v>
      </c>
      <c r="J1" s="2008" t="s">
        <v>1697</v>
      </c>
      <c r="K1" s="2008" t="s">
        <v>1698</v>
      </c>
      <c r="L1" s="2008" t="s">
        <v>1699</v>
      </c>
      <c r="M1" s="2008" t="s">
        <v>1700</v>
      </c>
      <c r="N1" s="2008" t="s">
        <v>1701</v>
      </c>
      <c r="O1" s="2008" t="s">
        <v>1702</v>
      </c>
      <c r="P1" s="2009" t="s">
        <v>753</v>
      </c>
      <c r="Q1" s="2009" t="s">
        <v>1144</v>
      </c>
      <c r="R1" s="2008" t="s">
        <v>1138</v>
      </c>
      <c r="S1" s="2008" t="s">
        <v>1703</v>
      </c>
      <c r="T1" s="2010" t="s">
        <v>1704</v>
      </c>
      <c r="U1" s="2008" t="s">
        <v>1705</v>
      </c>
      <c r="V1" s="2008" t="s">
        <v>1706</v>
      </c>
      <c r="W1" s="2008" t="s">
        <v>755</v>
      </c>
    </row>
    <row r="2" spans="1:23">
      <c r="A2" s="2012" t="s">
        <v>22</v>
      </c>
      <c r="B2" s="2012" t="s">
        <v>1707</v>
      </c>
      <c r="C2" s="2013" t="s">
        <v>760</v>
      </c>
      <c r="D2" s="2014" t="s">
        <v>1708</v>
      </c>
      <c r="E2" s="2014" t="s">
        <v>1709</v>
      </c>
      <c r="F2" s="2014" t="s">
        <v>1710</v>
      </c>
      <c r="G2" s="2014">
        <v>40</v>
      </c>
      <c r="H2" s="2014" t="s">
        <v>1710</v>
      </c>
      <c r="I2" s="2014" t="s">
        <v>1711</v>
      </c>
      <c r="J2" s="2014" t="s">
        <v>1712</v>
      </c>
      <c r="K2" s="2014" t="s">
        <v>1713</v>
      </c>
      <c r="L2" s="2014" t="s">
        <v>1713</v>
      </c>
      <c r="M2" s="2014" t="s">
        <v>1713</v>
      </c>
      <c r="N2" s="2014" t="s">
        <v>1713</v>
      </c>
      <c r="O2" s="2014" t="s">
        <v>1713</v>
      </c>
      <c r="P2" s="2014" t="s">
        <v>1713</v>
      </c>
      <c r="Q2" s="2014" t="s">
        <v>1713</v>
      </c>
      <c r="R2" s="2014" t="s">
        <v>1140</v>
      </c>
      <c r="S2" s="2014" t="s">
        <v>1713</v>
      </c>
      <c r="T2" s="2014" t="s">
        <v>1714</v>
      </c>
      <c r="U2" s="2014" t="s">
        <v>1713</v>
      </c>
      <c r="V2" s="2014" t="s">
        <v>1715</v>
      </c>
      <c r="W2" s="2014" t="s">
        <v>1713</v>
      </c>
    </row>
    <row r="3" spans="1:23">
      <c r="A3" s="2012" t="s">
        <v>1716</v>
      </c>
      <c r="B3" s="2015" t="s">
        <v>1145</v>
      </c>
      <c r="C3" s="2016" t="s">
        <v>761</v>
      </c>
      <c r="D3" s="2014" t="s">
        <v>1717</v>
      </c>
      <c r="E3" s="2014" t="s">
        <v>16</v>
      </c>
      <c r="F3" s="2014" t="s">
        <v>1718</v>
      </c>
      <c r="G3" s="2014">
        <v>50</v>
      </c>
      <c r="H3" s="2014" t="s">
        <v>1718</v>
      </c>
      <c r="I3" s="2014" t="s">
        <v>1719</v>
      </c>
      <c r="J3" s="2014" t="s">
        <v>1720</v>
      </c>
      <c r="K3" s="2014" t="s">
        <v>1721</v>
      </c>
      <c r="L3" s="2014" t="s">
        <v>1721</v>
      </c>
      <c r="M3" s="2014" t="s">
        <v>1721</v>
      </c>
      <c r="N3" s="2014" t="s">
        <v>1721</v>
      </c>
      <c r="O3" s="2014" t="s">
        <v>1721</v>
      </c>
      <c r="P3" s="2014" t="s">
        <v>1721</v>
      </c>
      <c r="Q3" s="2014" t="s">
        <v>1721</v>
      </c>
      <c r="R3" s="2014" t="s">
        <v>1139</v>
      </c>
      <c r="S3" s="2014" t="s">
        <v>1721</v>
      </c>
      <c r="T3" s="2014" t="s">
        <v>1722</v>
      </c>
      <c r="U3" s="2014" t="s">
        <v>1721</v>
      </c>
      <c r="V3" s="2014" t="s">
        <v>1723</v>
      </c>
      <c r="W3" s="2014" t="s">
        <v>1721</v>
      </c>
    </row>
    <row r="4" spans="1:23">
      <c r="A4" s="2012" t="s">
        <v>1724</v>
      </c>
      <c r="B4" s="2012" t="s">
        <v>1725</v>
      </c>
      <c r="C4" s="2013" t="s">
        <v>762</v>
      </c>
      <c r="D4" s="2014" t="s">
        <v>868</v>
      </c>
      <c r="E4" s="2014" t="s">
        <v>1726</v>
      </c>
      <c r="F4" s="2014" t="s">
        <v>1727</v>
      </c>
      <c r="G4" s="2014">
        <v>70</v>
      </c>
      <c r="H4" s="2014" t="s">
        <v>1727</v>
      </c>
      <c r="I4" s="2014" t="s">
        <v>1728</v>
      </c>
      <c r="K4" s="2014" t="s">
        <v>1729</v>
      </c>
      <c r="L4" s="2014" t="s">
        <v>1729</v>
      </c>
      <c r="M4" s="2014" t="s">
        <v>1729</v>
      </c>
      <c r="N4" s="2014" t="s">
        <v>1729</v>
      </c>
      <c r="O4" s="2014" t="s">
        <v>1729</v>
      </c>
      <c r="P4" s="2014" t="s">
        <v>1729</v>
      </c>
      <c r="Q4" s="2014" t="s">
        <v>1729</v>
      </c>
      <c r="R4" s="2014" t="s">
        <v>1141</v>
      </c>
      <c r="S4" s="2014" t="s">
        <v>1729</v>
      </c>
      <c r="T4" s="2014" t="s">
        <v>1730</v>
      </c>
      <c r="U4" s="2014" t="s">
        <v>1729</v>
      </c>
      <c r="W4" s="2014" t="s">
        <v>1729</v>
      </c>
    </row>
    <row r="5" spans="1:23">
      <c r="A5" s="2012" t="s">
        <v>1731</v>
      </c>
      <c r="B5" s="2012" t="s">
        <v>1732</v>
      </c>
      <c r="C5" s="2013" t="s">
        <v>763</v>
      </c>
      <c r="F5" s="2014" t="s">
        <v>1733</v>
      </c>
      <c r="H5" s="2014" t="s">
        <v>1734</v>
      </c>
      <c r="I5" s="2014" t="s">
        <v>1735</v>
      </c>
      <c r="K5" s="2014" t="s">
        <v>1736</v>
      </c>
      <c r="L5" s="2014" t="s">
        <v>1736</v>
      </c>
      <c r="M5" s="2014" t="s">
        <v>1736</v>
      </c>
      <c r="N5" s="2014" t="s">
        <v>1736</v>
      </c>
      <c r="O5" s="2014" t="s">
        <v>1736</v>
      </c>
      <c r="P5" s="2014" t="s">
        <v>1736</v>
      </c>
      <c r="Q5" s="2014" t="s">
        <v>1736</v>
      </c>
      <c r="R5" s="2014" t="s">
        <v>1142</v>
      </c>
      <c r="S5" s="2014" t="s">
        <v>1736</v>
      </c>
      <c r="T5" s="2014" t="s">
        <v>1737</v>
      </c>
      <c r="U5" s="2014" t="s">
        <v>1736</v>
      </c>
      <c r="W5" s="2014" t="s">
        <v>1736</v>
      </c>
    </row>
    <row r="6" spans="1:23">
      <c r="A6" s="2012" t="s">
        <v>1738</v>
      </c>
      <c r="B6" s="2015" t="s">
        <v>1146</v>
      </c>
      <c r="C6" s="2018" t="s">
        <v>30</v>
      </c>
      <c r="F6" s="2014" t="s">
        <v>1734</v>
      </c>
      <c r="H6" s="2014" t="s">
        <v>1739</v>
      </c>
      <c r="I6" s="2014" t="s">
        <v>1740</v>
      </c>
      <c r="K6" s="2014" t="s">
        <v>1741</v>
      </c>
      <c r="L6" s="2014" t="s">
        <v>1741</v>
      </c>
      <c r="M6" s="2014" t="s">
        <v>1741</v>
      </c>
      <c r="N6" s="2014" t="s">
        <v>1741</v>
      </c>
      <c r="O6" s="2014" t="s">
        <v>1741</v>
      </c>
      <c r="P6" s="2014" t="s">
        <v>1741</v>
      </c>
      <c r="Q6" s="2014" t="s">
        <v>1741</v>
      </c>
      <c r="R6" s="2014" t="s">
        <v>1143</v>
      </c>
      <c r="S6" s="2014" t="s">
        <v>1741</v>
      </c>
      <c r="T6" s="2014"/>
      <c r="U6" s="2014" t="s">
        <v>1741</v>
      </c>
      <c r="W6" s="2014" t="s">
        <v>1741</v>
      </c>
    </row>
    <row r="7" spans="1:23">
      <c r="A7" s="2012" t="s">
        <v>1742</v>
      </c>
      <c r="B7" s="2015" t="s">
        <v>1147</v>
      </c>
      <c r="C7" s="2013" t="s">
        <v>31</v>
      </c>
      <c r="F7" s="2014" t="s">
        <v>1743</v>
      </c>
      <c r="H7" s="2014" t="s">
        <v>1744</v>
      </c>
      <c r="I7" s="2014" t="s">
        <v>1745</v>
      </c>
    </row>
    <row r="8" spans="1:23">
      <c r="A8" s="2012" t="s">
        <v>1746</v>
      </c>
      <c r="B8" s="2012" t="s">
        <v>1747</v>
      </c>
      <c r="C8" s="2013" t="s">
        <v>764</v>
      </c>
      <c r="F8" s="2014" t="s">
        <v>1748</v>
      </c>
      <c r="H8" s="2014"/>
      <c r="I8" s="2014" t="s">
        <v>1749</v>
      </c>
    </row>
    <row r="9" spans="1:23">
      <c r="A9" s="2012" t="s">
        <v>1750</v>
      </c>
      <c r="B9" s="2012" t="s">
        <v>1751</v>
      </c>
      <c r="C9" s="2013" t="s">
        <v>765</v>
      </c>
      <c r="F9" s="2014" t="s">
        <v>1752</v>
      </c>
      <c r="H9" s="2014"/>
    </row>
    <row r="10" spans="1:23">
      <c r="A10" s="2012" t="s">
        <v>1753</v>
      </c>
      <c r="B10" s="2012" t="s">
        <v>1754</v>
      </c>
      <c r="C10" s="2013" t="s">
        <v>766</v>
      </c>
      <c r="F10" s="2014" t="s">
        <v>16</v>
      </c>
    </row>
    <row r="11" spans="1:23">
      <c r="A11" s="2012" t="s">
        <v>1755</v>
      </c>
      <c r="B11" s="2012" t="s">
        <v>1756</v>
      </c>
      <c r="C11" s="2013" t="s">
        <v>767</v>
      </c>
    </row>
    <row r="12" spans="1:23">
      <c r="A12" s="2012" t="s">
        <v>1757</v>
      </c>
      <c r="B12" s="2012" t="s">
        <v>1758</v>
      </c>
      <c r="C12" s="2013" t="s">
        <v>768</v>
      </c>
    </row>
    <row r="13" spans="1:23">
      <c r="A13" s="2012" t="s">
        <v>1759</v>
      </c>
      <c r="B13" s="2012" t="s">
        <v>1760</v>
      </c>
      <c r="C13" s="2013" t="s">
        <v>769</v>
      </c>
    </row>
    <row r="14" spans="1:23">
      <c r="A14" s="2012" t="s">
        <v>1761</v>
      </c>
      <c r="B14" s="2012" t="s">
        <v>1762</v>
      </c>
      <c r="C14" s="2014" t="s">
        <v>16</v>
      </c>
    </row>
    <row r="15" spans="1:23">
      <c r="A15" s="2012" t="s">
        <v>1763</v>
      </c>
      <c r="B15" s="2012" t="s">
        <v>1764</v>
      </c>
      <c r="C15" s="2013"/>
    </row>
    <row r="16" spans="1:23">
      <c r="A16" s="2012" t="s">
        <v>1765</v>
      </c>
      <c r="B16" s="2012" t="s">
        <v>756</v>
      </c>
      <c r="C16" s="2013"/>
    </row>
    <row r="17" spans="1:3">
      <c r="A17" s="2012" t="s">
        <v>1766</v>
      </c>
      <c r="B17" s="2012" t="s">
        <v>757</v>
      </c>
      <c r="C17" s="2013"/>
    </row>
    <row r="18" spans="1:3">
      <c r="A18" s="2012" t="s">
        <v>1767</v>
      </c>
      <c r="B18" s="2012" t="s">
        <v>757</v>
      </c>
      <c r="C18" s="2013"/>
    </row>
    <row r="19" spans="1:3">
      <c r="A19" s="2012" t="s">
        <v>1768</v>
      </c>
      <c r="B19" s="2012" t="s">
        <v>757</v>
      </c>
      <c r="C19" s="2013"/>
    </row>
    <row r="20" spans="1:3">
      <c r="A20" s="2012" t="s">
        <v>1769</v>
      </c>
      <c r="B20" s="2012" t="s">
        <v>757</v>
      </c>
      <c r="C20" s="2013"/>
    </row>
    <row r="21" spans="1:3">
      <c r="A21" s="2012" t="s">
        <v>1770</v>
      </c>
      <c r="B21" s="2012" t="s">
        <v>757</v>
      </c>
      <c r="C21" s="2013"/>
    </row>
    <row r="22" spans="1:3">
      <c r="A22" s="2012" t="s">
        <v>1771</v>
      </c>
      <c r="B22" s="2012" t="s">
        <v>757</v>
      </c>
      <c r="C22" s="2013"/>
    </row>
    <row r="23" spans="1:3">
      <c r="A23" s="2012" t="s">
        <v>1772</v>
      </c>
      <c r="B23" s="2012" t="s">
        <v>757</v>
      </c>
      <c r="C23" s="2013"/>
    </row>
    <row r="24" spans="1:3">
      <c r="A24" s="2012" t="s">
        <v>1773</v>
      </c>
      <c r="B24" s="2012" t="s">
        <v>757</v>
      </c>
      <c r="C24" s="2013"/>
    </row>
    <row r="25" spans="1:3">
      <c r="A25" s="2012" t="s">
        <v>1774</v>
      </c>
      <c r="B25" s="2012" t="s">
        <v>757</v>
      </c>
      <c r="C25" s="2013"/>
    </row>
    <row r="26" spans="1:3">
      <c r="A26" s="2012" t="s">
        <v>1775</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为估价委托人在向民生银行大连支行办理贷款手续过程中，确定房地产抵押贷款额度提供参考依据而评估房地产抵押价值。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连国美电器有限公司拟使用北京市北京市海淀区中关村大街18号房地产作为抵押担保物，向民生银行大连支行办理贷款手续。民生银行大连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1"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18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21"/>
      <c r="B54" s="2020" t="s">
        <v>864</v>
      </c>
      <c r="C54" s="2017" t="s">
        <v>1281</v>
      </c>
    </row>
    <row r="55" spans="1:4">
      <c r="A55" s="3021"/>
      <c r="B55" s="2020" t="s">
        <v>865</v>
      </c>
      <c r="C55" s="2017" t="s">
        <v>1282</v>
      </c>
    </row>
    <row r="56" spans="1:4">
      <c r="A56" s="3021"/>
      <c r="B56" s="2020" t="s">
        <v>866</v>
      </c>
      <c r="C56" s="2017" t="s">
        <v>1286</v>
      </c>
    </row>
    <row r="57" spans="1:4">
      <c r="A57" s="3021"/>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G45" sqref="G45"/>
    </sheetView>
  </sheetViews>
  <sheetFormatPr defaultColWidth="10" defaultRowHeight="18" customHeight="1"/>
  <cols>
    <col min="1" max="1" width="14.875" style="2030" customWidth="1"/>
    <col min="2" max="2" width="12.25" style="2030" customWidth="1"/>
    <col min="3" max="3" width="11.5" style="2030" customWidth="1"/>
    <col min="4" max="4" width="12.875" style="2030" customWidth="1"/>
    <col min="5"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1776</v>
      </c>
      <c r="B1" s="3022" t="str">
        <f>IF(B10="北京市","北京市",C10)&amp;F10&amp;IF(结果表!G1="在建","出让国有建设用地使用权及在建建筑物",IF(结果表!G1="土地","出让国有建设用地使用权",))&amp;B9&amp;"预评估"</f>
        <v>北京市北京市海淀区中关村大街18号房地产抵押价值预评估</v>
      </c>
      <c r="C1" s="3023"/>
      <c r="D1" s="3023"/>
      <c r="E1" s="3023"/>
      <c r="F1" s="3023"/>
      <c r="G1" s="3023"/>
      <c r="H1" s="3023"/>
      <c r="I1" s="302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北京市北京市海淀区中关村大街18号房地产抵押价值</v>
      </c>
    </row>
    <row r="2" spans="1:19" ht="18" customHeight="1" thickBot="1">
      <c r="A2" s="2024" t="s">
        <v>1777</v>
      </c>
      <c r="B2" s="2941" t="s">
        <v>3036</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北京市北京市海淀区中关村大街18号房地产</v>
      </c>
    </row>
    <row r="3" spans="1:19" ht="18" customHeight="1" thickTop="1">
      <c r="A3" s="2033" t="s">
        <v>1778</v>
      </c>
      <c r="B3" s="2034">
        <v>43452</v>
      </c>
      <c r="C3" s="2035" t="s">
        <v>1779</v>
      </c>
      <c r="D3" s="2034">
        <f>B3</f>
        <v>43452</v>
      </c>
      <c r="E3" s="2024"/>
      <c r="F3" s="2024"/>
      <c r="G3" s="2024"/>
      <c r="H3" s="2024"/>
      <c r="I3" s="2024"/>
      <c r="J3" s="2024"/>
      <c r="K3" s="2025"/>
      <c r="L3" s="2026"/>
      <c r="M3" s="2026"/>
      <c r="N3" s="2027"/>
      <c r="O3" s="2028"/>
      <c r="P3" s="2027"/>
      <c r="Q3" s="2027"/>
      <c r="R3" s="2027"/>
      <c r="S3" s="2029"/>
    </row>
    <row r="4" spans="1:19" ht="18" customHeight="1" thickBot="1">
      <c r="A4" s="2036" t="s">
        <v>1780</v>
      </c>
      <c r="B4" s="2037" t="s">
        <v>3037</v>
      </c>
      <c r="C4" s="1039">
        <f ca="1">SUMIF(注册房地产估价师,B4,估价师及机构信息!B3:B24)</f>
        <v>1120100036</v>
      </c>
      <c r="D4" s="2037" t="s">
        <v>3038</v>
      </c>
      <c r="E4" s="1040">
        <f ca="1">SUMIF(注册房地产估价师,D4,估价师及机构信息!B3:B24)</f>
        <v>1419970001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崔锴（注册号：1120100036)、吴薇（注册号：1419970001)</v>
      </c>
      <c r="L4" s="2026"/>
      <c r="M4" s="2026"/>
      <c r="N4" s="2027"/>
      <c r="O4" s="2028"/>
      <c r="P4" s="2027"/>
      <c r="Q4" s="2027"/>
      <c r="R4" s="2027"/>
      <c r="S4" s="2029"/>
    </row>
    <row r="5" spans="1:19" ht="18" customHeight="1" thickTop="1">
      <c r="A5" s="2042" t="s">
        <v>1781</v>
      </c>
      <c r="B5" s="2942" t="s">
        <v>3039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thickBot="1">
      <c r="A6" s="2045" t="s">
        <v>1782</v>
      </c>
      <c r="B6" s="2943" t="s">
        <v>3040</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thickTop="1">
      <c r="A7" s="2045" t="s">
        <v>1783</v>
      </c>
      <c r="B7" s="2942" t="s">
        <v>3039</v>
      </c>
      <c r="C7" s="2046"/>
      <c r="D7" s="2047"/>
      <c r="E7" s="2032"/>
      <c r="F7" s="2040"/>
      <c r="G7" s="2040"/>
      <c r="H7" s="2040"/>
      <c r="I7" s="2040"/>
      <c r="J7" s="2040"/>
      <c r="K7" s="2049"/>
      <c r="L7" s="2026"/>
      <c r="M7" s="2026"/>
      <c r="N7" s="2027"/>
      <c r="O7" s="2028"/>
      <c r="P7" s="2027"/>
      <c r="Q7" s="2027"/>
      <c r="R7" s="2027"/>
    </row>
    <row r="8" spans="1:19" ht="18" customHeight="1">
      <c r="A8" s="2045" t="s">
        <v>1784</v>
      </c>
      <c r="B8" s="2050" t="s">
        <v>3041</v>
      </c>
      <c r="C8" s="2051"/>
      <c r="D8" s="3025" t="s">
        <v>1785</v>
      </c>
      <c r="E8" s="2052" t="s">
        <v>3042</v>
      </c>
      <c r="F8" s="2053"/>
      <c r="G8" s="2024"/>
      <c r="H8" s="2024"/>
      <c r="I8" s="2024"/>
      <c r="J8" s="2040"/>
      <c r="K8" s="2041"/>
      <c r="L8" s="2026"/>
      <c r="M8" s="2026"/>
      <c r="N8" s="2027"/>
      <c r="O8" s="2028"/>
      <c r="P8" s="2027"/>
      <c r="Q8" s="2027"/>
      <c r="R8" s="2027"/>
    </row>
    <row r="9" spans="1:19" ht="18" customHeight="1" thickBot="1">
      <c r="A9" s="2038" t="s">
        <v>1786</v>
      </c>
      <c r="B9" s="2054" t="s">
        <v>3042</v>
      </c>
      <c r="C9" s="2055"/>
      <c r="D9" s="3026"/>
      <c r="E9" s="2054"/>
      <c r="F9" s="2056"/>
      <c r="G9" s="2057"/>
      <c r="H9" s="2057"/>
      <c r="I9" s="2057"/>
      <c r="J9" s="2040"/>
      <c r="K9" s="2049"/>
      <c r="L9" s="2026"/>
      <c r="M9" s="2026"/>
      <c r="N9" s="2027"/>
      <c r="O9" s="2028"/>
      <c r="P9" s="2027"/>
      <c r="Q9" s="2027"/>
      <c r="R9" s="2027"/>
    </row>
    <row r="10" spans="1:19" ht="18" customHeight="1" thickTop="1">
      <c r="A10" s="2058" t="s">
        <v>1787</v>
      </c>
      <c r="B10" s="2059" t="s">
        <v>3043</v>
      </c>
      <c r="C10" s="2060"/>
      <c r="D10" s="2044"/>
      <c r="E10" s="2061" t="s">
        <v>1788</v>
      </c>
      <c r="F10" s="2062" t="s">
        <v>3045</v>
      </c>
      <c r="G10" s="2063"/>
      <c r="H10" s="2064"/>
      <c r="I10" s="2044"/>
      <c r="J10" s="2040"/>
      <c r="K10" s="2049"/>
      <c r="L10" s="2026"/>
      <c r="M10" s="2026"/>
      <c r="N10" s="2027"/>
      <c r="O10" s="2028"/>
      <c r="P10" s="2027"/>
      <c r="Q10" s="2027"/>
      <c r="R10" s="2027"/>
    </row>
    <row r="11" spans="1:19" ht="18" customHeight="1">
      <c r="A11" s="2065" t="s">
        <v>1789</v>
      </c>
      <c r="B11" s="2066" t="s">
        <v>3044</v>
      </c>
      <c r="C11" s="2067"/>
      <c r="D11" s="2068"/>
      <c r="E11" s="2040"/>
      <c r="F11" s="2040"/>
      <c r="G11" s="2040"/>
      <c r="H11" s="2040"/>
      <c r="I11" s="2040"/>
      <c r="J11" s="2040"/>
      <c r="K11" s="2049"/>
      <c r="L11" s="2026"/>
      <c r="M11" s="2026"/>
      <c r="N11" s="2027"/>
      <c r="O11" s="2028"/>
      <c r="P11" s="2027"/>
      <c r="Q11" s="2027"/>
      <c r="R11" s="2027"/>
    </row>
    <row r="12" spans="1:19" ht="18" customHeight="1">
      <c r="A12" s="2069" t="s">
        <v>1790</v>
      </c>
      <c r="B12" s="2066" t="s">
        <v>3046</v>
      </c>
      <c r="C12" s="2070" t="s">
        <v>1791</v>
      </c>
      <c r="D12" s="2071" t="s">
        <v>1792</v>
      </c>
      <c r="E12" s="2071" t="s">
        <v>1793</v>
      </c>
      <c r="F12" s="2071" t="s">
        <v>1794</v>
      </c>
      <c r="G12" s="2071" t="s">
        <v>1795</v>
      </c>
      <c r="H12" s="2071" t="s">
        <v>1796</v>
      </c>
      <c r="I12" s="2071" t="s">
        <v>1797</v>
      </c>
      <c r="J12" s="2040"/>
      <c r="K12" s="2049"/>
      <c r="L12" s="2026"/>
      <c r="M12" s="2026"/>
      <c r="N12" s="2027"/>
      <c r="O12" s="2028"/>
      <c r="P12" s="2027"/>
      <c r="Q12" s="2027"/>
      <c r="R12" s="2027"/>
    </row>
    <row r="13" spans="1:19" ht="18" customHeight="1">
      <c r="A13" s="2072"/>
      <c r="B13" s="2073"/>
      <c r="C13" s="2074" t="s">
        <v>1798</v>
      </c>
      <c r="D13" s="2075"/>
      <c r="E13" s="2075"/>
      <c r="F13" s="2962">
        <v>55330</v>
      </c>
      <c r="G13" s="2075"/>
      <c r="H13" s="2075"/>
      <c r="I13" s="1048"/>
      <c r="J13" s="2040"/>
      <c r="K13" s="2049"/>
      <c r="L13" s="2026"/>
      <c r="M13" s="2026"/>
      <c r="N13" s="2027"/>
      <c r="O13" s="2028"/>
      <c r="P13" s="2027"/>
      <c r="Q13" s="2027"/>
      <c r="R13" s="2027"/>
    </row>
    <row r="14" spans="1:19" ht="18" customHeight="1">
      <c r="A14" s="2072"/>
      <c r="B14" s="2073"/>
      <c r="C14" s="2074" t="s">
        <v>1799</v>
      </c>
      <c r="D14" s="1051"/>
      <c r="E14" s="1051"/>
      <c r="F14" s="1051">
        <v>50</v>
      </c>
      <c r="G14" s="1051"/>
      <c r="H14" s="1051"/>
      <c r="I14" s="1051"/>
      <c r="J14" s="2040"/>
      <c r="K14" s="2076"/>
      <c r="L14" s="2026"/>
      <c r="M14" s="2026"/>
      <c r="N14" s="2027"/>
      <c r="O14" s="2028"/>
      <c r="P14" s="2027"/>
      <c r="Q14" s="2027"/>
      <c r="R14" s="2027"/>
    </row>
    <row r="15" spans="1:19" ht="18" customHeight="1">
      <c r="A15" s="2058"/>
      <c r="B15" s="2077"/>
      <c r="C15" s="2074" t="s">
        <v>1800</v>
      </c>
      <c r="D15" s="1050" t="str">
        <f>IF(B12="出让",IF(D13="","",ROUNDDOWN(MIN((D13-$D$3)/365,D14),2)),D14)</f>
        <v/>
      </c>
      <c r="E15" s="1050" t="str">
        <f>IF(B12="出让",IF(E13="","",ROUNDDOWN(MIN((E13-$D$3)/365,E14),2)),E14)</f>
        <v/>
      </c>
      <c r="F15" s="1050">
        <f>IF(B12="出让",IF(F13="","",ROUNDDOWN(MIN((F13-$D$3)/365,F14),2)),F14)</f>
        <v>32.54</v>
      </c>
      <c r="G15" s="1050" t="str">
        <f>IF(B12="出让",IF(G13="","",ROUNDDOWN(MIN((G13-$D$3)/365,G14),2)),G14)</f>
        <v/>
      </c>
      <c r="H15" s="1050" t="str">
        <f>IF(B12="出让",IF(H13="","",ROUNDDOWN(MIN((H13-$D$3)/365,H14),2)),H14)</f>
        <v/>
      </c>
      <c r="I15" s="1050" t="str">
        <f>IF(B12="出让",IF(I13="","",ROUNDDOWN(MIN((I13-$D$3)/365,I14),2)),I14)</f>
        <v/>
      </c>
      <c r="J15" s="2040"/>
      <c r="K15" s="2078"/>
      <c r="L15" s="2079"/>
      <c r="M15" s="2079"/>
      <c r="N15" s="2080"/>
      <c r="O15" s="2079"/>
      <c r="P15" s="2080"/>
      <c r="Q15" s="2027"/>
      <c r="R15" s="2027"/>
    </row>
    <row r="16" spans="1:19" ht="30.75" customHeight="1">
      <c r="A16" s="2061" t="s">
        <v>1801</v>
      </c>
      <c r="B16" s="3032" t="s">
        <v>3047</v>
      </c>
      <c r="C16" s="3033"/>
      <c r="D16" s="3034"/>
      <c r="E16" s="2081" t="s">
        <v>1802</v>
      </c>
      <c r="F16" s="3035" t="s">
        <v>3048</v>
      </c>
      <c r="G16" s="3036"/>
      <c r="H16" s="3036"/>
      <c r="I16" s="3037"/>
      <c r="J16" s="2027"/>
      <c r="K16" s="2078"/>
      <c r="L16" s="2079"/>
      <c r="M16" s="2079"/>
      <c r="N16" s="2080"/>
      <c r="O16" s="2079"/>
      <c r="P16" s="2080"/>
      <c r="Q16" s="2027"/>
      <c r="R16" s="2027"/>
    </row>
    <row r="17" spans="1:22" ht="18" customHeight="1">
      <c r="A17" s="2082" t="s">
        <v>1803</v>
      </c>
      <c r="B17" s="2033" t="s">
        <v>1804</v>
      </c>
      <c r="C17" s="1055">
        <f>'数据-汇总表'!E3</f>
        <v>8276.64</v>
      </c>
      <c r="D17" s="2083" t="s">
        <v>1805</v>
      </c>
      <c r="E17" s="3038" t="s">
        <v>3049</v>
      </c>
      <c r="F17" s="3039"/>
      <c r="G17" s="3039"/>
      <c r="H17" s="3039"/>
      <c r="I17" s="3040"/>
      <c r="J17" s="2027"/>
      <c r="K17" s="2084"/>
      <c r="L17" s="2079"/>
      <c r="M17" s="2079"/>
      <c r="N17" s="2080"/>
      <c r="O17" s="2079"/>
      <c r="P17" s="2080"/>
      <c r="Q17" s="2027"/>
      <c r="R17" s="2027"/>
      <c r="S17" s="2027"/>
      <c r="T17" s="2027"/>
      <c r="U17" s="2027"/>
      <c r="V17" s="2027"/>
    </row>
    <row r="18" spans="1:22" ht="36" customHeight="1" thickBot="1">
      <c r="A18" s="2085" t="s">
        <v>1806</v>
      </c>
      <c r="B18" s="2036" t="s">
        <v>1807</v>
      </c>
      <c r="C18" s="1442">
        <f>'数据-汇总表'!D3</f>
        <v>927.85</v>
      </c>
      <c r="D18" s="2086" t="s">
        <v>1805</v>
      </c>
      <c r="E18" s="3041" t="s">
        <v>3050</v>
      </c>
      <c r="F18" s="3042"/>
      <c r="G18" s="3042"/>
      <c r="H18" s="3042"/>
      <c r="I18" s="3043"/>
      <c r="J18" s="2027"/>
      <c r="K18" s="2084"/>
      <c r="L18" s="2079"/>
      <c r="M18" s="2079"/>
      <c r="N18" s="2080"/>
      <c r="O18" s="2079"/>
      <c r="P18" s="2080"/>
      <c r="Q18" s="2027"/>
      <c r="R18" s="2027"/>
      <c r="S18" s="2027"/>
      <c r="T18" s="2027"/>
      <c r="U18" s="2027"/>
      <c r="V18" s="2027"/>
    </row>
    <row r="19" spans="1:22" ht="37.5" customHeight="1" thickTop="1" thickBot="1">
      <c r="A19" s="372" t="s">
        <v>1808</v>
      </c>
      <c r="B19" s="351" t="s">
        <v>1809</v>
      </c>
      <c r="C19" s="2087" t="s">
        <v>3051</v>
      </c>
      <c r="D19" s="2088" t="s">
        <v>1810</v>
      </c>
      <c r="E19" s="2089" t="s">
        <v>3052</v>
      </c>
      <c r="F19" s="2090" t="str">
        <f>IF(AND(C19="是",E19="否"),"是否提供他项权证或相关说明","")</f>
        <v>是否提供他项权证或相关说明</v>
      </c>
      <c r="G19" s="2091" t="s">
        <v>3052</v>
      </c>
      <c r="H19" s="2040"/>
      <c r="I19" s="2040"/>
      <c r="J19" s="2040"/>
      <c r="K19" s="2049"/>
      <c r="L19" s="2026"/>
      <c r="M19" s="2026"/>
      <c r="N19" s="2080"/>
      <c r="O19" s="2079"/>
      <c r="P19" s="2080"/>
      <c r="Q19" s="2027"/>
      <c r="R19" s="2027"/>
      <c r="S19" s="2027"/>
      <c r="T19" s="2027"/>
      <c r="U19" s="2027"/>
      <c r="V19" s="2027"/>
    </row>
    <row r="20" spans="1:22" ht="18" customHeight="1">
      <c r="A20" s="2092" t="s">
        <v>1811</v>
      </c>
      <c r="B20" s="3028" t="s">
        <v>1812</v>
      </c>
      <c r="C20" s="3029"/>
      <c r="D20" s="3030" t="s">
        <v>1813</v>
      </c>
      <c r="E20" s="3031"/>
      <c r="F20" s="2093" t="s">
        <v>1814</v>
      </c>
      <c r="G20" s="2040"/>
      <c r="H20" s="2040"/>
      <c r="I20" s="2040"/>
      <c r="J20" s="2040"/>
      <c r="K20" s="3027" t="s">
        <v>1815</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6"/>
      <c r="N20" s="2080"/>
      <c r="O20" s="2079"/>
      <c r="P20" s="2080"/>
      <c r="Q20" s="2027"/>
      <c r="R20" s="2027"/>
      <c r="S20" s="2027"/>
      <c r="T20" s="2027"/>
      <c r="U20" s="2027"/>
      <c r="V20" s="2027"/>
    </row>
    <row r="21" spans="1:22" ht="24.75" customHeight="1">
      <c r="A21" s="2092"/>
      <c r="B21" s="2094" t="s">
        <v>1816</v>
      </c>
      <c r="C21" s="2095" t="s">
        <v>3053</v>
      </c>
      <c r="D21" s="2096"/>
      <c r="E21" s="2097" t="s">
        <v>70</v>
      </c>
      <c r="F21" s="2098"/>
      <c r="G21" s="2040"/>
      <c r="H21" s="2040"/>
      <c r="I21" s="2040"/>
      <c r="J21" s="2040"/>
      <c r="K21" s="302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1817</v>
      </c>
      <c r="C22" s="2095" t="s">
        <v>1818</v>
      </c>
      <c r="D22" s="2024"/>
      <c r="E22" s="2024"/>
      <c r="F22" s="2100"/>
      <c r="G22" s="2040"/>
      <c r="H22" s="2040"/>
      <c r="I22" s="2040"/>
      <c r="J22" s="2040"/>
      <c r="K22" s="302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1819</v>
      </c>
      <c r="B23" s="182" t="s">
        <v>1820</v>
      </c>
      <c r="C23" s="2102"/>
      <c r="D23" s="2103" t="s">
        <v>1820</v>
      </c>
      <c r="E23" s="2104"/>
      <c r="F23" s="2100"/>
      <c r="G23" s="2040"/>
      <c r="H23" s="2040"/>
      <c r="I23" s="2040"/>
      <c r="J23" s="2040"/>
      <c r="K23" s="2105"/>
      <c r="L23" s="747"/>
      <c r="M23" s="2026"/>
      <c r="N23" s="2080"/>
      <c r="O23" s="2079"/>
      <c r="P23" s="2080"/>
      <c r="Q23" s="2027"/>
      <c r="R23" s="2027"/>
      <c r="S23" s="2027"/>
      <c r="T23" s="2027"/>
      <c r="U23" s="2027"/>
      <c r="V23" s="2027"/>
    </row>
    <row r="24" spans="1:22" ht="18" customHeight="1">
      <c r="A24" s="2106"/>
      <c r="B24" s="182" t="s">
        <v>1821</v>
      </c>
      <c r="C24" s="2107"/>
      <c r="D24" s="2101" t="s">
        <v>1821</v>
      </c>
      <c r="E24" s="2108"/>
      <c r="F24" s="2100"/>
      <c r="G24" s="2040"/>
      <c r="H24" s="2040"/>
      <c r="I24" s="2040"/>
      <c r="J24" s="2040"/>
      <c r="K24" s="2105"/>
      <c r="L24" s="747"/>
      <c r="M24" s="2026"/>
      <c r="N24" s="2080"/>
      <c r="O24" s="2079"/>
      <c r="P24" s="2080"/>
      <c r="Q24" s="2027"/>
      <c r="R24" s="2027"/>
      <c r="S24" s="2027"/>
      <c r="T24" s="2027"/>
      <c r="U24" s="2027"/>
      <c r="V24" s="2027"/>
    </row>
    <row r="25" spans="1:22" ht="18" customHeight="1">
      <c r="A25" s="2106"/>
      <c r="B25" s="182" t="s">
        <v>1822</v>
      </c>
      <c r="C25" s="2107"/>
      <c r="D25" s="2101" t="s">
        <v>1822</v>
      </c>
      <c r="E25" s="2108"/>
      <c r="F25" s="2100"/>
      <c r="G25" s="2040"/>
      <c r="H25" s="2040"/>
      <c r="I25" s="2040"/>
      <c r="J25" s="2040"/>
      <c r="K25" s="2049"/>
      <c r="L25" s="2026"/>
      <c r="M25" s="2026"/>
      <c r="N25" s="2080"/>
      <c r="O25" s="2079"/>
      <c r="P25" s="2080"/>
      <c r="Q25" s="2027"/>
      <c r="R25" s="2027"/>
      <c r="S25" s="2027"/>
      <c r="T25" s="2027"/>
      <c r="U25" s="2027"/>
      <c r="V25" s="2027"/>
    </row>
    <row r="26" spans="1:22" ht="18" customHeight="1" thickBot="1">
      <c r="A26" s="2109"/>
      <c r="B26" s="2110" t="s">
        <v>1823</v>
      </c>
      <c r="C26" s="2111"/>
      <c r="D26" s="2112" t="s">
        <v>1824</v>
      </c>
      <c r="E26" s="2113"/>
      <c r="F26" s="2114"/>
      <c r="G26" s="2057"/>
      <c r="H26" s="2057"/>
      <c r="I26" s="2057"/>
      <c r="J26" s="2040"/>
      <c r="K26" s="2049"/>
      <c r="L26" s="2026"/>
      <c r="M26" s="2026"/>
      <c r="N26" s="2080"/>
      <c r="O26" s="2079"/>
      <c r="P26" s="2080"/>
      <c r="Q26" s="2027"/>
      <c r="R26" s="2027"/>
      <c r="S26" s="2027"/>
      <c r="T26" s="2027"/>
      <c r="U26" s="2027"/>
      <c r="V26" s="2027"/>
    </row>
    <row r="27" spans="1:22" ht="18" customHeight="1" thickTop="1">
      <c r="A27" s="3045" t="s">
        <v>1825</v>
      </c>
      <c r="B27" s="2058" t="s">
        <v>1826</v>
      </c>
      <c r="C27" s="2115" t="s">
        <v>3054</v>
      </c>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45"/>
      <c r="B28" s="2033" t="s">
        <v>1827</v>
      </c>
      <c r="C28" s="2117" t="s">
        <v>3055</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45"/>
      <c r="B29" s="2033" t="s">
        <v>1828</v>
      </c>
      <c r="C29" s="2120" t="s">
        <v>3052</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46"/>
      <c r="B30" s="2033" t="s">
        <v>1829</v>
      </c>
      <c r="C30" s="3047"/>
      <c r="D30" s="3048"/>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49" t="s">
        <v>1830</v>
      </c>
      <c r="B31" s="2122" t="s">
        <v>3056</v>
      </c>
      <c r="C31" s="2123" t="str">
        <f>IF(B31="现房","成新及维护状况正常否",IF(B31="在建","工程状态是否正常",IF(B31="土地","是否闲置","-")))</f>
        <v>成新及维护状况正常否</v>
      </c>
      <c r="D31" s="2124"/>
      <c r="E31" s="2944" t="s">
        <v>3058</v>
      </c>
      <c r="F31" s="2040"/>
      <c r="G31" s="2040"/>
      <c r="H31" s="2040"/>
      <c r="I31" s="2040"/>
      <c r="J31" s="2040"/>
      <c r="K31" s="2048"/>
      <c r="L31" s="2026"/>
      <c r="M31" s="2026"/>
      <c r="N31" s="2027"/>
      <c r="O31" s="2028"/>
      <c r="P31" s="2027"/>
      <c r="Q31" s="2027"/>
      <c r="R31" s="2027"/>
      <c r="S31" s="2027"/>
      <c r="T31" s="2027"/>
      <c r="U31" s="2027"/>
      <c r="V31" s="2027"/>
    </row>
    <row r="32" spans="1:22" ht="18" customHeight="1">
      <c r="A32" s="3050"/>
      <c r="B32" s="2122"/>
      <c r="C32" s="2123" t="str">
        <f>IF(B32="现房","成新及维护状况是否正常",IF(B32="在建","工程状态是否正常",IF(B32="土地","是否闲置","-")))</f>
        <v>-</v>
      </c>
      <c r="D32" s="2124"/>
      <c r="E32" s="2125"/>
      <c r="F32" s="2040"/>
      <c r="G32" s="2040"/>
      <c r="H32" s="2040"/>
      <c r="I32" s="2040"/>
      <c r="J32" s="2040"/>
      <c r="K32" s="2049"/>
      <c r="L32" s="2026"/>
      <c r="M32" s="2026"/>
      <c r="N32" s="2027"/>
      <c r="O32" s="2028"/>
      <c r="P32" s="2027"/>
      <c r="Q32" s="2027"/>
      <c r="R32" s="2027"/>
      <c r="S32" s="2027"/>
      <c r="T32" s="2027"/>
      <c r="U32" s="2027"/>
      <c r="V32" s="2027"/>
    </row>
    <row r="33" spans="1:22" ht="18" customHeight="1">
      <c r="A33" s="3050"/>
      <c r="B33" s="2126"/>
      <c r="C33" s="2065" t="str">
        <f>IF(B33="现房","成新及维护状况是否正常",IF(B33="在建","工程状态是否正常",IF(B33="土地","是否闲置","-")))</f>
        <v>-</v>
      </c>
      <c r="D33" s="2127"/>
      <c r="E33" s="2128"/>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1831</v>
      </c>
      <c r="B34" s="2129" t="s">
        <v>3059</v>
      </c>
      <c r="C34" s="2129" t="s">
        <v>3060</v>
      </c>
      <c r="D34" s="2129" t="s">
        <v>3061</v>
      </c>
      <c r="E34" s="2129" t="s">
        <v>3062</v>
      </c>
      <c r="F34" s="2129" t="s">
        <v>3063</v>
      </c>
      <c r="G34" s="2129" t="s">
        <v>3064</v>
      </c>
      <c r="H34" s="2129" t="s">
        <v>70</v>
      </c>
      <c r="I34" s="2040"/>
      <c r="J34" s="2040"/>
      <c r="K34" s="1793">
        <f>COUNTIF(B34:H34,"——")</f>
        <v>1</v>
      </c>
      <c r="L34" s="2070" t="s">
        <v>1832</v>
      </c>
      <c r="M34" s="2070" t="s">
        <v>1833</v>
      </c>
      <c r="N34" s="2070" t="s">
        <v>1834</v>
      </c>
      <c r="O34" s="2070" t="s">
        <v>1835</v>
      </c>
      <c r="P34" s="2070" t="s">
        <v>1836</v>
      </c>
      <c r="Q34" s="2070" t="s">
        <v>1837</v>
      </c>
      <c r="R34" s="2070" t="s">
        <v>1838</v>
      </c>
      <c r="S34" s="3044" t="s">
        <v>1839</v>
      </c>
      <c r="T34" s="2130" t="str">
        <f>NUMBERSTRING(7-K34,1)&amp;"通"</f>
        <v>六通</v>
      </c>
      <c r="U34" s="2027"/>
      <c r="V34" s="2027"/>
    </row>
    <row r="35" spans="1:22" ht="18" customHeight="1">
      <c r="A35" s="2131"/>
      <c r="B35" s="3051" t="s">
        <v>1840</v>
      </c>
      <c r="C35" s="3051"/>
      <c r="D35" s="3051"/>
      <c r="E35" s="3051"/>
      <c r="F35" s="2132">
        <f>C10</f>
        <v>0</v>
      </c>
      <c r="G35" s="2040"/>
      <c r="H35" s="2040"/>
      <c r="I35" s="2040"/>
      <c r="J35" s="2040"/>
      <c r="K35" s="2070"/>
      <c r="L35" s="2070"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44"/>
      <c r="T35" s="47" t="str">
        <f>IF(T34="一通",L35,IF(T34="二通",M35,IF(T34="三通",N35,IF(T34="四通",O35,IF(T34="五通",P35,IF(T34="六通",Q35,R35))))))</f>
        <v>通路、通电、通讯、通上水、通下水、通热</v>
      </c>
      <c r="U35" s="2027"/>
      <c r="V35" s="2027"/>
    </row>
    <row r="36" spans="1:22" ht="18" customHeight="1">
      <c r="A36" s="2133"/>
      <c r="B36" s="2132" t="s">
        <v>1841</v>
      </c>
      <c r="C36" s="2132" t="s">
        <v>1842</v>
      </c>
      <c r="D36" s="2132" t="s">
        <v>1843</v>
      </c>
      <c r="E36" s="2132" t="s">
        <v>1844</v>
      </c>
      <c r="F36" s="2134"/>
      <c r="G36" s="2040"/>
      <c r="H36" s="2040"/>
      <c r="I36" s="2040"/>
      <c r="J36" s="2040"/>
      <c r="K36" s="2049"/>
      <c r="L36" s="2026"/>
      <c r="M36" s="2026"/>
      <c r="N36" s="2027"/>
      <c r="O36" s="2028"/>
      <c r="P36" s="2027"/>
      <c r="Q36" s="2027"/>
      <c r="R36" s="2027"/>
      <c r="S36" s="2027"/>
      <c r="T36" s="2027"/>
      <c r="U36" s="2027"/>
      <c r="V36" s="2027"/>
    </row>
    <row r="37" spans="1:22" ht="18" customHeight="1">
      <c r="A37" s="2135" t="s">
        <v>1845</v>
      </c>
      <c r="B37" s="2136"/>
      <c r="C37" s="2136" t="s">
        <v>269</v>
      </c>
      <c r="D37" s="2136"/>
      <c r="E37" s="2136"/>
      <c r="F37" s="2134"/>
      <c r="G37" s="2040"/>
      <c r="H37" s="2040"/>
      <c r="I37" s="2040"/>
      <c r="J37" s="2040"/>
      <c r="K37" s="2049"/>
      <c r="L37" s="2026"/>
      <c r="M37" s="2026"/>
      <c r="N37" s="2027"/>
      <c r="O37" s="2028"/>
      <c r="P37" s="2027"/>
      <c r="Q37" s="2027"/>
      <c r="R37" s="2027"/>
      <c r="S37" s="2027"/>
      <c r="T37" s="2027"/>
      <c r="U37" s="2027"/>
      <c r="V37" s="2027"/>
    </row>
    <row r="38" spans="1:22" ht="18" customHeight="1" thickBot="1">
      <c r="A38" s="2137" t="s">
        <v>1846</v>
      </c>
      <c r="B38" s="2138"/>
      <c r="C38" s="2138" t="s">
        <v>138</v>
      </c>
      <c r="D38" s="2138"/>
      <c r="E38" s="2138"/>
      <c r="F38" s="2139"/>
      <c r="G38" s="2057"/>
      <c r="H38" s="2057"/>
      <c r="I38" s="2057"/>
      <c r="J38" s="2040"/>
      <c r="K38" s="2049"/>
      <c r="L38" s="2026"/>
      <c r="M38" s="2026"/>
      <c r="N38" s="2027"/>
      <c r="O38" s="2028"/>
      <c r="P38" s="2027"/>
      <c r="Q38" s="2027"/>
      <c r="R38" s="2027"/>
      <c r="S38" s="2027"/>
      <c r="T38" s="2027"/>
      <c r="U38" s="2027"/>
      <c r="V38" s="2027"/>
    </row>
    <row r="39" spans="1:22" s="2144" customFormat="1" ht="18" customHeight="1" thickTop="1" thickBot="1">
      <c r="A39" s="2140" t="s">
        <v>1847</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5"/>
      <c r="L40" s="2079"/>
      <c r="M40" s="2079"/>
      <c r="N40" s="2080"/>
      <c r="O40" s="2079"/>
      <c r="P40" s="2027"/>
      <c r="Q40" s="2027"/>
      <c r="R40" s="2027"/>
      <c r="S40" s="2027"/>
      <c r="T40" s="2027"/>
      <c r="U40" s="2027"/>
      <c r="V40" s="2027"/>
    </row>
    <row r="41" spans="1:22" ht="18" customHeight="1">
      <c r="A41" s="8" t="s">
        <v>1848</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1849</v>
      </c>
      <c r="B42" s="1793" t="s">
        <v>1850</v>
      </c>
      <c r="C42" s="1793" t="s">
        <v>1851</v>
      </c>
      <c r="D42" s="1793" t="s">
        <v>1852</v>
      </c>
      <c r="E42" s="1793" t="s">
        <v>1853</v>
      </c>
      <c r="F42" s="1793" t="s">
        <v>1854</v>
      </c>
      <c r="G42" s="1793" t="s">
        <v>1855</v>
      </c>
      <c r="H42" s="1793" t="s">
        <v>1856</v>
      </c>
      <c r="I42" s="1793" t="s">
        <v>1857</v>
      </c>
      <c r="J42" s="2148" t="s">
        <v>1858</v>
      </c>
      <c r="K42" s="2071" t="s">
        <v>1859</v>
      </c>
      <c r="L42" s="2071" t="s">
        <v>1860</v>
      </c>
      <c r="M42" s="2071" t="s">
        <v>1861</v>
      </c>
      <c r="N42" s="1793" t="s">
        <v>1862</v>
      </c>
      <c r="O42" s="1793" t="s">
        <v>1863</v>
      </c>
      <c r="P42" s="1793" t="s">
        <v>1864</v>
      </c>
      <c r="Q42" s="2070" t="s">
        <v>1865</v>
      </c>
      <c r="R42" s="2070" t="s">
        <v>1866</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1869</v>
      </c>
      <c r="B2" s="11" t="s">
        <v>1870</v>
      </c>
      <c r="C2" s="11" t="s">
        <v>1871</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1872</v>
      </c>
      <c r="AZ2" s="1270" t="s">
        <v>1873</v>
      </c>
      <c r="BA2" s="11" t="s">
        <v>1874</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5" thickBot="1">
      <c r="A3" s="2945">
        <v>927.85</v>
      </c>
      <c r="B3" s="13">
        <f>IF(C3="否",G5-AT5,G5)</f>
        <v>8276.64</v>
      </c>
      <c r="C3" s="2164" t="s">
        <v>1875</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4" t="s">
        <v>1876</v>
      </c>
      <c r="B5" s="1801"/>
      <c r="C5" s="1801"/>
      <c r="D5" s="1804"/>
      <c r="E5" s="15" t="s">
        <v>1</v>
      </c>
      <c r="F5" s="15">
        <f>SUM(F13:F587)</f>
        <v>0</v>
      </c>
      <c r="G5" s="15">
        <f>SUM(G13:G587)</f>
        <v>8276.64</v>
      </c>
      <c r="H5" s="15">
        <f t="shared" ref="H5:AT5" si="0">SUM(H13:H656)</f>
        <v>8276.64</v>
      </c>
      <c r="I5" s="15">
        <f t="shared" si="0"/>
        <v>8276.64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0"/>
      <c r="AV5" s="14" t="s">
        <v>1876</v>
      </c>
      <c r="AW5" s="1801"/>
      <c r="AX5" s="1801"/>
      <c r="AY5" s="16" t="s">
        <v>3</v>
      </c>
      <c r="AZ5" s="17">
        <f t="shared" ref="AZ5:BT5" si="1">SUM(AZ13:AZ656)</f>
        <v>8276.64</v>
      </c>
      <c r="BA5" s="17">
        <f t="shared" si="1"/>
        <v>8276.64</v>
      </c>
      <c r="BB5" s="17">
        <f t="shared" si="1"/>
        <v>8276.64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3" customFormat="1" ht="12.75">
      <c r="A6" s="14" t="s">
        <v>1877</v>
      </c>
      <c r="B6" s="2170"/>
      <c r="C6" s="2170"/>
      <c r="D6" s="2171"/>
      <c r="E6" s="15">
        <f>H6+AC6+AT6</f>
        <v>927.85</v>
      </c>
      <c r="F6" s="15" t="s">
        <v>1</v>
      </c>
      <c r="G6" s="15" t="s">
        <v>2</v>
      </c>
      <c r="H6" s="19">
        <f>SUMIF(I$12:AB$12,"总值",I6:AB6)</f>
        <v>927.85</v>
      </c>
      <c r="I6" s="15">
        <f t="shared" ref="I6:AB6" si="2">ROUND($A$3*I5/$B$3,2)</f>
        <v>927.85</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2"/>
      <c r="AV6" s="14" t="s">
        <v>1877</v>
      </c>
      <c r="AW6" s="2170"/>
      <c r="AX6" s="2170"/>
      <c r="AY6" s="20">
        <f>IF(AY3&gt;0,AY3,ROUND($A$3*AZ5/$B$3,2))</f>
        <v>927.85</v>
      </c>
      <c r="AZ6" s="15" t="s">
        <v>3</v>
      </c>
      <c r="BA6" s="15">
        <f>ROUND($AY$6*BA5/$AZ$5,2)</f>
        <v>927.85</v>
      </c>
      <c r="BB6" s="15">
        <f>ROUND($AY$6*BB5/$AZ$5,2)</f>
        <v>927.85</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3" customFormat="1" ht="24.75">
      <c r="A7" s="2105" t="s">
        <v>1878</v>
      </c>
      <c r="B7" s="2105" t="s">
        <v>1879</v>
      </c>
      <c r="C7" s="2105" t="s">
        <v>1880</v>
      </c>
      <c r="D7" s="2105" t="s">
        <v>1881</v>
      </c>
      <c r="E7" s="2105" t="s">
        <v>1882</v>
      </c>
      <c r="F7" s="2105" t="s">
        <v>1883</v>
      </c>
      <c r="G7" s="2174" t="s">
        <v>1884</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1885</v>
      </c>
      <c r="AV7" s="22" t="s">
        <v>1886</v>
      </c>
      <c r="AW7" s="2162" t="s">
        <v>1887</v>
      </c>
      <c r="AX7" s="22" t="s">
        <v>1880</v>
      </c>
      <c r="AY7" s="1801" t="s">
        <v>1888</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1889</v>
      </c>
      <c r="H8" s="2180" t="s">
        <v>1890</v>
      </c>
      <c r="I8" s="2181"/>
      <c r="J8" s="1816"/>
      <c r="K8" s="1816"/>
      <c r="L8" s="1816"/>
      <c r="M8" s="1816"/>
      <c r="N8" s="1816"/>
      <c r="O8" s="1816"/>
      <c r="P8" s="1816"/>
      <c r="Q8" s="1816"/>
      <c r="R8" s="1816"/>
      <c r="S8" s="1816"/>
      <c r="T8" s="1816"/>
      <c r="U8" s="1816"/>
      <c r="V8" s="2182"/>
      <c r="W8" s="1816"/>
      <c r="X8" s="1816"/>
      <c r="Y8" s="1816"/>
      <c r="Z8" s="1816"/>
      <c r="AA8" s="2182"/>
      <c r="AB8" s="2183"/>
      <c r="AC8" s="983" t="s">
        <v>1891</v>
      </c>
      <c r="AD8" s="2184"/>
      <c r="AE8" s="2176"/>
      <c r="AF8" s="1816"/>
      <c r="AG8" s="1816"/>
      <c r="AH8" s="1816"/>
      <c r="AI8" s="1816"/>
      <c r="AJ8" s="1816"/>
      <c r="AK8" s="1816"/>
      <c r="AL8" s="1816"/>
      <c r="AM8" s="1816"/>
      <c r="AN8" s="1816"/>
      <c r="AO8" s="1816"/>
      <c r="AP8" s="1816"/>
      <c r="AQ8" s="1816"/>
      <c r="AR8" s="1816"/>
      <c r="AS8" s="1816"/>
      <c r="AT8" s="1292" t="s">
        <v>1892</v>
      </c>
      <c r="AU8" s="2178" t="s">
        <v>1893</v>
      </c>
      <c r="AV8" s="1292"/>
      <c r="AW8" s="2161"/>
      <c r="AX8" s="1292"/>
      <c r="AY8" s="2162"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5"/>
    </row>
    <row r="9" spans="1:72" s="2185" customFormat="1" ht="12.75">
      <c r="A9" s="2178"/>
      <c r="B9" s="2178"/>
      <c r="C9" s="2178"/>
      <c r="D9" s="2178"/>
      <c r="E9" s="2178"/>
      <c r="F9" s="2178"/>
      <c r="G9" s="1292"/>
      <c r="H9" s="2186" t="s">
        <v>1896</v>
      </c>
      <c r="I9" s="2187" t="s">
        <v>3066</v>
      </c>
      <c r="J9" s="983"/>
      <c r="K9" s="2187"/>
      <c r="L9" s="983"/>
      <c r="M9" s="2187"/>
      <c r="N9" s="983"/>
      <c r="O9" s="2187"/>
      <c r="P9" s="983"/>
      <c r="Q9" s="2187"/>
      <c r="R9" s="983"/>
      <c r="S9" s="2187"/>
      <c r="T9" s="983"/>
      <c r="U9" s="2187"/>
      <c r="V9" s="983"/>
      <c r="W9" s="2187"/>
      <c r="X9" s="2188"/>
      <c r="Y9" s="2187"/>
      <c r="Z9" s="983"/>
      <c r="AA9" s="2187"/>
      <c r="AB9" s="983"/>
      <c r="AC9" s="2179" t="s">
        <v>1896</v>
      </c>
      <c r="AD9" s="14" t="s">
        <v>1897</v>
      </c>
      <c r="AE9" s="1298"/>
      <c r="AF9" s="14" t="s">
        <v>1898</v>
      </c>
      <c r="AG9" s="1298"/>
      <c r="AH9" s="14" t="s">
        <v>1897</v>
      </c>
      <c r="AI9" s="1298"/>
      <c r="AJ9" s="14" t="s">
        <v>1898</v>
      </c>
      <c r="AK9" s="1298"/>
      <c r="AL9" s="14" t="s">
        <v>1897</v>
      </c>
      <c r="AM9" s="1298"/>
      <c r="AN9" s="14" t="s">
        <v>1898</v>
      </c>
      <c r="AO9" s="1298"/>
      <c r="AP9" s="14" t="s">
        <v>1897</v>
      </c>
      <c r="AQ9" s="1298"/>
      <c r="AR9" s="14" t="s">
        <v>1898</v>
      </c>
      <c r="AS9" s="2189"/>
      <c r="AT9" s="2178"/>
      <c r="AU9" s="2178" t="s">
        <v>1899</v>
      </c>
      <c r="AV9" s="1292"/>
      <c r="AW9" s="2161"/>
      <c r="AX9" s="1292"/>
      <c r="AY9" s="27"/>
      <c r="AZ9" s="27" t="s">
        <v>1889</v>
      </c>
      <c r="BA9" s="2190" t="s">
        <v>1900</v>
      </c>
      <c r="BB9" s="2191"/>
      <c r="BC9" s="1338"/>
      <c r="BD9" s="1338"/>
      <c r="BE9" s="1338"/>
      <c r="BF9" s="1338"/>
      <c r="BG9" s="1338"/>
      <c r="BH9" s="1338"/>
      <c r="BI9" s="1338"/>
      <c r="BJ9" s="1338"/>
      <c r="BK9" s="2192"/>
      <c r="BL9" s="14" t="s">
        <v>1901</v>
      </c>
      <c r="BM9" s="1816"/>
      <c r="BN9" s="2181"/>
      <c r="BO9" s="1816"/>
      <c r="BP9" s="1816"/>
      <c r="BQ9" s="1816"/>
      <c r="BR9" s="1816"/>
      <c r="BS9" s="1816"/>
      <c r="BT9" s="25"/>
    </row>
    <row r="10" spans="1:72" s="2185" customFormat="1" ht="12.75">
      <c r="A10" s="2178"/>
      <c r="B10" s="2178"/>
      <c r="C10" s="2178"/>
      <c r="D10" s="2178"/>
      <c r="E10" s="2178"/>
      <c r="F10" s="2178"/>
      <c r="G10" s="1292"/>
      <c r="H10" s="27"/>
      <c r="I10" s="2187" t="s">
        <v>27</v>
      </c>
      <c r="J10" s="983"/>
      <c r="K10" s="2193"/>
      <c r="L10" s="983"/>
      <c r="M10" s="2193"/>
      <c r="N10" s="983"/>
      <c r="O10" s="2193"/>
      <c r="P10" s="983"/>
      <c r="Q10" s="2193"/>
      <c r="R10" s="983"/>
      <c r="S10" s="2193"/>
      <c r="T10" s="983"/>
      <c r="U10" s="2193"/>
      <c r="V10" s="983"/>
      <c r="W10" s="2193"/>
      <c r="X10" s="983"/>
      <c r="Y10" s="2193"/>
      <c r="Z10" s="983"/>
      <c r="AA10" s="2193"/>
      <c r="AB10" s="983"/>
      <c r="AC10" s="1292"/>
      <c r="AD10" s="14" t="s">
        <v>1902</v>
      </c>
      <c r="AE10" s="2194"/>
      <c r="AF10" s="14" t="s">
        <v>1902</v>
      </c>
      <c r="AG10" s="2194"/>
      <c r="AH10" s="14" t="s">
        <v>1903</v>
      </c>
      <c r="AI10" s="2194"/>
      <c r="AJ10" s="14" t="s">
        <v>1903</v>
      </c>
      <c r="AK10" s="2194"/>
      <c r="AL10" s="14" t="s">
        <v>1904</v>
      </c>
      <c r="AM10" s="1298"/>
      <c r="AN10" s="14" t="s">
        <v>1904</v>
      </c>
      <c r="AO10" s="1298"/>
      <c r="AP10" s="14" t="s">
        <v>1905</v>
      </c>
      <c r="AQ10" s="1298"/>
      <c r="AR10" s="14" t="s">
        <v>1905</v>
      </c>
      <c r="AS10" s="1298"/>
      <c r="AT10" s="2178"/>
      <c r="AU10" s="2178"/>
      <c r="AV10" s="1292"/>
      <c r="AW10" s="2161"/>
      <c r="AX10" s="1292"/>
      <c r="AY10" s="27"/>
      <c r="AZ10" s="27"/>
      <c r="BA10" s="2195" t="s">
        <v>1896</v>
      </c>
      <c r="BB10" s="2196" t="str">
        <f>I9</f>
        <v>地上</v>
      </c>
      <c r="BC10" s="28">
        <f>K9</f>
        <v>0</v>
      </c>
      <c r="BD10" s="28">
        <f>M9</f>
        <v>0</v>
      </c>
      <c r="BE10" s="28">
        <f>O9</f>
        <v>0</v>
      </c>
      <c r="BF10" s="28">
        <f>Q9</f>
        <v>0</v>
      </c>
      <c r="BG10" s="28">
        <f>S9</f>
        <v>0</v>
      </c>
      <c r="BH10" s="28">
        <f>U9</f>
        <v>0</v>
      </c>
      <c r="BI10" s="28">
        <f>W9</f>
        <v>0</v>
      </c>
      <c r="BJ10" s="28">
        <f>Y9</f>
        <v>0</v>
      </c>
      <c r="BK10" s="28">
        <f>AA9</f>
        <v>0</v>
      </c>
      <c r="BL10" s="24" t="s">
        <v>1896</v>
      </c>
      <c r="BM10" s="1815" t="str">
        <f>AD9</f>
        <v>地上</v>
      </c>
      <c r="BN10" s="28" t="str">
        <f>AF9</f>
        <v>地下</v>
      </c>
      <c r="BO10" s="1815" t="str">
        <f>AH9</f>
        <v>地上</v>
      </c>
      <c r="BP10" s="28" t="str">
        <f>AJ9</f>
        <v>地下</v>
      </c>
      <c r="BQ10" s="1815" t="str">
        <f>AL9</f>
        <v>地上</v>
      </c>
      <c r="BR10" s="28" t="str">
        <f>AN9</f>
        <v>地下</v>
      </c>
      <c r="BS10" s="1815" t="str">
        <f>AP9</f>
        <v>地上</v>
      </c>
      <c r="BT10" s="2197" t="str">
        <f>AR9</f>
        <v>地下</v>
      </c>
    </row>
    <row r="11" spans="1:72" s="2185" customFormat="1" ht="12.75">
      <c r="A11" s="2178"/>
      <c r="B11" s="2178"/>
      <c r="C11" s="2178"/>
      <c r="D11" s="2178"/>
      <c r="E11" s="2178"/>
      <c r="F11" s="2178"/>
      <c r="G11" s="1292"/>
      <c r="H11" s="2195"/>
      <c r="I11" s="2198" t="s">
        <v>3067</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1906</v>
      </c>
      <c r="AE11" s="1817"/>
      <c r="AF11" s="2200" t="s">
        <v>1906</v>
      </c>
      <c r="AG11" s="1817"/>
      <c r="AH11" s="2200" t="s">
        <v>1907</v>
      </c>
      <c r="AI11" s="2201"/>
      <c r="AJ11" s="2200" t="s">
        <v>1907</v>
      </c>
      <c r="AK11" s="1817"/>
      <c r="AL11" s="1815"/>
      <c r="AM11" s="1817"/>
      <c r="AN11" s="1815"/>
      <c r="AO11" s="1817"/>
      <c r="AP11" s="1815"/>
      <c r="AQ11" s="1817"/>
      <c r="AR11" s="1815"/>
      <c r="AS11" s="1817"/>
      <c r="AT11" s="2161"/>
      <c r="AU11" s="2178"/>
      <c r="AV11" s="1292"/>
      <c r="AW11" s="2161"/>
      <c r="AX11" s="1292"/>
      <c r="AY11" s="27"/>
      <c r="AZ11" s="27"/>
      <c r="BA11" s="27"/>
      <c r="BB11" s="2183" t="str">
        <f>I10</f>
        <v>办公</v>
      </c>
      <c r="BC11" s="2183">
        <f>K10</f>
        <v>0</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3" t="str">
        <f>AH10</f>
        <v>物业管理用房</v>
      </c>
      <c r="BP11" s="23" t="str">
        <f>AJ10</f>
        <v>物业管理用房</v>
      </c>
      <c r="BQ11" s="23" t="str">
        <f>AL10</f>
        <v>设备及其他</v>
      </c>
      <c r="BR11" s="23" t="str">
        <f>AN10</f>
        <v>设备及其他</v>
      </c>
      <c r="BS11" s="24" t="str">
        <f>AP10</f>
        <v>未注明</v>
      </c>
      <c r="BT11" s="2202" t="str">
        <f>AR10</f>
        <v>未注明</v>
      </c>
    </row>
    <row r="12" spans="1:72" s="2163" customFormat="1" ht="12.75">
      <c r="A12" s="2203"/>
      <c r="B12" s="2203"/>
      <c r="C12" s="2203"/>
      <c r="D12" s="2203"/>
      <c r="E12" s="2203"/>
      <c r="F12" s="2203"/>
      <c r="G12" s="29"/>
      <c r="H12" s="2204"/>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5"/>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3" t="s">
        <v>1909</v>
      </c>
      <c r="AT12" s="2206"/>
      <c r="AU12" s="2203"/>
      <c r="AV12" s="30"/>
      <c r="AW12" s="2162"/>
      <c r="AX12" s="30"/>
      <c r="AY12" s="2207"/>
      <c r="AZ12" s="27"/>
      <c r="BA12" s="2195"/>
      <c r="BB12" s="23" t="str">
        <f>I11</f>
        <v>办公楼</v>
      </c>
      <c r="BC12" s="2208">
        <f>K11</f>
        <v>0</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3" t="str">
        <f>AH11</f>
        <v>（住宅、计出让金）</v>
      </c>
      <c r="BP12" s="23" t="str">
        <f>AJ11</f>
        <v>（住宅、计出让金）</v>
      </c>
      <c r="BQ12" s="23">
        <f>AL11</f>
        <v>0</v>
      </c>
      <c r="BR12" s="23">
        <f>AN11</f>
        <v>0</v>
      </c>
      <c r="BS12" s="24">
        <f>AP11</f>
        <v>0</v>
      </c>
      <c r="BT12" s="2202">
        <f>AR11</f>
        <v>0</v>
      </c>
    </row>
    <row r="13" spans="1:72" s="2163" customFormat="1" ht="12.75">
      <c r="A13" s="1272"/>
      <c r="B13" s="1272"/>
      <c r="C13" s="1272" t="s">
        <v>3128</v>
      </c>
      <c r="D13" s="2209" t="s">
        <v>3051</v>
      </c>
      <c r="E13" s="15">
        <f>IF($C$3="是",ROUND($A$3*G13/$B$3,2),ROUND($A$3*(G13-AT13)/$B$3,2))</f>
        <v>927.85</v>
      </c>
      <c r="F13" s="31"/>
      <c r="G13" s="32">
        <f>H13+AC13+AT13</f>
        <v>8276.64</v>
      </c>
      <c r="H13" s="19">
        <f>SUMIF(I$12:AB$12,"总值",I13:AB13)</f>
        <v>8276.64</v>
      </c>
      <c r="I13" s="2210">
        <v>8276.64</v>
      </c>
      <c r="J13" s="2210"/>
      <c r="K13" s="2210"/>
      <c r="L13" s="2210"/>
      <c r="M13" s="2210"/>
      <c r="N13" s="2210"/>
      <c r="O13" s="2210"/>
      <c r="P13" s="2210"/>
      <c r="Q13" s="2210"/>
      <c r="R13" s="2210"/>
      <c r="S13" s="2210"/>
      <c r="T13" s="2210"/>
      <c r="U13" s="2210"/>
      <c r="V13" s="2210"/>
      <c r="W13" s="2210"/>
      <c r="X13" s="2210"/>
      <c r="Y13" s="2210"/>
      <c r="Z13" s="2210"/>
      <c r="AA13" s="2210"/>
      <c r="AB13" s="2210"/>
      <c r="AC13" s="15">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6层</v>
      </c>
      <c r="AY13" s="1804">
        <f>ROUND($AY$6*AZ13/$AZ$5,2)</f>
        <v>927.85</v>
      </c>
      <c r="AZ13" s="15">
        <f>BA13+BL13</f>
        <v>8276.64</v>
      </c>
      <c r="BA13" s="15">
        <f>SUM(BB13:BK13)</f>
        <v>8276.64</v>
      </c>
      <c r="BB13" s="15">
        <f>IF($D13="是",I13-J13,0)</f>
        <v>8276.64</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3" customFormat="1" ht="12.75">
      <c r="A14" s="1272"/>
      <c r="B14" s="1272"/>
      <c r="C14" s="2149"/>
      <c r="D14" s="2209"/>
      <c r="E14" s="15">
        <f>IF($C$3="是",ROUND($A$3*G14/$B$3,2),ROUND($A$3*(G14-AT14)/$B$3,2))</f>
        <v>0</v>
      </c>
      <c r="F14" s="31"/>
      <c r="G14" s="32">
        <f>H14+AC14+AT14</f>
        <v>0</v>
      </c>
      <c r="H14" s="19">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5">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4">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3" customFormat="1" ht="12.75">
      <c r="A15" s="1272"/>
      <c r="B15" s="1272"/>
      <c r="C15" s="2149"/>
      <c r="D15" s="2209"/>
      <c r="E15" s="15">
        <f>IF($C$3="是",ROUND($A$3*G15/$B$3,2),ROUND($A$3*(G15-AT15)/$B$3,2))</f>
        <v>0</v>
      </c>
      <c r="F15" s="31"/>
      <c r="G15" s="32">
        <f>H15+AC15+AT15</f>
        <v>0</v>
      </c>
      <c r="H15" s="19">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5">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4">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3" customFormat="1" ht="12.75">
      <c r="A16" s="1272"/>
      <c r="B16" s="1272"/>
      <c r="C16" s="2149"/>
      <c r="D16" s="2209"/>
      <c r="E16" s="15">
        <f>IF($C$3="是",ROUND($A$3*G16/$B$3,2),ROUND($A$3*(G16-AT16)/$B$3,2))</f>
        <v>0</v>
      </c>
      <c r="F16" s="31"/>
      <c r="G16" s="32">
        <f>H16+AC16+AT16</f>
        <v>0</v>
      </c>
      <c r="H16" s="19">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5">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4">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3" customFormat="1" ht="12.75">
      <c r="A17" s="1272"/>
      <c r="B17" s="1272"/>
      <c r="C17" s="2149"/>
      <c r="D17" s="2209"/>
      <c r="E17" s="15">
        <f>IF($C$3="是",ROUND($A$3*G17/$B$3,2),ROUND($A$3*(G17-AT17)/$B$3,2))</f>
        <v>0</v>
      </c>
      <c r="F17" s="31"/>
      <c r="G17" s="32">
        <f>H17+AC17+AT17</f>
        <v>0</v>
      </c>
      <c r="H17" s="19">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5">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4">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5"/>
      <c r="AV18" s="1793">
        <f t="shared" ref="AV18:AV112" si="11">A18</f>
        <v>0</v>
      </c>
      <c r="AW18" s="1793">
        <f t="shared" ref="AW18:AW112" si="12">B18</f>
        <v>0</v>
      </c>
      <c r="AX18" s="1793">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5"/>
      <c r="AV19" s="1793">
        <f t="shared" si="11"/>
        <v>0</v>
      </c>
      <c r="AW19" s="1793">
        <f t="shared" si="12"/>
        <v>0</v>
      </c>
      <c r="AX19" s="1793">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5"/>
      <c r="AV20" s="1793">
        <f t="shared" si="11"/>
        <v>0</v>
      </c>
      <c r="AW20" s="1793">
        <f t="shared" si="12"/>
        <v>0</v>
      </c>
      <c r="AX20" s="1793">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5"/>
      <c r="AV21" s="1793">
        <f t="shared" si="11"/>
        <v>0</v>
      </c>
      <c r="AW21" s="1793">
        <f t="shared" si="12"/>
        <v>0</v>
      </c>
      <c r="AX21" s="1793">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5"/>
      <c r="AV22" s="1793">
        <f t="shared" si="11"/>
        <v>0</v>
      </c>
      <c r="AW22" s="1793">
        <f t="shared" si="12"/>
        <v>0</v>
      </c>
      <c r="AX22" s="1793">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5"/>
      <c r="AV23" s="1793">
        <f t="shared" si="11"/>
        <v>0</v>
      </c>
      <c r="AW23" s="1793">
        <f t="shared" si="12"/>
        <v>0</v>
      </c>
      <c r="AX23" s="1793">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5"/>
      <c r="AV24" s="1793">
        <f t="shared" si="11"/>
        <v>0</v>
      </c>
      <c r="AW24" s="1793">
        <f t="shared" si="12"/>
        <v>0</v>
      </c>
      <c r="AX24" s="1793">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5"/>
      <c r="AV25" s="1793">
        <f t="shared" si="11"/>
        <v>0</v>
      </c>
      <c r="AW25" s="1793">
        <f t="shared" si="12"/>
        <v>0</v>
      </c>
      <c r="AX25" s="1793">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5"/>
      <c r="AV26" s="1793">
        <f t="shared" si="11"/>
        <v>0</v>
      </c>
      <c r="AW26" s="1793">
        <f t="shared" si="12"/>
        <v>0</v>
      </c>
      <c r="AX26" s="1793">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5"/>
      <c r="AV27" s="1793">
        <f t="shared" si="11"/>
        <v>0</v>
      </c>
      <c r="AW27" s="1793">
        <f t="shared" si="12"/>
        <v>0</v>
      </c>
      <c r="AX27" s="1793">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5"/>
      <c r="AV28" s="1793">
        <f t="shared" si="11"/>
        <v>0</v>
      </c>
      <c r="AW28" s="1793">
        <f t="shared" si="12"/>
        <v>0</v>
      </c>
      <c r="AX28" s="1793">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5"/>
      <c r="AV29" s="1793">
        <f t="shared" si="11"/>
        <v>0</v>
      </c>
      <c r="AW29" s="1793">
        <f t="shared" si="12"/>
        <v>0</v>
      </c>
      <c r="AX29" s="1793">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5"/>
      <c r="AV30" s="1793">
        <f t="shared" si="11"/>
        <v>0</v>
      </c>
      <c r="AW30" s="1793">
        <f t="shared" si="12"/>
        <v>0</v>
      </c>
      <c r="AX30" s="1793">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5"/>
      <c r="AV31" s="1793">
        <f t="shared" si="11"/>
        <v>0</v>
      </c>
      <c r="AW31" s="1793">
        <f t="shared" si="12"/>
        <v>0</v>
      </c>
      <c r="AX31" s="1793">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5"/>
      <c r="AV32" s="1793">
        <f t="shared" si="11"/>
        <v>0</v>
      </c>
      <c r="AW32" s="1793">
        <f t="shared" si="12"/>
        <v>0</v>
      </c>
      <c r="AX32" s="1793">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5"/>
      <c r="AV33" s="1793">
        <f t="shared" si="11"/>
        <v>0</v>
      </c>
      <c r="AW33" s="1793">
        <f t="shared" si="12"/>
        <v>0</v>
      </c>
      <c r="AX33" s="1793">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5"/>
      <c r="AV34" s="1793">
        <f t="shared" si="11"/>
        <v>0</v>
      </c>
      <c r="AW34" s="1793">
        <f t="shared" si="12"/>
        <v>0</v>
      </c>
      <c r="AX34" s="1793">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5"/>
      <c r="AV35" s="1793">
        <f t="shared" si="11"/>
        <v>0</v>
      </c>
      <c r="AW35" s="1793">
        <f t="shared" si="12"/>
        <v>0</v>
      </c>
      <c r="AX35" s="1793">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5"/>
      <c r="AV36" s="1793">
        <f t="shared" si="11"/>
        <v>0</v>
      </c>
      <c r="AW36" s="1793">
        <f t="shared" si="12"/>
        <v>0</v>
      </c>
      <c r="AX36" s="1793">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5"/>
      <c r="AV37" s="1793">
        <f t="shared" si="11"/>
        <v>0</v>
      </c>
      <c r="AW37" s="1793">
        <f t="shared" si="12"/>
        <v>0</v>
      </c>
      <c r="AX37" s="1793">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5"/>
      <c r="AV38" s="1793">
        <f t="shared" si="11"/>
        <v>0</v>
      </c>
      <c r="AW38" s="1793">
        <f t="shared" si="12"/>
        <v>0</v>
      </c>
      <c r="AX38" s="1793">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5"/>
      <c r="AV39" s="1793">
        <f t="shared" si="11"/>
        <v>0</v>
      </c>
      <c r="AW39" s="1793">
        <f t="shared" si="12"/>
        <v>0</v>
      </c>
      <c r="AX39" s="1793">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5"/>
      <c r="AV40" s="1793">
        <f t="shared" si="11"/>
        <v>0</v>
      </c>
      <c r="AW40" s="1793">
        <f t="shared" si="12"/>
        <v>0</v>
      </c>
      <c r="AX40" s="1793">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5"/>
      <c r="AV41" s="1793">
        <f t="shared" si="11"/>
        <v>0</v>
      </c>
      <c r="AW41" s="1793">
        <f t="shared" si="12"/>
        <v>0</v>
      </c>
      <c r="AX41" s="1793">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5"/>
      <c r="AV42" s="1793">
        <f t="shared" si="11"/>
        <v>0</v>
      </c>
      <c r="AW42" s="1793">
        <f t="shared" si="12"/>
        <v>0</v>
      </c>
      <c r="AX42" s="1793">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5"/>
      <c r="AV43" s="1793">
        <f t="shared" si="11"/>
        <v>0</v>
      </c>
      <c r="AW43" s="1793">
        <f t="shared" si="12"/>
        <v>0</v>
      </c>
      <c r="AX43" s="1793">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5"/>
      <c r="AV44" s="1793">
        <f t="shared" si="11"/>
        <v>0</v>
      </c>
      <c r="AW44" s="1793">
        <f t="shared" si="12"/>
        <v>0</v>
      </c>
      <c r="AX44" s="1793">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5"/>
      <c r="AV45" s="1793">
        <f t="shared" si="11"/>
        <v>0</v>
      </c>
      <c r="AW45" s="1793">
        <f t="shared" si="12"/>
        <v>0</v>
      </c>
      <c r="AX45" s="1793">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5"/>
      <c r="AV46" s="1793">
        <f t="shared" si="11"/>
        <v>0</v>
      </c>
      <c r="AW46" s="1793">
        <f t="shared" si="12"/>
        <v>0</v>
      </c>
      <c r="AX46" s="1793">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5"/>
      <c r="AV47" s="1793">
        <f t="shared" si="11"/>
        <v>0</v>
      </c>
      <c r="AW47" s="1793">
        <f t="shared" si="12"/>
        <v>0</v>
      </c>
      <c r="AX47" s="1793">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5"/>
      <c r="AV48" s="1793">
        <f t="shared" si="11"/>
        <v>0</v>
      </c>
      <c r="AW48" s="1793">
        <f t="shared" si="12"/>
        <v>0</v>
      </c>
      <c r="AX48" s="1793">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5"/>
      <c r="AV49" s="1793">
        <f t="shared" si="11"/>
        <v>0</v>
      </c>
      <c r="AW49" s="1793">
        <f t="shared" si="12"/>
        <v>0</v>
      </c>
      <c r="AX49" s="1793">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5"/>
      <c r="AV50" s="1793">
        <f t="shared" si="11"/>
        <v>0</v>
      </c>
      <c r="AW50" s="1793">
        <f t="shared" si="12"/>
        <v>0</v>
      </c>
      <c r="AX50" s="1793">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5"/>
      <c r="AV51" s="1793">
        <f t="shared" si="11"/>
        <v>0</v>
      </c>
      <c r="AW51" s="1793">
        <f t="shared" si="12"/>
        <v>0</v>
      </c>
      <c r="AX51" s="1793">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5"/>
      <c r="AV52" s="1793">
        <f t="shared" si="11"/>
        <v>0</v>
      </c>
      <c r="AW52" s="1793">
        <f t="shared" si="12"/>
        <v>0</v>
      </c>
      <c r="AX52" s="1793">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5"/>
      <c r="AV53" s="1793">
        <f t="shared" si="11"/>
        <v>0</v>
      </c>
      <c r="AW53" s="1793">
        <f t="shared" si="12"/>
        <v>0</v>
      </c>
      <c r="AX53" s="1793">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5"/>
      <c r="AV54" s="1793">
        <f t="shared" si="11"/>
        <v>0</v>
      </c>
      <c r="AW54" s="1793">
        <f t="shared" si="12"/>
        <v>0</v>
      </c>
      <c r="AX54" s="1793">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5"/>
      <c r="AV55" s="1793">
        <f t="shared" si="11"/>
        <v>0</v>
      </c>
      <c r="AW55" s="1793">
        <f t="shared" si="12"/>
        <v>0</v>
      </c>
      <c r="AX55" s="1793">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5"/>
      <c r="AV56" s="1793">
        <f t="shared" si="11"/>
        <v>0</v>
      </c>
      <c r="AW56" s="1793">
        <f t="shared" si="12"/>
        <v>0</v>
      </c>
      <c r="AX56" s="1793">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5"/>
      <c r="AV57" s="1793">
        <f t="shared" si="11"/>
        <v>0</v>
      </c>
      <c r="AW57" s="1793">
        <f t="shared" si="12"/>
        <v>0</v>
      </c>
      <c r="AX57" s="1793">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5"/>
      <c r="AV58" s="1793">
        <f t="shared" si="11"/>
        <v>0</v>
      </c>
      <c r="AW58" s="1793">
        <f t="shared" si="12"/>
        <v>0</v>
      </c>
      <c r="AX58" s="1793">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5"/>
      <c r="AV59" s="1793">
        <f t="shared" si="11"/>
        <v>0</v>
      </c>
      <c r="AW59" s="1793">
        <f t="shared" si="12"/>
        <v>0</v>
      </c>
      <c r="AX59" s="1793">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5"/>
      <c r="AV60" s="1793">
        <f t="shared" si="11"/>
        <v>0</v>
      </c>
      <c r="AW60" s="1793">
        <f t="shared" si="12"/>
        <v>0</v>
      </c>
      <c r="AX60" s="1793">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5"/>
      <c r="AV61" s="1793">
        <f t="shared" si="11"/>
        <v>0</v>
      </c>
      <c r="AW61" s="1793">
        <f t="shared" si="12"/>
        <v>0</v>
      </c>
      <c r="AX61" s="1793">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5"/>
      <c r="AV62" s="1793">
        <f t="shared" si="11"/>
        <v>0</v>
      </c>
      <c r="AW62" s="1793">
        <f t="shared" si="12"/>
        <v>0</v>
      </c>
      <c r="AX62" s="1793">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5"/>
      <c r="AV63" s="1793">
        <f t="shared" si="11"/>
        <v>0</v>
      </c>
      <c r="AW63" s="1793">
        <f t="shared" si="12"/>
        <v>0</v>
      </c>
      <c r="AX63" s="1793">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5"/>
      <c r="AV64" s="1793">
        <f t="shared" si="11"/>
        <v>0</v>
      </c>
      <c r="AW64" s="1793">
        <f t="shared" si="12"/>
        <v>0</v>
      </c>
      <c r="AX64" s="1793">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5"/>
      <c r="AV65" s="1793">
        <f t="shared" si="11"/>
        <v>0</v>
      </c>
      <c r="AW65" s="1793">
        <f t="shared" si="12"/>
        <v>0</v>
      </c>
      <c r="AX65" s="1793">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5"/>
      <c r="AV66" s="1793">
        <f t="shared" si="11"/>
        <v>0</v>
      </c>
      <c r="AW66" s="1793">
        <f t="shared" si="12"/>
        <v>0</v>
      </c>
      <c r="AX66" s="1793">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5"/>
      <c r="AV67" s="1793">
        <f t="shared" si="11"/>
        <v>0</v>
      </c>
      <c r="AW67" s="1793">
        <f t="shared" si="12"/>
        <v>0</v>
      </c>
      <c r="AX67" s="1793">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5"/>
      <c r="AV68" s="1793">
        <f t="shared" si="11"/>
        <v>0</v>
      </c>
      <c r="AW68" s="1793">
        <f t="shared" si="12"/>
        <v>0</v>
      </c>
      <c r="AX68" s="1793">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5"/>
      <c r="AV69" s="1793">
        <f t="shared" si="11"/>
        <v>0</v>
      </c>
      <c r="AW69" s="1793">
        <f t="shared" si="12"/>
        <v>0</v>
      </c>
      <c r="AX69" s="1793">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5"/>
      <c r="AV70" s="1793">
        <f t="shared" si="11"/>
        <v>0</v>
      </c>
      <c r="AW70" s="1793">
        <f t="shared" si="12"/>
        <v>0</v>
      </c>
      <c r="AX70" s="1793">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5"/>
      <c r="AV71" s="1793">
        <f t="shared" si="11"/>
        <v>0</v>
      </c>
      <c r="AW71" s="1793">
        <f t="shared" si="12"/>
        <v>0</v>
      </c>
      <c r="AX71" s="1793">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5"/>
      <c r="AV72" s="1793">
        <f t="shared" si="11"/>
        <v>0</v>
      </c>
      <c r="AW72" s="1793">
        <f t="shared" si="12"/>
        <v>0</v>
      </c>
      <c r="AX72" s="1793">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5"/>
      <c r="AV73" s="1793">
        <f t="shared" si="11"/>
        <v>0</v>
      </c>
      <c r="AW73" s="1793">
        <f t="shared" si="12"/>
        <v>0</v>
      </c>
      <c r="AX73" s="1793">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5"/>
      <c r="AV74" s="1793">
        <f t="shared" si="11"/>
        <v>0</v>
      </c>
      <c r="AW74" s="1793">
        <f t="shared" si="12"/>
        <v>0</v>
      </c>
      <c r="AX74" s="1793">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5"/>
      <c r="AV75" s="1793">
        <f t="shared" si="11"/>
        <v>0</v>
      </c>
      <c r="AW75" s="1793">
        <f t="shared" si="12"/>
        <v>0</v>
      </c>
      <c r="AX75" s="1793">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5"/>
      <c r="AV76" s="1793">
        <f t="shared" si="11"/>
        <v>0</v>
      </c>
      <c r="AW76" s="1793">
        <f t="shared" si="12"/>
        <v>0</v>
      </c>
      <c r="AX76" s="1793">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5"/>
      <c r="AV77" s="1793">
        <f t="shared" si="11"/>
        <v>0</v>
      </c>
      <c r="AW77" s="1793">
        <f t="shared" si="12"/>
        <v>0</v>
      </c>
      <c r="AX77" s="1793">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5"/>
      <c r="AV78" s="1793">
        <f t="shared" si="11"/>
        <v>0</v>
      </c>
      <c r="AW78" s="1793">
        <f t="shared" si="12"/>
        <v>0</v>
      </c>
      <c r="AX78" s="1793">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5"/>
      <c r="AV79" s="1793">
        <f t="shared" si="11"/>
        <v>0</v>
      </c>
      <c r="AW79" s="1793">
        <f t="shared" si="12"/>
        <v>0</v>
      </c>
      <c r="AX79" s="1793">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5"/>
      <c r="AV80" s="1793">
        <f t="shared" si="11"/>
        <v>0</v>
      </c>
      <c r="AW80" s="1793">
        <f t="shared" si="12"/>
        <v>0</v>
      </c>
      <c r="AX80" s="1793">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5"/>
      <c r="AV81" s="1793">
        <f t="shared" si="11"/>
        <v>0</v>
      </c>
      <c r="AW81" s="1793">
        <f t="shared" si="12"/>
        <v>0</v>
      </c>
      <c r="AX81" s="1793">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5"/>
      <c r="AV82" s="1793">
        <f t="shared" si="11"/>
        <v>0</v>
      </c>
      <c r="AW82" s="1793">
        <f t="shared" si="12"/>
        <v>0</v>
      </c>
      <c r="AX82" s="1793">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5"/>
      <c r="AV83" s="1793">
        <f t="shared" si="11"/>
        <v>0</v>
      </c>
      <c r="AW83" s="1793">
        <f t="shared" si="12"/>
        <v>0</v>
      </c>
      <c r="AX83" s="1793">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5"/>
      <c r="AV84" s="1793">
        <f t="shared" si="11"/>
        <v>0</v>
      </c>
      <c r="AW84" s="1793">
        <f t="shared" si="12"/>
        <v>0</v>
      </c>
      <c r="AX84" s="1793">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5"/>
      <c r="AV85" s="1793">
        <f t="shared" si="11"/>
        <v>0</v>
      </c>
      <c r="AW85" s="1793">
        <f t="shared" si="12"/>
        <v>0</v>
      </c>
      <c r="AX85" s="1793">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5"/>
      <c r="AV86" s="1793">
        <f t="shared" si="11"/>
        <v>0</v>
      </c>
      <c r="AW86" s="1793">
        <f t="shared" si="12"/>
        <v>0</v>
      </c>
      <c r="AX86" s="1793">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5"/>
      <c r="AV87" s="1793">
        <f t="shared" si="11"/>
        <v>0</v>
      </c>
      <c r="AW87" s="1793">
        <f t="shared" si="12"/>
        <v>0</v>
      </c>
      <c r="AX87" s="1793">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5"/>
      <c r="AV88" s="1793">
        <f t="shared" si="11"/>
        <v>0</v>
      </c>
      <c r="AW88" s="1793">
        <f t="shared" si="12"/>
        <v>0</v>
      </c>
      <c r="AX88" s="1793">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5"/>
      <c r="AV89" s="1793">
        <f t="shared" si="11"/>
        <v>0</v>
      </c>
      <c r="AW89" s="1793">
        <f t="shared" si="12"/>
        <v>0</v>
      </c>
      <c r="AX89" s="1793">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5"/>
      <c r="AV90" s="1793">
        <f t="shared" si="11"/>
        <v>0</v>
      </c>
      <c r="AW90" s="1793">
        <f t="shared" si="12"/>
        <v>0</v>
      </c>
      <c r="AX90" s="1793">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5"/>
      <c r="AV91" s="1793">
        <f t="shared" si="11"/>
        <v>0</v>
      </c>
      <c r="AW91" s="1793">
        <f t="shared" si="12"/>
        <v>0</v>
      </c>
      <c r="AX91" s="1793">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5"/>
      <c r="AV92" s="1793">
        <f t="shared" si="11"/>
        <v>0</v>
      </c>
      <c r="AW92" s="1793">
        <f t="shared" si="12"/>
        <v>0</v>
      </c>
      <c r="AX92" s="1793">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5"/>
      <c r="AV93" s="1793">
        <f t="shared" si="11"/>
        <v>0</v>
      </c>
      <c r="AW93" s="1793">
        <f t="shared" si="12"/>
        <v>0</v>
      </c>
      <c r="AX93" s="1793">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5"/>
      <c r="AV94" s="1793">
        <f t="shared" si="11"/>
        <v>0</v>
      </c>
      <c r="AW94" s="1793">
        <f t="shared" si="12"/>
        <v>0</v>
      </c>
      <c r="AX94" s="1793">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5"/>
      <c r="AV95" s="1793">
        <f t="shared" si="11"/>
        <v>0</v>
      </c>
      <c r="AW95" s="1793">
        <f t="shared" si="12"/>
        <v>0</v>
      </c>
      <c r="AX95" s="1793">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5"/>
      <c r="AV96" s="1793">
        <f t="shared" si="11"/>
        <v>0</v>
      </c>
      <c r="AW96" s="1793">
        <f t="shared" si="12"/>
        <v>0</v>
      </c>
      <c r="AX96" s="1793">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5"/>
      <c r="AV97" s="1793">
        <f t="shared" si="11"/>
        <v>0</v>
      </c>
      <c r="AW97" s="1793">
        <f t="shared" si="12"/>
        <v>0</v>
      </c>
      <c r="AX97" s="1793">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5"/>
      <c r="AV98" s="1793">
        <f t="shared" si="11"/>
        <v>0</v>
      </c>
      <c r="AW98" s="1793">
        <f t="shared" si="12"/>
        <v>0</v>
      </c>
      <c r="AX98" s="1793">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5"/>
      <c r="AV99" s="1793">
        <f t="shared" si="11"/>
        <v>0</v>
      </c>
      <c r="AW99" s="1793">
        <f t="shared" si="12"/>
        <v>0</v>
      </c>
      <c r="AX99" s="1793">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5"/>
      <c r="AV100" s="1793">
        <f t="shared" si="11"/>
        <v>0</v>
      </c>
      <c r="AW100" s="1793">
        <f t="shared" si="12"/>
        <v>0</v>
      </c>
      <c r="AX100" s="1793">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5"/>
      <c r="AV101" s="1793">
        <f t="shared" si="11"/>
        <v>0</v>
      </c>
      <c r="AW101" s="1793">
        <f t="shared" si="12"/>
        <v>0</v>
      </c>
      <c r="AX101" s="1793">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5"/>
      <c r="AV102" s="1793">
        <f t="shared" si="11"/>
        <v>0</v>
      </c>
      <c r="AW102" s="1793">
        <f t="shared" si="12"/>
        <v>0</v>
      </c>
      <c r="AX102" s="1793">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5"/>
      <c r="AV103" s="1793">
        <f t="shared" si="11"/>
        <v>0</v>
      </c>
      <c r="AW103" s="1793">
        <f t="shared" si="12"/>
        <v>0</v>
      </c>
      <c r="AX103" s="1793">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5"/>
      <c r="AV104" s="1793">
        <f t="shared" si="11"/>
        <v>0</v>
      </c>
      <c r="AW104" s="1793">
        <f t="shared" si="12"/>
        <v>0</v>
      </c>
      <c r="AX104" s="1793">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5"/>
      <c r="AV105" s="1793">
        <f t="shared" si="11"/>
        <v>0</v>
      </c>
      <c r="AW105" s="1793">
        <f t="shared" si="12"/>
        <v>0</v>
      </c>
      <c r="AX105" s="1793">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5"/>
      <c r="AV106" s="1793">
        <f t="shared" si="11"/>
        <v>0</v>
      </c>
      <c r="AW106" s="1793">
        <f t="shared" si="12"/>
        <v>0</v>
      </c>
      <c r="AX106" s="1793">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5"/>
      <c r="AV107" s="1793">
        <f t="shared" si="11"/>
        <v>0</v>
      </c>
      <c r="AW107" s="1793">
        <f t="shared" si="12"/>
        <v>0</v>
      </c>
      <c r="AX107" s="1793">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5"/>
      <c r="AV108" s="1793">
        <f t="shared" si="11"/>
        <v>0</v>
      </c>
      <c r="AW108" s="1793">
        <f t="shared" si="12"/>
        <v>0</v>
      </c>
      <c r="AX108" s="1793">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5"/>
      <c r="AV109" s="1793">
        <f t="shared" si="11"/>
        <v>0</v>
      </c>
      <c r="AW109" s="1793">
        <f t="shared" si="12"/>
        <v>0</v>
      </c>
      <c r="AX109" s="1793">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0"/>
      <c r="AV110" s="1793">
        <f t="shared" si="11"/>
        <v>0</v>
      </c>
      <c r="AW110" s="1793">
        <f t="shared" si="12"/>
        <v>0</v>
      </c>
      <c r="AX110" s="1793">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0"/>
      <c r="AV111" s="1793">
        <f t="shared" si="11"/>
        <v>0</v>
      </c>
      <c r="AW111" s="1793">
        <f t="shared" si="12"/>
        <v>0</v>
      </c>
      <c r="AX111" s="1793">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0"/>
      <c r="AV112" s="1793">
        <f t="shared" si="11"/>
        <v>0</v>
      </c>
      <c r="AW112" s="1793">
        <f t="shared" si="12"/>
        <v>0</v>
      </c>
      <c r="AX112" s="1793">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5"/>
      <c r="AV113" s="1793">
        <f t="shared" ref="AV113:AV144" si="62">A113</f>
        <v>0</v>
      </c>
      <c r="AW113" s="1793">
        <f t="shared" ref="AW113:AW144" si="63">B113</f>
        <v>0</v>
      </c>
      <c r="AX113" s="1793">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5"/>
      <c r="AV114" s="1793">
        <f t="shared" si="62"/>
        <v>0</v>
      </c>
      <c r="AW114" s="1793">
        <f t="shared" si="63"/>
        <v>0</v>
      </c>
      <c r="AX114" s="1793">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5"/>
      <c r="AV115" s="1793">
        <f t="shared" si="62"/>
        <v>0</v>
      </c>
      <c r="AW115" s="1793">
        <f t="shared" si="63"/>
        <v>0</v>
      </c>
      <c r="AX115" s="1793">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5"/>
      <c r="AV116" s="1793">
        <f t="shared" si="62"/>
        <v>0</v>
      </c>
      <c r="AW116" s="1793">
        <f t="shared" si="63"/>
        <v>0</v>
      </c>
      <c r="AX116" s="1793">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5"/>
      <c r="AV117" s="1793">
        <f t="shared" si="62"/>
        <v>0</v>
      </c>
      <c r="AW117" s="1793">
        <f t="shared" si="63"/>
        <v>0</v>
      </c>
      <c r="AX117" s="1793">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5"/>
      <c r="AV118" s="1793">
        <f t="shared" si="62"/>
        <v>0</v>
      </c>
      <c r="AW118" s="1793">
        <f t="shared" si="63"/>
        <v>0</v>
      </c>
      <c r="AX118" s="1793">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5"/>
      <c r="AV119" s="1793">
        <f t="shared" si="62"/>
        <v>0</v>
      </c>
      <c r="AW119" s="1793">
        <f t="shared" si="63"/>
        <v>0</v>
      </c>
      <c r="AX119" s="1793">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5"/>
      <c r="AV120" s="1793">
        <f t="shared" si="62"/>
        <v>0</v>
      </c>
      <c r="AW120" s="1793">
        <f t="shared" si="63"/>
        <v>0</v>
      </c>
      <c r="AX120" s="1793">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5"/>
      <c r="AV121" s="1793">
        <f t="shared" si="62"/>
        <v>0</v>
      </c>
      <c r="AW121" s="1793">
        <f t="shared" si="63"/>
        <v>0</v>
      </c>
      <c r="AX121" s="1793">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5"/>
      <c r="AV122" s="1793">
        <f t="shared" si="62"/>
        <v>0</v>
      </c>
      <c r="AW122" s="1793">
        <f t="shared" si="63"/>
        <v>0</v>
      </c>
      <c r="AX122" s="1793">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5"/>
      <c r="AV123" s="1793">
        <f t="shared" si="62"/>
        <v>0</v>
      </c>
      <c r="AW123" s="1793">
        <f t="shared" si="63"/>
        <v>0</v>
      </c>
      <c r="AX123" s="1793">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5"/>
      <c r="AV124" s="1793">
        <f t="shared" si="62"/>
        <v>0</v>
      </c>
      <c r="AW124" s="1793">
        <f t="shared" si="63"/>
        <v>0</v>
      </c>
      <c r="AX124" s="1793">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5"/>
      <c r="AV125" s="1793">
        <f t="shared" si="62"/>
        <v>0</v>
      </c>
      <c r="AW125" s="1793">
        <f t="shared" si="63"/>
        <v>0</v>
      </c>
      <c r="AX125" s="1793">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5"/>
      <c r="AV126" s="1793">
        <f t="shared" si="62"/>
        <v>0</v>
      </c>
      <c r="AW126" s="1793">
        <f t="shared" si="63"/>
        <v>0</v>
      </c>
      <c r="AX126" s="1793">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5"/>
      <c r="AV127" s="1793">
        <f t="shared" si="62"/>
        <v>0</v>
      </c>
      <c r="AW127" s="1793">
        <f t="shared" si="63"/>
        <v>0</v>
      </c>
      <c r="AX127" s="1793">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5"/>
      <c r="AV128" s="1793">
        <f t="shared" si="62"/>
        <v>0</v>
      </c>
      <c r="AW128" s="1793">
        <f t="shared" si="63"/>
        <v>0</v>
      </c>
      <c r="AX128" s="1793">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5"/>
      <c r="AV129" s="1793">
        <f t="shared" si="62"/>
        <v>0</v>
      </c>
      <c r="AW129" s="1793">
        <f t="shared" si="63"/>
        <v>0</v>
      </c>
      <c r="AX129" s="1793">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5"/>
      <c r="AV130" s="1793">
        <f t="shared" si="62"/>
        <v>0</v>
      </c>
      <c r="AW130" s="1793">
        <f t="shared" si="63"/>
        <v>0</v>
      </c>
      <c r="AX130" s="1793">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5"/>
      <c r="AV131" s="1793">
        <f t="shared" si="62"/>
        <v>0</v>
      </c>
      <c r="AW131" s="1793">
        <f t="shared" si="63"/>
        <v>0</v>
      </c>
      <c r="AX131" s="1793">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5"/>
      <c r="AV132" s="1793">
        <f t="shared" si="62"/>
        <v>0</v>
      </c>
      <c r="AW132" s="1793">
        <f t="shared" si="63"/>
        <v>0</v>
      </c>
      <c r="AX132" s="1793">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5"/>
      <c r="AV133" s="1793">
        <f t="shared" si="62"/>
        <v>0</v>
      </c>
      <c r="AW133" s="1793">
        <f t="shared" si="63"/>
        <v>0</v>
      </c>
      <c r="AX133" s="1793">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5"/>
      <c r="AV134" s="1793">
        <f t="shared" si="62"/>
        <v>0</v>
      </c>
      <c r="AW134" s="1793">
        <f t="shared" si="63"/>
        <v>0</v>
      </c>
      <c r="AX134" s="1793">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5"/>
      <c r="AV135" s="1793">
        <f t="shared" si="62"/>
        <v>0</v>
      </c>
      <c r="AW135" s="1793">
        <f t="shared" si="63"/>
        <v>0</v>
      </c>
      <c r="AX135" s="1793">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5"/>
      <c r="AV136" s="1793">
        <f t="shared" si="62"/>
        <v>0</v>
      </c>
      <c r="AW136" s="1793">
        <f t="shared" si="63"/>
        <v>0</v>
      </c>
      <c r="AX136" s="1793">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5"/>
      <c r="AV137" s="1793">
        <f t="shared" si="62"/>
        <v>0</v>
      </c>
      <c r="AW137" s="1793">
        <f t="shared" si="63"/>
        <v>0</v>
      </c>
      <c r="AX137" s="1793">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5"/>
      <c r="AV138" s="1793">
        <f t="shared" si="62"/>
        <v>0</v>
      </c>
      <c r="AW138" s="1793">
        <f t="shared" si="63"/>
        <v>0</v>
      </c>
      <c r="AX138" s="1793">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5"/>
      <c r="AV139" s="1793">
        <f t="shared" si="62"/>
        <v>0</v>
      </c>
      <c r="AW139" s="1793">
        <f t="shared" si="63"/>
        <v>0</v>
      </c>
      <c r="AX139" s="1793">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5"/>
      <c r="AV140" s="1793">
        <f t="shared" si="62"/>
        <v>0</v>
      </c>
      <c r="AW140" s="1793">
        <f t="shared" si="63"/>
        <v>0</v>
      </c>
      <c r="AX140" s="1793">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5"/>
      <c r="AV141" s="1793">
        <f t="shared" si="62"/>
        <v>0</v>
      </c>
      <c r="AW141" s="1793">
        <f t="shared" si="63"/>
        <v>0</v>
      </c>
      <c r="AX141" s="1793">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5"/>
      <c r="AV142" s="1793">
        <f t="shared" si="62"/>
        <v>0</v>
      </c>
      <c r="AW142" s="1793">
        <f t="shared" si="63"/>
        <v>0</v>
      </c>
      <c r="AX142" s="1793">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5"/>
      <c r="AV143" s="1793">
        <f t="shared" si="62"/>
        <v>0</v>
      </c>
      <c r="AW143" s="1793">
        <f t="shared" si="63"/>
        <v>0</v>
      </c>
      <c r="AX143" s="1793">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5"/>
      <c r="AV144" s="1793">
        <f t="shared" si="62"/>
        <v>0</v>
      </c>
      <c r="AW144" s="1793">
        <f t="shared" si="63"/>
        <v>0</v>
      </c>
      <c r="AX144" s="1793">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5"/>
      <c r="AV145" s="1793">
        <f t="shared" ref="AV145:AV176" si="91">A145</f>
        <v>0</v>
      </c>
      <c r="AW145" s="1793">
        <f t="shared" ref="AW145:AW176" si="92">B145</f>
        <v>0</v>
      </c>
      <c r="AX145" s="1793">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5"/>
      <c r="AV146" s="1793">
        <f t="shared" si="91"/>
        <v>0</v>
      </c>
      <c r="AW146" s="1793">
        <f t="shared" si="92"/>
        <v>0</v>
      </c>
      <c r="AX146" s="1793">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5"/>
      <c r="AV147" s="1793">
        <f t="shared" si="91"/>
        <v>0</v>
      </c>
      <c r="AW147" s="1793">
        <f t="shared" si="92"/>
        <v>0</v>
      </c>
      <c r="AX147" s="1793">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5"/>
      <c r="AV148" s="1793">
        <f t="shared" si="91"/>
        <v>0</v>
      </c>
      <c r="AW148" s="1793">
        <f t="shared" si="92"/>
        <v>0</v>
      </c>
      <c r="AX148" s="1793">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5"/>
      <c r="AV149" s="1793">
        <f t="shared" si="91"/>
        <v>0</v>
      </c>
      <c r="AW149" s="1793">
        <f t="shared" si="92"/>
        <v>0</v>
      </c>
      <c r="AX149" s="1793">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5"/>
      <c r="AV150" s="1793">
        <f t="shared" si="91"/>
        <v>0</v>
      </c>
      <c r="AW150" s="1793">
        <f t="shared" si="92"/>
        <v>0</v>
      </c>
      <c r="AX150" s="1793">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5"/>
      <c r="AV151" s="1793">
        <f t="shared" si="91"/>
        <v>0</v>
      </c>
      <c r="AW151" s="1793">
        <f t="shared" si="92"/>
        <v>0</v>
      </c>
      <c r="AX151" s="1793">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5"/>
      <c r="AV152" s="1793">
        <f t="shared" si="91"/>
        <v>0</v>
      </c>
      <c r="AW152" s="1793">
        <f t="shared" si="92"/>
        <v>0</v>
      </c>
      <c r="AX152" s="1793">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5"/>
      <c r="AV153" s="1793">
        <f t="shared" si="91"/>
        <v>0</v>
      </c>
      <c r="AW153" s="1793">
        <f t="shared" si="92"/>
        <v>0</v>
      </c>
      <c r="AX153" s="1793">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5"/>
      <c r="AV154" s="1793">
        <f t="shared" si="91"/>
        <v>0</v>
      </c>
      <c r="AW154" s="1793">
        <f t="shared" si="92"/>
        <v>0</v>
      </c>
      <c r="AX154" s="1793">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5"/>
      <c r="AV155" s="1793">
        <f t="shared" si="91"/>
        <v>0</v>
      </c>
      <c r="AW155" s="1793">
        <f t="shared" si="92"/>
        <v>0</v>
      </c>
      <c r="AX155" s="1793">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5"/>
      <c r="AV156" s="1793">
        <f t="shared" si="91"/>
        <v>0</v>
      </c>
      <c r="AW156" s="1793">
        <f t="shared" si="92"/>
        <v>0</v>
      </c>
      <c r="AX156" s="1793">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5"/>
      <c r="AV157" s="1793">
        <f t="shared" si="91"/>
        <v>0</v>
      </c>
      <c r="AW157" s="1793">
        <f t="shared" si="92"/>
        <v>0</v>
      </c>
      <c r="AX157" s="1793">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5"/>
      <c r="AV158" s="1793">
        <f t="shared" si="91"/>
        <v>0</v>
      </c>
      <c r="AW158" s="1793">
        <f t="shared" si="92"/>
        <v>0</v>
      </c>
      <c r="AX158" s="1793">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5"/>
      <c r="AV159" s="1793">
        <f t="shared" si="91"/>
        <v>0</v>
      </c>
      <c r="AW159" s="1793">
        <f t="shared" si="92"/>
        <v>0</v>
      </c>
      <c r="AX159" s="1793">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5"/>
      <c r="AV160" s="1793">
        <f t="shared" si="91"/>
        <v>0</v>
      </c>
      <c r="AW160" s="1793">
        <f t="shared" si="92"/>
        <v>0</v>
      </c>
      <c r="AX160" s="1793">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5"/>
      <c r="AV161" s="1793">
        <f t="shared" si="91"/>
        <v>0</v>
      </c>
      <c r="AW161" s="1793">
        <f t="shared" si="92"/>
        <v>0</v>
      </c>
      <c r="AX161" s="1793">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5"/>
      <c r="AV162" s="1793">
        <f t="shared" si="91"/>
        <v>0</v>
      </c>
      <c r="AW162" s="1793">
        <f t="shared" si="92"/>
        <v>0</v>
      </c>
      <c r="AX162" s="1793">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5"/>
      <c r="AV163" s="1793">
        <f t="shared" si="91"/>
        <v>0</v>
      </c>
      <c r="AW163" s="1793">
        <f t="shared" si="92"/>
        <v>0</v>
      </c>
      <c r="AX163" s="1793">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5"/>
      <c r="AV164" s="1793">
        <f t="shared" si="91"/>
        <v>0</v>
      </c>
      <c r="AW164" s="1793">
        <f t="shared" si="92"/>
        <v>0</v>
      </c>
      <c r="AX164" s="1793">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5"/>
      <c r="AV165" s="1793">
        <f t="shared" si="91"/>
        <v>0</v>
      </c>
      <c r="AW165" s="1793">
        <f t="shared" si="92"/>
        <v>0</v>
      </c>
      <c r="AX165" s="1793">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5"/>
      <c r="AV166" s="1793">
        <f t="shared" si="91"/>
        <v>0</v>
      </c>
      <c r="AW166" s="1793">
        <f t="shared" si="92"/>
        <v>0</v>
      </c>
      <c r="AX166" s="1793">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5"/>
      <c r="AV167" s="1793">
        <f t="shared" si="91"/>
        <v>0</v>
      </c>
      <c r="AW167" s="1793">
        <f t="shared" si="92"/>
        <v>0</v>
      </c>
      <c r="AX167" s="1793">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5"/>
      <c r="AV168" s="1793">
        <f t="shared" si="91"/>
        <v>0</v>
      </c>
      <c r="AW168" s="1793">
        <f t="shared" si="92"/>
        <v>0</v>
      </c>
      <c r="AX168" s="1793">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5"/>
      <c r="AV169" s="1793">
        <f t="shared" si="91"/>
        <v>0</v>
      </c>
      <c r="AW169" s="1793">
        <f t="shared" si="92"/>
        <v>0</v>
      </c>
      <c r="AX169" s="1793">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5"/>
      <c r="AV170" s="1793">
        <f t="shared" si="91"/>
        <v>0</v>
      </c>
      <c r="AW170" s="1793">
        <f t="shared" si="92"/>
        <v>0</v>
      </c>
      <c r="AX170" s="1793">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5"/>
      <c r="AV171" s="1793">
        <f t="shared" si="91"/>
        <v>0</v>
      </c>
      <c r="AW171" s="1793">
        <f t="shared" si="92"/>
        <v>0</v>
      </c>
      <c r="AX171" s="1793">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5"/>
      <c r="AV172" s="1793">
        <f t="shared" si="91"/>
        <v>0</v>
      </c>
      <c r="AW172" s="1793">
        <f t="shared" si="92"/>
        <v>0</v>
      </c>
      <c r="AX172" s="1793">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5"/>
      <c r="AV173" s="1793">
        <f t="shared" si="91"/>
        <v>0</v>
      </c>
      <c r="AW173" s="1793">
        <f t="shared" si="92"/>
        <v>0</v>
      </c>
      <c r="AX173" s="1793">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5"/>
      <c r="AV174" s="1793">
        <f t="shared" si="91"/>
        <v>0</v>
      </c>
      <c r="AW174" s="1793">
        <f t="shared" si="92"/>
        <v>0</v>
      </c>
      <c r="AX174" s="1793">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5"/>
      <c r="AV175" s="1793">
        <f t="shared" si="91"/>
        <v>0</v>
      </c>
      <c r="AW175" s="1793">
        <f t="shared" si="92"/>
        <v>0</v>
      </c>
      <c r="AX175" s="1793">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5"/>
      <c r="AV176" s="1793">
        <f t="shared" si="91"/>
        <v>0</v>
      </c>
      <c r="AW176" s="1793">
        <f t="shared" si="92"/>
        <v>0</v>
      </c>
      <c r="AX176" s="1793">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5"/>
      <c r="AV177" s="1793">
        <f t="shared" ref="AV177:AV207" si="120">A177</f>
        <v>0</v>
      </c>
      <c r="AW177" s="1793">
        <f t="shared" ref="AW177:AW207" si="121">B177</f>
        <v>0</v>
      </c>
      <c r="AX177" s="1793">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5"/>
      <c r="AV178" s="1793">
        <f t="shared" si="120"/>
        <v>0</v>
      </c>
      <c r="AW178" s="1793">
        <f t="shared" si="121"/>
        <v>0</v>
      </c>
      <c r="AX178" s="1793">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5"/>
      <c r="AV179" s="1793">
        <f t="shared" si="120"/>
        <v>0</v>
      </c>
      <c r="AW179" s="1793">
        <f t="shared" si="121"/>
        <v>0</v>
      </c>
      <c r="AX179" s="1793">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5"/>
      <c r="AV180" s="1793">
        <f t="shared" si="120"/>
        <v>0</v>
      </c>
      <c r="AW180" s="1793">
        <f t="shared" si="121"/>
        <v>0</v>
      </c>
      <c r="AX180" s="1793">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5"/>
      <c r="AV181" s="1793">
        <f t="shared" si="120"/>
        <v>0</v>
      </c>
      <c r="AW181" s="1793">
        <f t="shared" si="121"/>
        <v>0</v>
      </c>
      <c r="AX181" s="1793">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5"/>
      <c r="AV182" s="1793">
        <f t="shared" si="120"/>
        <v>0</v>
      </c>
      <c r="AW182" s="1793">
        <f t="shared" si="121"/>
        <v>0</v>
      </c>
      <c r="AX182" s="1793">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5"/>
      <c r="AV183" s="1793">
        <f t="shared" si="120"/>
        <v>0</v>
      </c>
      <c r="AW183" s="1793">
        <f t="shared" si="121"/>
        <v>0</v>
      </c>
      <c r="AX183" s="1793">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5"/>
      <c r="AV184" s="1793">
        <f t="shared" si="120"/>
        <v>0</v>
      </c>
      <c r="AW184" s="1793">
        <f t="shared" si="121"/>
        <v>0</v>
      </c>
      <c r="AX184" s="1793">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5"/>
      <c r="AV185" s="1793">
        <f t="shared" si="120"/>
        <v>0</v>
      </c>
      <c r="AW185" s="1793">
        <f t="shared" si="121"/>
        <v>0</v>
      </c>
      <c r="AX185" s="1793">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5"/>
      <c r="AV186" s="1793">
        <f t="shared" si="120"/>
        <v>0</v>
      </c>
      <c r="AW186" s="1793">
        <f t="shared" si="121"/>
        <v>0</v>
      </c>
      <c r="AX186" s="1793">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5"/>
      <c r="AV187" s="1793">
        <f t="shared" si="120"/>
        <v>0</v>
      </c>
      <c r="AW187" s="1793">
        <f t="shared" si="121"/>
        <v>0</v>
      </c>
      <c r="AX187" s="1793">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5"/>
      <c r="AV188" s="1793">
        <f t="shared" si="120"/>
        <v>0</v>
      </c>
      <c r="AW188" s="1793">
        <f t="shared" si="121"/>
        <v>0</v>
      </c>
      <c r="AX188" s="1793">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5"/>
      <c r="AV189" s="1793">
        <f t="shared" si="120"/>
        <v>0</v>
      </c>
      <c r="AW189" s="1793">
        <f t="shared" si="121"/>
        <v>0</v>
      </c>
      <c r="AX189" s="1793">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5"/>
      <c r="AV190" s="1793">
        <f t="shared" si="120"/>
        <v>0</v>
      </c>
      <c r="AW190" s="1793">
        <f t="shared" si="121"/>
        <v>0</v>
      </c>
      <c r="AX190" s="1793">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5"/>
      <c r="AV191" s="1793">
        <f t="shared" si="120"/>
        <v>0</v>
      </c>
      <c r="AW191" s="1793">
        <f t="shared" si="121"/>
        <v>0</v>
      </c>
      <c r="AX191" s="1793">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5"/>
      <c r="AV192" s="1793">
        <f t="shared" si="120"/>
        <v>0</v>
      </c>
      <c r="AW192" s="1793">
        <f t="shared" si="121"/>
        <v>0</v>
      </c>
      <c r="AX192" s="1793">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5"/>
      <c r="AV193" s="1793">
        <f t="shared" si="120"/>
        <v>0</v>
      </c>
      <c r="AW193" s="1793">
        <f t="shared" si="121"/>
        <v>0</v>
      </c>
      <c r="AX193" s="1793">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5"/>
      <c r="AV194" s="1793">
        <f t="shared" si="120"/>
        <v>0</v>
      </c>
      <c r="AW194" s="1793">
        <f t="shared" si="121"/>
        <v>0</v>
      </c>
      <c r="AX194" s="1793">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5"/>
      <c r="AV195" s="1793">
        <f t="shared" si="120"/>
        <v>0</v>
      </c>
      <c r="AW195" s="1793">
        <f t="shared" si="121"/>
        <v>0</v>
      </c>
      <c r="AX195" s="1793">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5"/>
      <c r="AV196" s="1793">
        <f t="shared" si="120"/>
        <v>0</v>
      </c>
      <c r="AW196" s="1793">
        <f t="shared" si="121"/>
        <v>0</v>
      </c>
      <c r="AX196" s="1793">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5"/>
      <c r="AV197" s="1793">
        <f t="shared" si="120"/>
        <v>0</v>
      </c>
      <c r="AW197" s="1793">
        <f t="shared" si="121"/>
        <v>0</v>
      </c>
      <c r="AX197" s="1793">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5"/>
      <c r="AV198" s="1793">
        <f t="shared" si="120"/>
        <v>0</v>
      </c>
      <c r="AW198" s="1793">
        <f t="shared" si="121"/>
        <v>0</v>
      </c>
      <c r="AX198" s="1793">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5"/>
      <c r="AV199" s="1793">
        <f t="shared" si="120"/>
        <v>0</v>
      </c>
      <c r="AW199" s="1793">
        <f t="shared" si="121"/>
        <v>0</v>
      </c>
      <c r="AX199" s="1793">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5"/>
      <c r="AV200" s="1793">
        <f t="shared" si="120"/>
        <v>0</v>
      </c>
      <c r="AW200" s="1793">
        <f t="shared" si="121"/>
        <v>0</v>
      </c>
      <c r="AX200" s="1793">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5"/>
      <c r="AV201" s="1793">
        <f t="shared" si="120"/>
        <v>0</v>
      </c>
      <c r="AW201" s="1793">
        <f t="shared" si="121"/>
        <v>0</v>
      </c>
      <c r="AX201" s="1793">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5"/>
      <c r="AV202" s="1793">
        <f t="shared" si="120"/>
        <v>0</v>
      </c>
      <c r="AW202" s="1793">
        <f t="shared" si="121"/>
        <v>0</v>
      </c>
      <c r="AX202" s="1793">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5"/>
      <c r="AV203" s="1793">
        <f t="shared" si="120"/>
        <v>0</v>
      </c>
      <c r="AW203" s="1793">
        <f t="shared" si="121"/>
        <v>0</v>
      </c>
      <c r="AX203" s="1793">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5"/>
      <c r="AV204" s="1793">
        <f t="shared" si="120"/>
        <v>0</v>
      </c>
      <c r="AW204" s="1793">
        <f t="shared" si="121"/>
        <v>0</v>
      </c>
      <c r="AX204" s="1793">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0"/>
      <c r="AV205" s="1793">
        <f t="shared" si="120"/>
        <v>0</v>
      </c>
      <c r="AW205" s="1793">
        <f t="shared" si="121"/>
        <v>0</v>
      </c>
      <c r="AX205" s="1793">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0"/>
      <c r="AV206" s="1793">
        <f t="shared" si="120"/>
        <v>0</v>
      </c>
      <c r="AW206" s="1793">
        <f t="shared" si="121"/>
        <v>0</v>
      </c>
      <c r="AX206" s="1793">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0"/>
      <c r="AV207" s="1793">
        <f t="shared" si="120"/>
        <v>0</v>
      </c>
      <c r="AW207" s="1793">
        <f t="shared" si="121"/>
        <v>0</v>
      </c>
      <c r="AX207" s="1793">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5"/>
      <c r="AV208" s="1793">
        <f t="shared" ref="AV208:AV302" si="127">A208</f>
        <v>0</v>
      </c>
      <c r="AW208" s="1793">
        <f t="shared" ref="AW208:AW302" si="128">B208</f>
        <v>0</v>
      </c>
      <c r="AX208" s="1793">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5"/>
      <c r="AV209" s="1793">
        <f t="shared" si="127"/>
        <v>0</v>
      </c>
      <c r="AW209" s="1793">
        <f t="shared" si="128"/>
        <v>0</v>
      </c>
      <c r="AX209" s="1793">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5"/>
      <c r="AV210" s="1793">
        <f t="shared" si="127"/>
        <v>0</v>
      </c>
      <c r="AW210" s="1793">
        <f t="shared" si="128"/>
        <v>0</v>
      </c>
      <c r="AX210" s="1793">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5"/>
      <c r="AV211" s="1793">
        <f t="shared" si="127"/>
        <v>0</v>
      </c>
      <c r="AW211" s="1793">
        <f t="shared" si="128"/>
        <v>0</v>
      </c>
      <c r="AX211" s="1793">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5"/>
      <c r="AV212" s="1793">
        <f t="shared" si="127"/>
        <v>0</v>
      </c>
      <c r="AW212" s="1793">
        <f t="shared" si="128"/>
        <v>0</v>
      </c>
      <c r="AX212" s="1793">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5"/>
      <c r="AV213" s="1793">
        <f t="shared" si="127"/>
        <v>0</v>
      </c>
      <c r="AW213" s="1793">
        <f t="shared" si="128"/>
        <v>0</v>
      </c>
      <c r="AX213" s="1793">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5"/>
      <c r="AV214" s="1793">
        <f t="shared" si="127"/>
        <v>0</v>
      </c>
      <c r="AW214" s="1793">
        <f t="shared" si="128"/>
        <v>0</v>
      </c>
      <c r="AX214" s="1793">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5"/>
      <c r="AV215" s="1793">
        <f t="shared" si="127"/>
        <v>0</v>
      </c>
      <c r="AW215" s="1793">
        <f t="shared" si="128"/>
        <v>0</v>
      </c>
      <c r="AX215" s="1793">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5"/>
      <c r="AV216" s="1793">
        <f t="shared" si="127"/>
        <v>0</v>
      </c>
      <c r="AW216" s="1793">
        <f t="shared" si="128"/>
        <v>0</v>
      </c>
      <c r="AX216" s="1793">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5"/>
      <c r="AV217" s="1793">
        <f t="shared" si="127"/>
        <v>0</v>
      </c>
      <c r="AW217" s="1793">
        <f t="shared" si="128"/>
        <v>0</v>
      </c>
      <c r="AX217" s="1793">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5"/>
      <c r="AV218" s="1793">
        <f t="shared" si="127"/>
        <v>0</v>
      </c>
      <c r="AW218" s="1793">
        <f t="shared" si="128"/>
        <v>0</v>
      </c>
      <c r="AX218" s="1793">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5"/>
      <c r="AV219" s="1793">
        <f t="shared" si="127"/>
        <v>0</v>
      </c>
      <c r="AW219" s="1793">
        <f t="shared" si="128"/>
        <v>0</v>
      </c>
      <c r="AX219" s="1793">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5"/>
      <c r="AV220" s="1793">
        <f t="shared" si="127"/>
        <v>0</v>
      </c>
      <c r="AW220" s="1793">
        <f t="shared" si="128"/>
        <v>0</v>
      </c>
      <c r="AX220" s="1793">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5"/>
      <c r="AV221" s="1793">
        <f t="shared" si="127"/>
        <v>0</v>
      </c>
      <c r="AW221" s="1793">
        <f t="shared" si="128"/>
        <v>0</v>
      </c>
      <c r="AX221" s="1793">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5"/>
      <c r="AV222" s="1793">
        <f t="shared" si="127"/>
        <v>0</v>
      </c>
      <c r="AW222" s="1793">
        <f t="shared" si="128"/>
        <v>0</v>
      </c>
      <c r="AX222" s="1793">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5"/>
      <c r="AV223" s="1793">
        <f t="shared" si="127"/>
        <v>0</v>
      </c>
      <c r="AW223" s="1793">
        <f t="shared" si="128"/>
        <v>0</v>
      </c>
      <c r="AX223" s="1793">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5"/>
      <c r="AV224" s="1793">
        <f t="shared" si="127"/>
        <v>0</v>
      </c>
      <c r="AW224" s="1793">
        <f t="shared" si="128"/>
        <v>0</v>
      </c>
      <c r="AX224" s="1793">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5"/>
      <c r="AV225" s="1793">
        <f t="shared" si="127"/>
        <v>0</v>
      </c>
      <c r="AW225" s="1793">
        <f t="shared" si="128"/>
        <v>0</v>
      </c>
      <c r="AX225" s="1793">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5"/>
      <c r="AV226" s="1793">
        <f t="shared" si="127"/>
        <v>0</v>
      </c>
      <c r="AW226" s="1793">
        <f t="shared" si="128"/>
        <v>0</v>
      </c>
      <c r="AX226" s="1793">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5"/>
      <c r="AV227" s="1793">
        <f t="shared" si="127"/>
        <v>0</v>
      </c>
      <c r="AW227" s="1793">
        <f t="shared" si="128"/>
        <v>0</v>
      </c>
      <c r="AX227" s="1793">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5"/>
      <c r="AV228" s="1793">
        <f t="shared" si="127"/>
        <v>0</v>
      </c>
      <c r="AW228" s="1793">
        <f t="shared" si="128"/>
        <v>0</v>
      </c>
      <c r="AX228" s="1793">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5"/>
      <c r="AV229" s="1793">
        <f t="shared" si="127"/>
        <v>0</v>
      </c>
      <c r="AW229" s="1793">
        <f t="shared" si="128"/>
        <v>0</v>
      </c>
      <c r="AX229" s="1793">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5"/>
      <c r="AV230" s="1793">
        <f t="shared" si="127"/>
        <v>0</v>
      </c>
      <c r="AW230" s="1793">
        <f t="shared" si="128"/>
        <v>0</v>
      </c>
      <c r="AX230" s="1793">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5"/>
      <c r="AV231" s="1793">
        <f t="shared" si="127"/>
        <v>0</v>
      </c>
      <c r="AW231" s="1793">
        <f t="shared" si="128"/>
        <v>0</v>
      </c>
      <c r="AX231" s="1793">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5"/>
      <c r="AV232" s="1793">
        <f t="shared" si="127"/>
        <v>0</v>
      </c>
      <c r="AW232" s="1793">
        <f t="shared" si="128"/>
        <v>0</v>
      </c>
      <c r="AX232" s="1793">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5"/>
      <c r="AV233" s="1793">
        <f t="shared" si="127"/>
        <v>0</v>
      </c>
      <c r="AW233" s="1793">
        <f t="shared" si="128"/>
        <v>0</v>
      </c>
      <c r="AX233" s="1793">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5"/>
      <c r="AV234" s="1793">
        <f t="shared" si="127"/>
        <v>0</v>
      </c>
      <c r="AW234" s="1793">
        <f t="shared" si="128"/>
        <v>0</v>
      </c>
      <c r="AX234" s="1793">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5"/>
      <c r="AV235" s="1793">
        <f t="shared" si="127"/>
        <v>0</v>
      </c>
      <c r="AW235" s="1793">
        <f t="shared" si="128"/>
        <v>0</v>
      </c>
      <c r="AX235" s="1793">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5"/>
      <c r="AV236" s="1793">
        <f t="shared" si="127"/>
        <v>0</v>
      </c>
      <c r="AW236" s="1793">
        <f t="shared" si="128"/>
        <v>0</v>
      </c>
      <c r="AX236" s="1793">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5"/>
      <c r="AV237" s="1793">
        <f t="shared" si="127"/>
        <v>0</v>
      </c>
      <c r="AW237" s="1793">
        <f t="shared" si="128"/>
        <v>0</v>
      </c>
      <c r="AX237" s="1793">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5"/>
      <c r="AV238" s="1793">
        <f t="shared" si="127"/>
        <v>0</v>
      </c>
      <c r="AW238" s="1793">
        <f t="shared" si="128"/>
        <v>0</v>
      </c>
      <c r="AX238" s="1793">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5"/>
      <c r="AV239" s="1793">
        <f t="shared" si="127"/>
        <v>0</v>
      </c>
      <c r="AW239" s="1793">
        <f t="shared" si="128"/>
        <v>0</v>
      </c>
      <c r="AX239" s="1793">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5"/>
      <c r="AV240" s="1793">
        <f t="shared" si="127"/>
        <v>0</v>
      </c>
      <c r="AW240" s="1793">
        <f t="shared" si="128"/>
        <v>0</v>
      </c>
      <c r="AX240" s="1793">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5"/>
      <c r="AV241" s="1793">
        <f t="shared" si="127"/>
        <v>0</v>
      </c>
      <c r="AW241" s="1793">
        <f t="shared" si="128"/>
        <v>0</v>
      </c>
      <c r="AX241" s="1793">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5"/>
      <c r="AV242" s="1793">
        <f t="shared" si="127"/>
        <v>0</v>
      </c>
      <c r="AW242" s="1793">
        <f t="shared" si="128"/>
        <v>0</v>
      </c>
      <c r="AX242" s="1793">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5"/>
      <c r="AV243" s="1793">
        <f t="shared" si="127"/>
        <v>0</v>
      </c>
      <c r="AW243" s="1793">
        <f t="shared" si="128"/>
        <v>0</v>
      </c>
      <c r="AX243" s="1793">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5"/>
      <c r="AV244" s="1793">
        <f t="shared" si="127"/>
        <v>0</v>
      </c>
      <c r="AW244" s="1793">
        <f t="shared" si="128"/>
        <v>0</v>
      </c>
      <c r="AX244" s="1793">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5"/>
      <c r="AV245" s="1793">
        <f t="shared" si="127"/>
        <v>0</v>
      </c>
      <c r="AW245" s="1793">
        <f t="shared" si="128"/>
        <v>0</v>
      </c>
      <c r="AX245" s="1793">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5"/>
      <c r="AV246" s="1793">
        <f t="shared" si="127"/>
        <v>0</v>
      </c>
      <c r="AW246" s="1793">
        <f t="shared" si="128"/>
        <v>0</v>
      </c>
      <c r="AX246" s="1793">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5"/>
      <c r="AV247" s="1793">
        <f t="shared" si="127"/>
        <v>0</v>
      </c>
      <c r="AW247" s="1793">
        <f t="shared" si="128"/>
        <v>0</v>
      </c>
      <c r="AX247" s="1793">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5"/>
      <c r="AV248" s="1793">
        <f t="shared" si="127"/>
        <v>0</v>
      </c>
      <c r="AW248" s="1793">
        <f t="shared" si="128"/>
        <v>0</v>
      </c>
      <c r="AX248" s="1793">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5"/>
      <c r="AV249" s="1793">
        <f t="shared" si="127"/>
        <v>0</v>
      </c>
      <c r="AW249" s="1793">
        <f t="shared" si="128"/>
        <v>0</v>
      </c>
      <c r="AX249" s="1793">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5"/>
      <c r="AV250" s="1793">
        <f t="shared" si="127"/>
        <v>0</v>
      </c>
      <c r="AW250" s="1793">
        <f t="shared" si="128"/>
        <v>0</v>
      </c>
      <c r="AX250" s="1793">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5"/>
      <c r="AV251" s="1793">
        <f t="shared" si="127"/>
        <v>0</v>
      </c>
      <c r="AW251" s="1793">
        <f t="shared" si="128"/>
        <v>0</v>
      </c>
      <c r="AX251" s="1793">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5"/>
      <c r="AV252" s="1793">
        <f t="shared" si="127"/>
        <v>0</v>
      </c>
      <c r="AW252" s="1793">
        <f t="shared" si="128"/>
        <v>0</v>
      </c>
      <c r="AX252" s="1793">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5"/>
      <c r="AV253" s="1793">
        <f t="shared" si="127"/>
        <v>0</v>
      </c>
      <c r="AW253" s="1793">
        <f t="shared" si="128"/>
        <v>0</v>
      </c>
      <c r="AX253" s="1793">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5"/>
      <c r="AV254" s="1793">
        <f t="shared" si="127"/>
        <v>0</v>
      </c>
      <c r="AW254" s="1793">
        <f t="shared" si="128"/>
        <v>0</v>
      </c>
      <c r="AX254" s="1793">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5"/>
      <c r="AV255" s="1793">
        <f t="shared" si="127"/>
        <v>0</v>
      </c>
      <c r="AW255" s="1793">
        <f t="shared" si="128"/>
        <v>0</v>
      </c>
      <c r="AX255" s="1793">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5"/>
      <c r="AV256" s="1793">
        <f t="shared" si="127"/>
        <v>0</v>
      </c>
      <c r="AW256" s="1793">
        <f t="shared" si="128"/>
        <v>0</v>
      </c>
      <c r="AX256" s="1793">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5"/>
      <c r="AV257" s="1793">
        <f t="shared" si="127"/>
        <v>0</v>
      </c>
      <c r="AW257" s="1793">
        <f t="shared" si="128"/>
        <v>0</v>
      </c>
      <c r="AX257" s="1793">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5"/>
      <c r="AV258" s="1793">
        <f t="shared" si="127"/>
        <v>0</v>
      </c>
      <c r="AW258" s="1793">
        <f t="shared" si="128"/>
        <v>0</v>
      </c>
      <c r="AX258" s="1793">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5"/>
      <c r="AV259" s="1793">
        <f t="shared" si="127"/>
        <v>0</v>
      </c>
      <c r="AW259" s="1793">
        <f t="shared" si="128"/>
        <v>0</v>
      </c>
      <c r="AX259" s="1793">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5"/>
      <c r="AV260" s="1793">
        <f t="shared" si="127"/>
        <v>0</v>
      </c>
      <c r="AW260" s="1793">
        <f t="shared" si="128"/>
        <v>0</v>
      </c>
      <c r="AX260" s="1793">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5"/>
      <c r="AV261" s="1793">
        <f t="shared" si="127"/>
        <v>0</v>
      </c>
      <c r="AW261" s="1793">
        <f t="shared" si="128"/>
        <v>0</v>
      </c>
      <c r="AX261" s="1793">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5"/>
      <c r="AV262" s="1793">
        <f t="shared" si="127"/>
        <v>0</v>
      </c>
      <c r="AW262" s="1793">
        <f t="shared" si="128"/>
        <v>0</v>
      </c>
      <c r="AX262" s="1793">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5"/>
      <c r="AV263" s="1793">
        <f t="shared" si="127"/>
        <v>0</v>
      </c>
      <c r="AW263" s="1793">
        <f t="shared" si="128"/>
        <v>0</v>
      </c>
      <c r="AX263" s="1793">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5"/>
      <c r="AV264" s="1793">
        <f t="shared" si="127"/>
        <v>0</v>
      </c>
      <c r="AW264" s="1793">
        <f t="shared" si="128"/>
        <v>0</v>
      </c>
      <c r="AX264" s="1793">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5"/>
      <c r="AV265" s="1793">
        <f t="shared" si="127"/>
        <v>0</v>
      </c>
      <c r="AW265" s="1793">
        <f t="shared" si="128"/>
        <v>0</v>
      </c>
      <c r="AX265" s="1793">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5"/>
      <c r="AV266" s="1793">
        <f t="shared" si="127"/>
        <v>0</v>
      </c>
      <c r="AW266" s="1793">
        <f t="shared" si="128"/>
        <v>0</v>
      </c>
      <c r="AX266" s="1793">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5"/>
      <c r="AV267" s="1793">
        <f t="shared" si="127"/>
        <v>0</v>
      </c>
      <c r="AW267" s="1793">
        <f t="shared" si="128"/>
        <v>0</v>
      </c>
      <c r="AX267" s="1793">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5"/>
      <c r="AV268" s="1793">
        <f t="shared" si="127"/>
        <v>0</v>
      </c>
      <c r="AW268" s="1793">
        <f t="shared" si="128"/>
        <v>0</v>
      </c>
      <c r="AX268" s="1793">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5"/>
      <c r="AV269" s="1793">
        <f t="shared" si="127"/>
        <v>0</v>
      </c>
      <c r="AW269" s="1793">
        <f t="shared" si="128"/>
        <v>0</v>
      </c>
      <c r="AX269" s="1793">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5"/>
      <c r="AV270" s="1793">
        <f t="shared" si="127"/>
        <v>0</v>
      </c>
      <c r="AW270" s="1793">
        <f t="shared" si="128"/>
        <v>0</v>
      </c>
      <c r="AX270" s="1793">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5"/>
      <c r="AV271" s="1793">
        <f t="shared" si="127"/>
        <v>0</v>
      </c>
      <c r="AW271" s="1793">
        <f t="shared" si="128"/>
        <v>0</v>
      </c>
      <c r="AX271" s="1793">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5"/>
      <c r="AV272" s="1793">
        <f t="shared" si="127"/>
        <v>0</v>
      </c>
      <c r="AW272" s="1793">
        <f t="shared" si="128"/>
        <v>0</v>
      </c>
      <c r="AX272" s="1793">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5"/>
      <c r="AV273" s="1793">
        <f t="shared" si="127"/>
        <v>0</v>
      </c>
      <c r="AW273" s="1793">
        <f t="shared" si="128"/>
        <v>0</v>
      </c>
      <c r="AX273" s="1793">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5"/>
      <c r="AV274" s="1793">
        <f t="shared" si="127"/>
        <v>0</v>
      </c>
      <c r="AW274" s="1793">
        <f t="shared" si="128"/>
        <v>0</v>
      </c>
      <c r="AX274" s="1793">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5"/>
      <c r="AV275" s="1793">
        <f t="shared" si="127"/>
        <v>0</v>
      </c>
      <c r="AW275" s="1793">
        <f t="shared" si="128"/>
        <v>0</v>
      </c>
      <c r="AX275" s="1793">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5"/>
      <c r="AV276" s="1793">
        <f t="shared" si="127"/>
        <v>0</v>
      </c>
      <c r="AW276" s="1793">
        <f t="shared" si="128"/>
        <v>0</v>
      </c>
      <c r="AX276" s="1793">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5"/>
      <c r="AV277" s="1793">
        <f t="shared" si="127"/>
        <v>0</v>
      </c>
      <c r="AW277" s="1793">
        <f t="shared" si="128"/>
        <v>0</v>
      </c>
      <c r="AX277" s="1793">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5"/>
      <c r="AV278" s="1793">
        <f t="shared" si="127"/>
        <v>0</v>
      </c>
      <c r="AW278" s="1793">
        <f t="shared" si="128"/>
        <v>0</v>
      </c>
      <c r="AX278" s="1793">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5"/>
      <c r="AV279" s="1793">
        <f t="shared" si="127"/>
        <v>0</v>
      </c>
      <c r="AW279" s="1793">
        <f t="shared" si="128"/>
        <v>0</v>
      </c>
      <c r="AX279" s="1793">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5"/>
      <c r="AV280" s="1793">
        <f t="shared" si="127"/>
        <v>0</v>
      </c>
      <c r="AW280" s="1793">
        <f t="shared" si="128"/>
        <v>0</v>
      </c>
      <c r="AX280" s="1793">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5"/>
      <c r="AV281" s="1793">
        <f t="shared" si="127"/>
        <v>0</v>
      </c>
      <c r="AW281" s="1793">
        <f t="shared" si="128"/>
        <v>0</v>
      </c>
      <c r="AX281" s="1793">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5"/>
      <c r="AV282" s="1793">
        <f t="shared" si="127"/>
        <v>0</v>
      </c>
      <c r="AW282" s="1793">
        <f t="shared" si="128"/>
        <v>0</v>
      </c>
      <c r="AX282" s="1793">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5"/>
      <c r="AV283" s="1793">
        <f t="shared" si="127"/>
        <v>0</v>
      </c>
      <c r="AW283" s="1793">
        <f t="shared" si="128"/>
        <v>0</v>
      </c>
      <c r="AX283" s="1793">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5"/>
      <c r="AV284" s="1793">
        <f t="shared" si="127"/>
        <v>0</v>
      </c>
      <c r="AW284" s="1793">
        <f t="shared" si="128"/>
        <v>0</v>
      </c>
      <c r="AX284" s="1793">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5"/>
      <c r="AV285" s="1793">
        <f t="shared" si="127"/>
        <v>0</v>
      </c>
      <c r="AW285" s="1793">
        <f t="shared" si="128"/>
        <v>0</v>
      </c>
      <c r="AX285" s="1793">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5"/>
      <c r="AV286" s="1793">
        <f t="shared" si="127"/>
        <v>0</v>
      </c>
      <c r="AW286" s="1793">
        <f t="shared" si="128"/>
        <v>0</v>
      </c>
      <c r="AX286" s="1793">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5"/>
      <c r="AV287" s="1793">
        <f t="shared" si="127"/>
        <v>0</v>
      </c>
      <c r="AW287" s="1793">
        <f t="shared" si="128"/>
        <v>0</v>
      </c>
      <c r="AX287" s="1793">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5"/>
      <c r="AV288" s="1793">
        <f t="shared" si="127"/>
        <v>0</v>
      </c>
      <c r="AW288" s="1793">
        <f t="shared" si="128"/>
        <v>0</v>
      </c>
      <c r="AX288" s="1793">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5"/>
      <c r="AV289" s="1793">
        <f t="shared" si="127"/>
        <v>0</v>
      </c>
      <c r="AW289" s="1793">
        <f t="shared" si="128"/>
        <v>0</v>
      </c>
      <c r="AX289" s="1793">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5"/>
      <c r="AV290" s="1793">
        <f t="shared" si="127"/>
        <v>0</v>
      </c>
      <c r="AW290" s="1793">
        <f t="shared" si="128"/>
        <v>0</v>
      </c>
      <c r="AX290" s="1793">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5"/>
      <c r="AV291" s="1793">
        <f t="shared" si="127"/>
        <v>0</v>
      </c>
      <c r="AW291" s="1793">
        <f t="shared" si="128"/>
        <v>0</v>
      </c>
      <c r="AX291" s="1793">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5"/>
      <c r="AV292" s="1793">
        <f t="shared" si="127"/>
        <v>0</v>
      </c>
      <c r="AW292" s="1793">
        <f t="shared" si="128"/>
        <v>0</v>
      </c>
      <c r="AX292" s="1793">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5"/>
      <c r="AV293" s="1793">
        <f t="shared" si="127"/>
        <v>0</v>
      </c>
      <c r="AW293" s="1793">
        <f t="shared" si="128"/>
        <v>0</v>
      </c>
      <c r="AX293" s="1793">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5"/>
      <c r="AV294" s="1793">
        <f t="shared" si="127"/>
        <v>0</v>
      </c>
      <c r="AW294" s="1793">
        <f t="shared" si="128"/>
        <v>0</v>
      </c>
      <c r="AX294" s="1793">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5"/>
      <c r="AV295" s="1793">
        <f t="shared" si="127"/>
        <v>0</v>
      </c>
      <c r="AW295" s="1793">
        <f t="shared" si="128"/>
        <v>0</v>
      </c>
      <c r="AX295" s="1793">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5"/>
      <c r="AV296" s="1793">
        <f t="shared" si="127"/>
        <v>0</v>
      </c>
      <c r="AW296" s="1793">
        <f t="shared" si="128"/>
        <v>0</v>
      </c>
      <c r="AX296" s="1793">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5"/>
      <c r="AV297" s="1793">
        <f t="shared" si="127"/>
        <v>0</v>
      </c>
      <c r="AW297" s="1793">
        <f t="shared" si="128"/>
        <v>0</v>
      </c>
      <c r="AX297" s="1793">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5"/>
      <c r="AV298" s="1793">
        <f t="shared" si="127"/>
        <v>0</v>
      </c>
      <c r="AW298" s="1793">
        <f t="shared" si="128"/>
        <v>0</v>
      </c>
      <c r="AX298" s="1793">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5"/>
      <c r="AV299" s="1793">
        <f t="shared" si="127"/>
        <v>0</v>
      </c>
      <c r="AW299" s="1793">
        <f t="shared" si="128"/>
        <v>0</v>
      </c>
      <c r="AX299" s="1793">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0"/>
      <c r="AV300" s="1793">
        <f t="shared" si="127"/>
        <v>0</v>
      </c>
      <c r="AW300" s="1793">
        <f t="shared" si="128"/>
        <v>0</v>
      </c>
      <c r="AX300" s="1793">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0"/>
      <c r="AV301" s="1793">
        <f t="shared" si="127"/>
        <v>0</v>
      </c>
      <c r="AW301" s="1793">
        <f t="shared" si="128"/>
        <v>0</v>
      </c>
      <c r="AX301" s="1793">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0"/>
      <c r="AV302" s="1793">
        <f t="shared" si="127"/>
        <v>0</v>
      </c>
      <c r="AW302" s="1793">
        <f t="shared" si="128"/>
        <v>0</v>
      </c>
      <c r="AX302" s="1793">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5"/>
      <c r="AV303" s="1793">
        <f t="shared" ref="AV303:AV334" si="178">A303</f>
        <v>0</v>
      </c>
      <c r="AW303" s="1793">
        <f t="shared" ref="AW303:AW334" si="179">B303</f>
        <v>0</v>
      </c>
      <c r="AX303" s="1793">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5"/>
      <c r="AV304" s="1793">
        <f t="shared" si="178"/>
        <v>0</v>
      </c>
      <c r="AW304" s="1793">
        <f t="shared" si="179"/>
        <v>0</v>
      </c>
      <c r="AX304" s="1793">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5"/>
      <c r="AV305" s="1793">
        <f t="shared" si="178"/>
        <v>0</v>
      </c>
      <c r="AW305" s="1793">
        <f t="shared" si="179"/>
        <v>0</v>
      </c>
      <c r="AX305" s="1793">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5"/>
      <c r="AV306" s="1793">
        <f t="shared" si="178"/>
        <v>0</v>
      </c>
      <c r="AW306" s="1793">
        <f t="shared" si="179"/>
        <v>0</v>
      </c>
      <c r="AX306" s="1793">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5"/>
      <c r="AV307" s="1793">
        <f t="shared" si="178"/>
        <v>0</v>
      </c>
      <c r="AW307" s="1793">
        <f t="shared" si="179"/>
        <v>0</v>
      </c>
      <c r="AX307" s="1793">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5"/>
      <c r="AV308" s="1793">
        <f t="shared" si="178"/>
        <v>0</v>
      </c>
      <c r="AW308" s="1793">
        <f t="shared" si="179"/>
        <v>0</v>
      </c>
      <c r="AX308" s="1793">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5"/>
      <c r="AV309" s="1793">
        <f t="shared" si="178"/>
        <v>0</v>
      </c>
      <c r="AW309" s="1793">
        <f t="shared" si="179"/>
        <v>0</v>
      </c>
      <c r="AX309" s="1793">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5"/>
      <c r="AV310" s="1793">
        <f t="shared" si="178"/>
        <v>0</v>
      </c>
      <c r="AW310" s="1793">
        <f t="shared" si="179"/>
        <v>0</v>
      </c>
      <c r="AX310" s="1793">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5"/>
      <c r="AV311" s="1793">
        <f t="shared" si="178"/>
        <v>0</v>
      </c>
      <c r="AW311" s="1793">
        <f t="shared" si="179"/>
        <v>0</v>
      </c>
      <c r="AX311" s="1793">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5"/>
      <c r="AV312" s="1793">
        <f t="shared" si="178"/>
        <v>0</v>
      </c>
      <c r="AW312" s="1793">
        <f t="shared" si="179"/>
        <v>0</v>
      </c>
      <c r="AX312" s="1793">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5"/>
      <c r="AV313" s="1793">
        <f t="shared" si="178"/>
        <v>0</v>
      </c>
      <c r="AW313" s="1793">
        <f t="shared" si="179"/>
        <v>0</v>
      </c>
      <c r="AX313" s="1793">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5"/>
      <c r="AV314" s="1793">
        <f t="shared" si="178"/>
        <v>0</v>
      </c>
      <c r="AW314" s="1793">
        <f t="shared" si="179"/>
        <v>0</v>
      </c>
      <c r="AX314" s="1793">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5"/>
      <c r="AV315" s="1793">
        <f t="shared" si="178"/>
        <v>0</v>
      </c>
      <c r="AW315" s="1793">
        <f t="shared" si="179"/>
        <v>0</v>
      </c>
      <c r="AX315" s="1793">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5"/>
      <c r="AV316" s="1793">
        <f t="shared" si="178"/>
        <v>0</v>
      </c>
      <c r="AW316" s="1793">
        <f t="shared" si="179"/>
        <v>0</v>
      </c>
      <c r="AX316" s="1793">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5"/>
      <c r="AV317" s="1793">
        <f t="shared" si="178"/>
        <v>0</v>
      </c>
      <c r="AW317" s="1793">
        <f t="shared" si="179"/>
        <v>0</v>
      </c>
      <c r="AX317" s="1793">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5"/>
      <c r="AV318" s="1793">
        <f t="shared" si="178"/>
        <v>0</v>
      </c>
      <c r="AW318" s="1793">
        <f t="shared" si="179"/>
        <v>0</v>
      </c>
      <c r="AX318" s="1793">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5"/>
      <c r="AV319" s="1793">
        <f t="shared" si="178"/>
        <v>0</v>
      </c>
      <c r="AW319" s="1793">
        <f t="shared" si="179"/>
        <v>0</v>
      </c>
      <c r="AX319" s="1793">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5"/>
      <c r="AV320" s="1793">
        <f t="shared" si="178"/>
        <v>0</v>
      </c>
      <c r="AW320" s="1793">
        <f t="shared" si="179"/>
        <v>0</v>
      </c>
      <c r="AX320" s="1793">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5"/>
      <c r="AV321" s="1793">
        <f t="shared" si="178"/>
        <v>0</v>
      </c>
      <c r="AW321" s="1793">
        <f t="shared" si="179"/>
        <v>0</v>
      </c>
      <c r="AX321" s="1793">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5"/>
      <c r="AV322" s="1793">
        <f t="shared" si="178"/>
        <v>0</v>
      </c>
      <c r="AW322" s="1793">
        <f t="shared" si="179"/>
        <v>0</v>
      </c>
      <c r="AX322" s="1793">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5"/>
      <c r="AV323" s="1793">
        <f t="shared" si="178"/>
        <v>0</v>
      </c>
      <c r="AW323" s="1793">
        <f t="shared" si="179"/>
        <v>0</v>
      </c>
      <c r="AX323" s="1793">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5"/>
      <c r="AV324" s="1793">
        <f t="shared" si="178"/>
        <v>0</v>
      </c>
      <c r="AW324" s="1793">
        <f t="shared" si="179"/>
        <v>0</v>
      </c>
      <c r="AX324" s="1793">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5"/>
      <c r="AV325" s="1793">
        <f t="shared" si="178"/>
        <v>0</v>
      </c>
      <c r="AW325" s="1793">
        <f t="shared" si="179"/>
        <v>0</v>
      </c>
      <c r="AX325" s="1793">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5"/>
      <c r="AV326" s="1793">
        <f t="shared" si="178"/>
        <v>0</v>
      </c>
      <c r="AW326" s="1793">
        <f t="shared" si="179"/>
        <v>0</v>
      </c>
      <c r="AX326" s="1793">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5"/>
      <c r="AV327" s="1793">
        <f t="shared" si="178"/>
        <v>0</v>
      </c>
      <c r="AW327" s="1793">
        <f t="shared" si="179"/>
        <v>0</v>
      </c>
      <c r="AX327" s="1793">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5"/>
      <c r="AV328" s="1793">
        <f t="shared" si="178"/>
        <v>0</v>
      </c>
      <c r="AW328" s="1793">
        <f t="shared" si="179"/>
        <v>0</v>
      </c>
      <c r="AX328" s="1793">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5"/>
      <c r="AV329" s="1793">
        <f t="shared" si="178"/>
        <v>0</v>
      </c>
      <c r="AW329" s="1793">
        <f t="shared" si="179"/>
        <v>0</v>
      </c>
      <c r="AX329" s="1793">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5"/>
      <c r="AV330" s="1793">
        <f t="shared" si="178"/>
        <v>0</v>
      </c>
      <c r="AW330" s="1793">
        <f t="shared" si="179"/>
        <v>0</v>
      </c>
      <c r="AX330" s="1793">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5"/>
      <c r="AV331" s="1793">
        <f t="shared" si="178"/>
        <v>0</v>
      </c>
      <c r="AW331" s="1793">
        <f t="shared" si="179"/>
        <v>0</v>
      </c>
      <c r="AX331" s="1793">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5"/>
      <c r="AV332" s="1793">
        <f t="shared" si="178"/>
        <v>0</v>
      </c>
      <c r="AW332" s="1793">
        <f t="shared" si="179"/>
        <v>0</v>
      </c>
      <c r="AX332" s="1793">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5"/>
      <c r="AV333" s="1793">
        <f t="shared" si="178"/>
        <v>0</v>
      </c>
      <c r="AW333" s="1793">
        <f t="shared" si="179"/>
        <v>0</v>
      </c>
      <c r="AX333" s="1793">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5"/>
      <c r="AV334" s="1793">
        <f t="shared" si="178"/>
        <v>0</v>
      </c>
      <c r="AW334" s="1793">
        <f t="shared" si="179"/>
        <v>0</v>
      </c>
      <c r="AX334" s="1793">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5"/>
      <c r="AV335" s="1793">
        <f t="shared" ref="AV335:AV366" si="207">A335</f>
        <v>0</v>
      </c>
      <c r="AW335" s="1793">
        <f t="shared" ref="AW335:AW366" si="208">B335</f>
        <v>0</v>
      </c>
      <c r="AX335" s="1793">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5"/>
      <c r="AV336" s="1793">
        <f t="shared" si="207"/>
        <v>0</v>
      </c>
      <c r="AW336" s="1793">
        <f t="shared" si="208"/>
        <v>0</v>
      </c>
      <c r="AX336" s="1793">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5"/>
      <c r="AV337" s="1793">
        <f t="shared" si="207"/>
        <v>0</v>
      </c>
      <c r="AW337" s="1793">
        <f t="shared" si="208"/>
        <v>0</v>
      </c>
      <c r="AX337" s="1793">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5"/>
      <c r="AV338" s="1793">
        <f t="shared" si="207"/>
        <v>0</v>
      </c>
      <c r="AW338" s="1793">
        <f t="shared" si="208"/>
        <v>0</v>
      </c>
      <c r="AX338" s="1793">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5"/>
      <c r="AV339" s="1793">
        <f t="shared" si="207"/>
        <v>0</v>
      </c>
      <c r="AW339" s="1793">
        <f t="shared" si="208"/>
        <v>0</v>
      </c>
      <c r="AX339" s="1793">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5"/>
      <c r="AV340" s="1793">
        <f t="shared" si="207"/>
        <v>0</v>
      </c>
      <c r="AW340" s="1793">
        <f t="shared" si="208"/>
        <v>0</v>
      </c>
      <c r="AX340" s="1793">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5"/>
      <c r="AV341" s="1793">
        <f t="shared" si="207"/>
        <v>0</v>
      </c>
      <c r="AW341" s="1793">
        <f t="shared" si="208"/>
        <v>0</v>
      </c>
      <c r="AX341" s="1793">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5"/>
      <c r="AV342" s="1793">
        <f t="shared" si="207"/>
        <v>0</v>
      </c>
      <c r="AW342" s="1793">
        <f t="shared" si="208"/>
        <v>0</v>
      </c>
      <c r="AX342" s="1793">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5"/>
      <c r="AV343" s="1793">
        <f t="shared" si="207"/>
        <v>0</v>
      </c>
      <c r="AW343" s="1793">
        <f t="shared" si="208"/>
        <v>0</v>
      </c>
      <c r="AX343" s="1793">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5"/>
      <c r="AV344" s="1793">
        <f t="shared" si="207"/>
        <v>0</v>
      </c>
      <c r="AW344" s="1793">
        <f t="shared" si="208"/>
        <v>0</v>
      </c>
      <c r="AX344" s="1793">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5"/>
      <c r="AV345" s="1793">
        <f t="shared" si="207"/>
        <v>0</v>
      </c>
      <c r="AW345" s="1793">
        <f t="shared" si="208"/>
        <v>0</v>
      </c>
      <c r="AX345" s="1793">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5"/>
      <c r="AV346" s="1793">
        <f t="shared" si="207"/>
        <v>0</v>
      </c>
      <c r="AW346" s="1793">
        <f t="shared" si="208"/>
        <v>0</v>
      </c>
      <c r="AX346" s="1793">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5"/>
      <c r="AV347" s="1793">
        <f t="shared" si="207"/>
        <v>0</v>
      </c>
      <c r="AW347" s="1793">
        <f t="shared" si="208"/>
        <v>0</v>
      </c>
      <c r="AX347" s="1793">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5"/>
      <c r="AV348" s="1793">
        <f t="shared" si="207"/>
        <v>0</v>
      </c>
      <c r="AW348" s="1793">
        <f t="shared" si="208"/>
        <v>0</v>
      </c>
      <c r="AX348" s="1793">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5"/>
      <c r="AV349" s="1793">
        <f t="shared" si="207"/>
        <v>0</v>
      </c>
      <c r="AW349" s="1793">
        <f t="shared" si="208"/>
        <v>0</v>
      </c>
      <c r="AX349" s="1793">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5"/>
      <c r="AV350" s="1793">
        <f t="shared" si="207"/>
        <v>0</v>
      </c>
      <c r="AW350" s="1793">
        <f t="shared" si="208"/>
        <v>0</v>
      </c>
      <c r="AX350" s="1793">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5"/>
      <c r="AV351" s="1793">
        <f t="shared" si="207"/>
        <v>0</v>
      </c>
      <c r="AW351" s="1793">
        <f t="shared" si="208"/>
        <v>0</v>
      </c>
      <c r="AX351" s="1793">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5"/>
      <c r="AV352" s="1793">
        <f t="shared" si="207"/>
        <v>0</v>
      </c>
      <c r="AW352" s="1793">
        <f t="shared" si="208"/>
        <v>0</v>
      </c>
      <c r="AX352" s="1793">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5"/>
      <c r="AV353" s="1793">
        <f t="shared" si="207"/>
        <v>0</v>
      </c>
      <c r="AW353" s="1793">
        <f t="shared" si="208"/>
        <v>0</v>
      </c>
      <c r="AX353" s="1793">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5"/>
      <c r="AV354" s="1793">
        <f t="shared" si="207"/>
        <v>0</v>
      </c>
      <c r="AW354" s="1793">
        <f t="shared" si="208"/>
        <v>0</v>
      </c>
      <c r="AX354" s="1793">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5"/>
      <c r="AV355" s="1793">
        <f t="shared" si="207"/>
        <v>0</v>
      </c>
      <c r="AW355" s="1793">
        <f t="shared" si="208"/>
        <v>0</v>
      </c>
      <c r="AX355" s="1793">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5"/>
      <c r="AV356" s="1793">
        <f t="shared" si="207"/>
        <v>0</v>
      </c>
      <c r="AW356" s="1793">
        <f t="shared" si="208"/>
        <v>0</v>
      </c>
      <c r="AX356" s="1793">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5"/>
      <c r="AV357" s="1793">
        <f t="shared" si="207"/>
        <v>0</v>
      </c>
      <c r="AW357" s="1793">
        <f t="shared" si="208"/>
        <v>0</v>
      </c>
      <c r="AX357" s="1793">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5"/>
      <c r="AV358" s="1793">
        <f t="shared" si="207"/>
        <v>0</v>
      </c>
      <c r="AW358" s="1793">
        <f t="shared" si="208"/>
        <v>0</v>
      </c>
      <c r="AX358" s="1793">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5"/>
      <c r="AV359" s="1793">
        <f t="shared" si="207"/>
        <v>0</v>
      </c>
      <c r="AW359" s="1793">
        <f t="shared" si="208"/>
        <v>0</v>
      </c>
      <c r="AX359" s="1793">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5"/>
      <c r="AV360" s="1793">
        <f t="shared" si="207"/>
        <v>0</v>
      </c>
      <c r="AW360" s="1793">
        <f t="shared" si="208"/>
        <v>0</v>
      </c>
      <c r="AX360" s="1793">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5"/>
      <c r="AV361" s="1793">
        <f t="shared" si="207"/>
        <v>0</v>
      </c>
      <c r="AW361" s="1793">
        <f t="shared" si="208"/>
        <v>0</v>
      </c>
      <c r="AX361" s="1793">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5"/>
      <c r="AV362" s="1793">
        <f t="shared" si="207"/>
        <v>0</v>
      </c>
      <c r="AW362" s="1793">
        <f t="shared" si="208"/>
        <v>0</v>
      </c>
      <c r="AX362" s="1793">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5"/>
      <c r="AV363" s="1793">
        <f t="shared" si="207"/>
        <v>0</v>
      </c>
      <c r="AW363" s="1793">
        <f t="shared" si="208"/>
        <v>0</v>
      </c>
      <c r="AX363" s="1793">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5"/>
      <c r="AV364" s="1793">
        <f t="shared" si="207"/>
        <v>0</v>
      </c>
      <c r="AW364" s="1793">
        <f t="shared" si="208"/>
        <v>0</v>
      </c>
      <c r="AX364" s="1793">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5"/>
      <c r="AV365" s="1793">
        <f t="shared" si="207"/>
        <v>0</v>
      </c>
      <c r="AW365" s="1793">
        <f t="shared" si="208"/>
        <v>0</v>
      </c>
      <c r="AX365" s="1793">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5"/>
      <c r="AV366" s="1793">
        <f t="shared" si="207"/>
        <v>0</v>
      </c>
      <c r="AW366" s="1793">
        <f t="shared" si="208"/>
        <v>0</v>
      </c>
      <c r="AX366" s="1793">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5"/>
      <c r="AV367" s="1793">
        <f t="shared" ref="AV367:AV397" si="236">A367</f>
        <v>0</v>
      </c>
      <c r="AW367" s="1793">
        <f t="shared" ref="AW367:AW397" si="237">B367</f>
        <v>0</v>
      </c>
      <c r="AX367" s="1793">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5"/>
      <c r="AV368" s="1793">
        <f t="shared" si="236"/>
        <v>0</v>
      </c>
      <c r="AW368" s="1793">
        <f t="shared" si="237"/>
        <v>0</v>
      </c>
      <c r="AX368" s="1793">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5"/>
      <c r="AV369" s="1793">
        <f t="shared" si="236"/>
        <v>0</v>
      </c>
      <c r="AW369" s="1793">
        <f t="shared" si="237"/>
        <v>0</v>
      </c>
      <c r="AX369" s="1793">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5"/>
      <c r="AV370" s="1793">
        <f t="shared" si="236"/>
        <v>0</v>
      </c>
      <c r="AW370" s="1793">
        <f t="shared" si="237"/>
        <v>0</v>
      </c>
      <c r="AX370" s="1793">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5"/>
      <c r="AV371" s="1793">
        <f t="shared" si="236"/>
        <v>0</v>
      </c>
      <c r="AW371" s="1793">
        <f t="shared" si="237"/>
        <v>0</v>
      </c>
      <c r="AX371" s="1793">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5"/>
      <c r="AV372" s="1793">
        <f t="shared" si="236"/>
        <v>0</v>
      </c>
      <c r="AW372" s="1793">
        <f t="shared" si="237"/>
        <v>0</v>
      </c>
      <c r="AX372" s="1793">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5"/>
      <c r="AV373" s="1793">
        <f t="shared" si="236"/>
        <v>0</v>
      </c>
      <c r="AW373" s="1793">
        <f t="shared" si="237"/>
        <v>0</v>
      </c>
      <c r="AX373" s="1793">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5"/>
      <c r="AV374" s="1793">
        <f t="shared" si="236"/>
        <v>0</v>
      </c>
      <c r="AW374" s="1793">
        <f t="shared" si="237"/>
        <v>0</v>
      </c>
      <c r="AX374" s="1793">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5"/>
      <c r="AV375" s="1793">
        <f t="shared" si="236"/>
        <v>0</v>
      </c>
      <c r="AW375" s="1793">
        <f t="shared" si="237"/>
        <v>0</v>
      </c>
      <c r="AX375" s="1793">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5"/>
      <c r="AV376" s="1793">
        <f t="shared" si="236"/>
        <v>0</v>
      </c>
      <c r="AW376" s="1793">
        <f t="shared" si="237"/>
        <v>0</v>
      </c>
      <c r="AX376" s="1793">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5"/>
      <c r="AV377" s="1793">
        <f t="shared" si="236"/>
        <v>0</v>
      </c>
      <c r="AW377" s="1793">
        <f t="shared" si="237"/>
        <v>0</v>
      </c>
      <c r="AX377" s="1793">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5"/>
      <c r="AV378" s="1793">
        <f t="shared" si="236"/>
        <v>0</v>
      </c>
      <c r="AW378" s="1793">
        <f t="shared" si="237"/>
        <v>0</v>
      </c>
      <c r="AX378" s="1793">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5"/>
      <c r="AV379" s="1793">
        <f t="shared" si="236"/>
        <v>0</v>
      </c>
      <c r="AW379" s="1793">
        <f t="shared" si="237"/>
        <v>0</v>
      </c>
      <c r="AX379" s="1793">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5"/>
      <c r="AV380" s="1793">
        <f t="shared" si="236"/>
        <v>0</v>
      </c>
      <c r="AW380" s="1793">
        <f t="shared" si="237"/>
        <v>0</v>
      </c>
      <c r="AX380" s="1793">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5"/>
      <c r="AV381" s="1793">
        <f t="shared" si="236"/>
        <v>0</v>
      </c>
      <c r="AW381" s="1793">
        <f t="shared" si="237"/>
        <v>0</v>
      </c>
      <c r="AX381" s="1793">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5"/>
      <c r="AV382" s="1793">
        <f t="shared" si="236"/>
        <v>0</v>
      </c>
      <c r="AW382" s="1793">
        <f t="shared" si="237"/>
        <v>0</v>
      </c>
      <c r="AX382" s="1793">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5"/>
      <c r="AV383" s="1793">
        <f t="shared" si="236"/>
        <v>0</v>
      </c>
      <c r="AW383" s="1793">
        <f t="shared" si="237"/>
        <v>0</v>
      </c>
      <c r="AX383" s="1793">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5"/>
      <c r="AV384" s="1793">
        <f t="shared" si="236"/>
        <v>0</v>
      </c>
      <c r="AW384" s="1793">
        <f t="shared" si="237"/>
        <v>0</v>
      </c>
      <c r="AX384" s="1793">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5"/>
      <c r="AV385" s="1793">
        <f t="shared" si="236"/>
        <v>0</v>
      </c>
      <c r="AW385" s="1793">
        <f t="shared" si="237"/>
        <v>0</v>
      </c>
      <c r="AX385" s="1793">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5"/>
      <c r="AV386" s="1793">
        <f t="shared" si="236"/>
        <v>0</v>
      </c>
      <c r="AW386" s="1793">
        <f t="shared" si="237"/>
        <v>0</v>
      </c>
      <c r="AX386" s="1793">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5"/>
      <c r="AV387" s="1793">
        <f t="shared" si="236"/>
        <v>0</v>
      </c>
      <c r="AW387" s="1793">
        <f t="shared" si="237"/>
        <v>0</v>
      </c>
      <c r="AX387" s="1793">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5"/>
      <c r="AV388" s="1793">
        <f t="shared" si="236"/>
        <v>0</v>
      </c>
      <c r="AW388" s="1793">
        <f t="shared" si="237"/>
        <v>0</v>
      </c>
      <c r="AX388" s="1793">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5"/>
      <c r="AV389" s="1793">
        <f t="shared" si="236"/>
        <v>0</v>
      </c>
      <c r="AW389" s="1793">
        <f t="shared" si="237"/>
        <v>0</v>
      </c>
      <c r="AX389" s="1793">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5"/>
      <c r="AV390" s="1793">
        <f t="shared" si="236"/>
        <v>0</v>
      </c>
      <c r="AW390" s="1793">
        <f t="shared" si="237"/>
        <v>0</v>
      </c>
      <c r="AX390" s="1793">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5"/>
      <c r="AV391" s="1793">
        <f t="shared" si="236"/>
        <v>0</v>
      </c>
      <c r="AW391" s="1793">
        <f t="shared" si="237"/>
        <v>0</v>
      </c>
      <c r="AX391" s="1793">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5"/>
      <c r="AV392" s="1793">
        <f t="shared" si="236"/>
        <v>0</v>
      </c>
      <c r="AW392" s="1793">
        <f t="shared" si="237"/>
        <v>0</v>
      </c>
      <c r="AX392" s="1793">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5"/>
      <c r="AV393" s="1793">
        <f t="shared" si="236"/>
        <v>0</v>
      </c>
      <c r="AW393" s="1793">
        <f t="shared" si="237"/>
        <v>0</v>
      </c>
      <c r="AX393" s="1793">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5"/>
      <c r="AV394" s="1793">
        <f t="shared" si="236"/>
        <v>0</v>
      </c>
      <c r="AW394" s="1793">
        <f t="shared" si="237"/>
        <v>0</v>
      </c>
      <c r="AX394" s="1793">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0"/>
      <c r="AV395" s="1793">
        <f t="shared" si="236"/>
        <v>0</v>
      </c>
      <c r="AW395" s="1793">
        <f t="shared" si="237"/>
        <v>0</v>
      </c>
      <c r="AX395" s="1793">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0"/>
      <c r="AV396" s="1793">
        <f t="shared" si="236"/>
        <v>0</v>
      </c>
      <c r="AW396" s="1793">
        <f t="shared" si="237"/>
        <v>0</v>
      </c>
      <c r="AX396" s="1793">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0"/>
      <c r="AV397" s="1793">
        <f t="shared" si="236"/>
        <v>0</v>
      </c>
      <c r="AW397" s="1793">
        <f t="shared" si="237"/>
        <v>0</v>
      </c>
      <c r="AX397" s="1793">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5"/>
      <c r="AV398" s="1793">
        <f t="shared" ref="AV398:AV492" si="243">A398</f>
        <v>0</v>
      </c>
      <c r="AW398" s="1793">
        <f t="shared" ref="AW398:AW492" si="244">B398</f>
        <v>0</v>
      </c>
      <c r="AX398" s="1793">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5"/>
      <c r="AV399" s="1793">
        <f t="shared" si="243"/>
        <v>0</v>
      </c>
      <c r="AW399" s="1793">
        <f t="shared" si="244"/>
        <v>0</v>
      </c>
      <c r="AX399" s="1793">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5"/>
      <c r="AV400" s="1793">
        <f t="shared" si="243"/>
        <v>0</v>
      </c>
      <c r="AW400" s="1793">
        <f t="shared" si="244"/>
        <v>0</v>
      </c>
      <c r="AX400" s="1793">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5"/>
      <c r="AV401" s="1793">
        <f t="shared" si="243"/>
        <v>0</v>
      </c>
      <c r="AW401" s="1793">
        <f t="shared" si="244"/>
        <v>0</v>
      </c>
      <c r="AX401" s="1793">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5"/>
      <c r="AV402" s="1793">
        <f t="shared" si="243"/>
        <v>0</v>
      </c>
      <c r="AW402" s="1793">
        <f t="shared" si="244"/>
        <v>0</v>
      </c>
      <c r="AX402" s="1793">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5"/>
      <c r="AV403" s="1793">
        <f t="shared" si="243"/>
        <v>0</v>
      </c>
      <c r="AW403" s="1793">
        <f t="shared" si="244"/>
        <v>0</v>
      </c>
      <c r="AX403" s="1793">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5"/>
      <c r="AV404" s="1793">
        <f t="shared" si="243"/>
        <v>0</v>
      </c>
      <c r="AW404" s="1793">
        <f t="shared" si="244"/>
        <v>0</v>
      </c>
      <c r="AX404" s="1793">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5"/>
      <c r="AV405" s="1793">
        <f t="shared" si="243"/>
        <v>0</v>
      </c>
      <c r="AW405" s="1793">
        <f t="shared" si="244"/>
        <v>0</v>
      </c>
      <c r="AX405" s="1793">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5"/>
      <c r="AV406" s="1793">
        <f t="shared" si="243"/>
        <v>0</v>
      </c>
      <c r="AW406" s="1793">
        <f t="shared" si="244"/>
        <v>0</v>
      </c>
      <c r="AX406" s="1793">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5"/>
      <c r="AV407" s="1793">
        <f t="shared" si="243"/>
        <v>0</v>
      </c>
      <c r="AW407" s="1793">
        <f t="shared" si="244"/>
        <v>0</v>
      </c>
      <c r="AX407" s="1793">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5"/>
      <c r="AV408" s="1793">
        <f t="shared" si="243"/>
        <v>0</v>
      </c>
      <c r="AW408" s="1793">
        <f t="shared" si="244"/>
        <v>0</v>
      </c>
      <c r="AX408" s="1793">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5"/>
      <c r="AV409" s="1793">
        <f t="shared" si="243"/>
        <v>0</v>
      </c>
      <c r="AW409" s="1793">
        <f t="shared" si="244"/>
        <v>0</v>
      </c>
      <c r="AX409" s="1793">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5"/>
      <c r="AV410" s="1793">
        <f t="shared" si="243"/>
        <v>0</v>
      </c>
      <c r="AW410" s="1793">
        <f t="shared" si="244"/>
        <v>0</v>
      </c>
      <c r="AX410" s="1793">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5"/>
      <c r="AV411" s="1793">
        <f t="shared" si="243"/>
        <v>0</v>
      </c>
      <c r="AW411" s="1793">
        <f t="shared" si="244"/>
        <v>0</v>
      </c>
      <c r="AX411" s="1793">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5"/>
      <c r="AV412" s="1793">
        <f t="shared" si="243"/>
        <v>0</v>
      </c>
      <c r="AW412" s="1793">
        <f t="shared" si="244"/>
        <v>0</v>
      </c>
      <c r="AX412" s="1793">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5"/>
      <c r="AV413" s="1793">
        <f t="shared" si="243"/>
        <v>0</v>
      </c>
      <c r="AW413" s="1793">
        <f t="shared" si="244"/>
        <v>0</v>
      </c>
      <c r="AX413" s="1793">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5"/>
      <c r="AV414" s="1793">
        <f t="shared" si="243"/>
        <v>0</v>
      </c>
      <c r="AW414" s="1793">
        <f t="shared" si="244"/>
        <v>0</v>
      </c>
      <c r="AX414" s="1793">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5"/>
      <c r="AV415" s="1793">
        <f t="shared" si="243"/>
        <v>0</v>
      </c>
      <c r="AW415" s="1793">
        <f t="shared" si="244"/>
        <v>0</v>
      </c>
      <c r="AX415" s="1793">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5"/>
      <c r="AV416" s="1793">
        <f t="shared" si="243"/>
        <v>0</v>
      </c>
      <c r="AW416" s="1793">
        <f t="shared" si="244"/>
        <v>0</v>
      </c>
      <c r="AX416" s="1793">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5"/>
      <c r="AV417" s="1793">
        <f t="shared" si="243"/>
        <v>0</v>
      </c>
      <c r="AW417" s="1793">
        <f t="shared" si="244"/>
        <v>0</v>
      </c>
      <c r="AX417" s="1793">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5"/>
      <c r="AV418" s="1793">
        <f t="shared" si="243"/>
        <v>0</v>
      </c>
      <c r="AW418" s="1793">
        <f t="shared" si="244"/>
        <v>0</v>
      </c>
      <c r="AX418" s="1793">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5"/>
      <c r="AV419" s="1793">
        <f t="shared" si="243"/>
        <v>0</v>
      </c>
      <c r="AW419" s="1793">
        <f t="shared" si="244"/>
        <v>0</v>
      </c>
      <c r="AX419" s="1793">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5"/>
      <c r="AV420" s="1793">
        <f t="shared" si="243"/>
        <v>0</v>
      </c>
      <c r="AW420" s="1793">
        <f t="shared" si="244"/>
        <v>0</v>
      </c>
      <c r="AX420" s="1793">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5"/>
      <c r="AV421" s="1793">
        <f t="shared" si="243"/>
        <v>0</v>
      </c>
      <c r="AW421" s="1793">
        <f t="shared" si="244"/>
        <v>0</v>
      </c>
      <c r="AX421" s="1793">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5"/>
      <c r="AV422" s="1793">
        <f t="shared" si="243"/>
        <v>0</v>
      </c>
      <c r="AW422" s="1793">
        <f t="shared" si="244"/>
        <v>0</v>
      </c>
      <c r="AX422" s="1793">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5"/>
      <c r="AV423" s="1793">
        <f t="shared" si="243"/>
        <v>0</v>
      </c>
      <c r="AW423" s="1793">
        <f t="shared" si="244"/>
        <v>0</v>
      </c>
      <c r="AX423" s="1793">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5"/>
      <c r="AV424" s="1793">
        <f t="shared" si="243"/>
        <v>0</v>
      </c>
      <c r="AW424" s="1793">
        <f t="shared" si="244"/>
        <v>0</v>
      </c>
      <c r="AX424" s="1793">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5"/>
      <c r="AV425" s="1793">
        <f t="shared" si="243"/>
        <v>0</v>
      </c>
      <c r="AW425" s="1793">
        <f t="shared" si="244"/>
        <v>0</v>
      </c>
      <c r="AX425" s="1793">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5"/>
      <c r="AV426" s="1793">
        <f t="shared" si="243"/>
        <v>0</v>
      </c>
      <c r="AW426" s="1793">
        <f t="shared" si="244"/>
        <v>0</v>
      </c>
      <c r="AX426" s="1793">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5"/>
      <c r="AV427" s="1793">
        <f t="shared" si="243"/>
        <v>0</v>
      </c>
      <c r="AW427" s="1793">
        <f t="shared" si="244"/>
        <v>0</v>
      </c>
      <c r="AX427" s="1793">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5"/>
      <c r="AV428" s="1793">
        <f t="shared" si="243"/>
        <v>0</v>
      </c>
      <c r="AW428" s="1793">
        <f t="shared" si="244"/>
        <v>0</v>
      </c>
      <c r="AX428" s="1793">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5"/>
      <c r="AV429" s="1793">
        <f t="shared" si="243"/>
        <v>0</v>
      </c>
      <c r="AW429" s="1793">
        <f t="shared" si="244"/>
        <v>0</v>
      </c>
      <c r="AX429" s="1793">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5"/>
      <c r="AV430" s="1793">
        <f t="shared" si="243"/>
        <v>0</v>
      </c>
      <c r="AW430" s="1793">
        <f t="shared" si="244"/>
        <v>0</v>
      </c>
      <c r="AX430" s="1793">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5"/>
      <c r="AV431" s="1793">
        <f t="shared" si="243"/>
        <v>0</v>
      </c>
      <c r="AW431" s="1793">
        <f t="shared" si="244"/>
        <v>0</v>
      </c>
      <c r="AX431" s="1793">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5"/>
      <c r="AV432" s="1793">
        <f t="shared" si="243"/>
        <v>0</v>
      </c>
      <c r="AW432" s="1793">
        <f t="shared" si="244"/>
        <v>0</v>
      </c>
      <c r="AX432" s="1793">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5"/>
      <c r="AV433" s="1793">
        <f t="shared" si="243"/>
        <v>0</v>
      </c>
      <c r="AW433" s="1793">
        <f t="shared" si="244"/>
        <v>0</v>
      </c>
      <c r="AX433" s="1793">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5"/>
      <c r="AV434" s="1793">
        <f t="shared" si="243"/>
        <v>0</v>
      </c>
      <c r="AW434" s="1793">
        <f t="shared" si="244"/>
        <v>0</v>
      </c>
      <c r="AX434" s="1793">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5"/>
      <c r="AV435" s="1793">
        <f t="shared" si="243"/>
        <v>0</v>
      </c>
      <c r="AW435" s="1793">
        <f t="shared" si="244"/>
        <v>0</v>
      </c>
      <c r="AX435" s="1793">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5"/>
      <c r="AV436" s="1793">
        <f t="shared" si="243"/>
        <v>0</v>
      </c>
      <c r="AW436" s="1793">
        <f t="shared" si="244"/>
        <v>0</v>
      </c>
      <c r="AX436" s="1793">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5"/>
      <c r="AV437" s="1793">
        <f t="shared" si="243"/>
        <v>0</v>
      </c>
      <c r="AW437" s="1793">
        <f t="shared" si="244"/>
        <v>0</v>
      </c>
      <c r="AX437" s="1793">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5"/>
      <c r="AV438" s="1793">
        <f t="shared" si="243"/>
        <v>0</v>
      </c>
      <c r="AW438" s="1793">
        <f t="shared" si="244"/>
        <v>0</v>
      </c>
      <c r="AX438" s="1793">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5"/>
      <c r="AV439" s="1793">
        <f t="shared" si="243"/>
        <v>0</v>
      </c>
      <c r="AW439" s="1793">
        <f t="shared" si="244"/>
        <v>0</v>
      </c>
      <c r="AX439" s="1793">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5"/>
      <c r="AV440" s="1793">
        <f t="shared" si="243"/>
        <v>0</v>
      </c>
      <c r="AW440" s="1793">
        <f t="shared" si="244"/>
        <v>0</v>
      </c>
      <c r="AX440" s="1793">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5"/>
      <c r="AV441" s="1793">
        <f t="shared" si="243"/>
        <v>0</v>
      </c>
      <c r="AW441" s="1793">
        <f t="shared" si="244"/>
        <v>0</v>
      </c>
      <c r="AX441" s="1793">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5"/>
      <c r="AV442" s="1793">
        <f t="shared" si="243"/>
        <v>0</v>
      </c>
      <c r="AW442" s="1793">
        <f t="shared" si="244"/>
        <v>0</v>
      </c>
      <c r="AX442" s="1793">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5"/>
      <c r="AV443" s="1793">
        <f t="shared" si="243"/>
        <v>0</v>
      </c>
      <c r="AW443" s="1793">
        <f t="shared" si="244"/>
        <v>0</v>
      </c>
      <c r="AX443" s="1793">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5"/>
      <c r="AV444" s="1793">
        <f t="shared" si="243"/>
        <v>0</v>
      </c>
      <c r="AW444" s="1793">
        <f t="shared" si="244"/>
        <v>0</v>
      </c>
      <c r="AX444" s="1793">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5"/>
      <c r="AV445" s="1793">
        <f t="shared" si="243"/>
        <v>0</v>
      </c>
      <c r="AW445" s="1793">
        <f t="shared" si="244"/>
        <v>0</v>
      </c>
      <c r="AX445" s="1793">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5"/>
      <c r="AV446" s="1793">
        <f t="shared" si="243"/>
        <v>0</v>
      </c>
      <c r="AW446" s="1793">
        <f t="shared" si="244"/>
        <v>0</v>
      </c>
      <c r="AX446" s="1793">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5"/>
      <c r="AV447" s="1793">
        <f t="shared" si="243"/>
        <v>0</v>
      </c>
      <c r="AW447" s="1793">
        <f t="shared" si="244"/>
        <v>0</v>
      </c>
      <c r="AX447" s="1793">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5"/>
      <c r="AV448" s="1793">
        <f t="shared" si="243"/>
        <v>0</v>
      </c>
      <c r="AW448" s="1793">
        <f t="shared" si="244"/>
        <v>0</v>
      </c>
      <c r="AX448" s="1793">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5"/>
      <c r="AV449" s="1793">
        <f t="shared" si="243"/>
        <v>0</v>
      </c>
      <c r="AW449" s="1793">
        <f t="shared" si="244"/>
        <v>0</v>
      </c>
      <c r="AX449" s="1793">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5"/>
      <c r="AV450" s="1793">
        <f t="shared" si="243"/>
        <v>0</v>
      </c>
      <c r="AW450" s="1793">
        <f t="shared" si="244"/>
        <v>0</v>
      </c>
      <c r="AX450" s="1793">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5"/>
      <c r="AV451" s="1793">
        <f t="shared" si="243"/>
        <v>0</v>
      </c>
      <c r="AW451" s="1793">
        <f t="shared" si="244"/>
        <v>0</v>
      </c>
      <c r="AX451" s="1793">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5"/>
      <c r="AV452" s="1793">
        <f t="shared" si="243"/>
        <v>0</v>
      </c>
      <c r="AW452" s="1793">
        <f t="shared" si="244"/>
        <v>0</v>
      </c>
      <c r="AX452" s="1793">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5"/>
      <c r="AV453" s="1793">
        <f t="shared" si="243"/>
        <v>0</v>
      </c>
      <c r="AW453" s="1793">
        <f t="shared" si="244"/>
        <v>0</v>
      </c>
      <c r="AX453" s="1793">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5"/>
      <c r="AV454" s="1793">
        <f t="shared" si="243"/>
        <v>0</v>
      </c>
      <c r="AW454" s="1793">
        <f t="shared" si="244"/>
        <v>0</v>
      </c>
      <c r="AX454" s="1793">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5"/>
      <c r="AV455" s="1793">
        <f t="shared" si="243"/>
        <v>0</v>
      </c>
      <c r="AW455" s="1793">
        <f t="shared" si="244"/>
        <v>0</v>
      </c>
      <c r="AX455" s="1793">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5"/>
      <c r="AV456" s="1793">
        <f t="shared" si="243"/>
        <v>0</v>
      </c>
      <c r="AW456" s="1793">
        <f t="shared" si="244"/>
        <v>0</v>
      </c>
      <c r="AX456" s="1793">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5"/>
      <c r="AV457" s="1793">
        <f t="shared" si="243"/>
        <v>0</v>
      </c>
      <c r="AW457" s="1793">
        <f t="shared" si="244"/>
        <v>0</v>
      </c>
      <c r="AX457" s="1793">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5"/>
      <c r="AV458" s="1793">
        <f t="shared" si="243"/>
        <v>0</v>
      </c>
      <c r="AW458" s="1793">
        <f t="shared" si="244"/>
        <v>0</v>
      </c>
      <c r="AX458" s="1793">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5"/>
      <c r="AV459" s="1793">
        <f t="shared" si="243"/>
        <v>0</v>
      </c>
      <c r="AW459" s="1793">
        <f t="shared" si="244"/>
        <v>0</v>
      </c>
      <c r="AX459" s="1793">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5"/>
      <c r="AV460" s="1793">
        <f t="shared" si="243"/>
        <v>0</v>
      </c>
      <c r="AW460" s="1793">
        <f t="shared" si="244"/>
        <v>0</v>
      </c>
      <c r="AX460" s="1793">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5"/>
      <c r="AV461" s="1793">
        <f t="shared" si="243"/>
        <v>0</v>
      </c>
      <c r="AW461" s="1793">
        <f t="shared" si="244"/>
        <v>0</v>
      </c>
      <c r="AX461" s="1793">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5"/>
      <c r="AV462" s="1793">
        <f t="shared" si="243"/>
        <v>0</v>
      </c>
      <c r="AW462" s="1793">
        <f t="shared" si="244"/>
        <v>0</v>
      </c>
      <c r="AX462" s="1793">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5"/>
      <c r="AV463" s="1793">
        <f t="shared" si="243"/>
        <v>0</v>
      </c>
      <c r="AW463" s="1793">
        <f t="shared" si="244"/>
        <v>0</v>
      </c>
      <c r="AX463" s="1793">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5"/>
      <c r="AV464" s="1793">
        <f t="shared" si="243"/>
        <v>0</v>
      </c>
      <c r="AW464" s="1793">
        <f t="shared" si="244"/>
        <v>0</v>
      </c>
      <c r="AX464" s="1793">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5"/>
      <c r="AV465" s="1793">
        <f t="shared" si="243"/>
        <v>0</v>
      </c>
      <c r="AW465" s="1793">
        <f t="shared" si="244"/>
        <v>0</v>
      </c>
      <c r="AX465" s="1793">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5"/>
      <c r="AV466" s="1793">
        <f t="shared" si="243"/>
        <v>0</v>
      </c>
      <c r="AW466" s="1793">
        <f t="shared" si="244"/>
        <v>0</v>
      </c>
      <c r="AX466" s="1793">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5"/>
      <c r="AV467" s="1793">
        <f t="shared" si="243"/>
        <v>0</v>
      </c>
      <c r="AW467" s="1793">
        <f t="shared" si="244"/>
        <v>0</v>
      </c>
      <c r="AX467" s="1793">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5"/>
      <c r="AV468" s="1793">
        <f t="shared" si="243"/>
        <v>0</v>
      </c>
      <c r="AW468" s="1793">
        <f t="shared" si="244"/>
        <v>0</v>
      </c>
      <c r="AX468" s="1793">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5"/>
      <c r="AV469" s="1793">
        <f t="shared" si="243"/>
        <v>0</v>
      </c>
      <c r="AW469" s="1793">
        <f t="shared" si="244"/>
        <v>0</v>
      </c>
      <c r="AX469" s="1793">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5"/>
      <c r="AV470" s="1793">
        <f t="shared" si="243"/>
        <v>0</v>
      </c>
      <c r="AW470" s="1793">
        <f t="shared" si="244"/>
        <v>0</v>
      </c>
      <c r="AX470" s="1793">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5"/>
      <c r="AV471" s="1793">
        <f t="shared" si="243"/>
        <v>0</v>
      </c>
      <c r="AW471" s="1793">
        <f t="shared" si="244"/>
        <v>0</v>
      </c>
      <c r="AX471" s="1793">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5"/>
      <c r="AV472" s="1793">
        <f t="shared" si="243"/>
        <v>0</v>
      </c>
      <c r="AW472" s="1793">
        <f t="shared" si="244"/>
        <v>0</v>
      </c>
      <c r="AX472" s="1793">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5"/>
      <c r="AV473" s="1793">
        <f t="shared" si="243"/>
        <v>0</v>
      </c>
      <c r="AW473" s="1793">
        <f t="shared" si="244"/>
        <v>0</v>
      </c>
      <c r="AX473" s="1793">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5"/>
      <c r="AV474" s="1793">
        <f t="shared" si="243"/>
        <v>0</v>
      </c>
      <c r="AW474" s="1793">
        <f t="shared" si="244"/>
        <v>0</v>
      </c>
      <c r="AX474" s="1793">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5"/>
      <c r="AV475" s="1793">
        <f t="shared" si="243"/>
        <v>0</v>
      </c>
      <c r="AW475" s="1793">
        <f t="shared" si="244"/>
        <v>0</v>
      </c>
      <c r="AX475" s="1793">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5"/>
      <c r="AV476" s="1793">
        <f t="shared" si="243"/>
        <v>0</v>
      </c>
      <c r="AW476" s="1793">
        <f t="shared" si="244"/>
        <v>0</v>
      </c>
      <c r="AX476" s="1793">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5"/>
      <c r="AV477" s="1793">
        <f t="shared" si="243"/>
        <v>0</v>
      </c>
      <c r="AW477" s="1793">
        <f t="shared" si="244"/>
        <v>0</v>
      </c>
      <c r="AX477" s="1793">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5"/>
      <c r="AV478" s="1793">
        <f t="shared" si="243"/>
        <v>0</v>
      </c>
      <c r="AW478" s="1793">
        <f t="shared" si="244"/>
        <v>0</v>
      </c>
      <c r="AX478" s="1793">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5"/>
      <c r="AV479" s="1793">
        <f t="shared" si="243"/>
        <v>0</v>
      </c>
      <c r="AW479" s="1793">
        <f t="shared" si="244"/>
        <v>0</v>
      </c>
      <c r="AX479" s="1793">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5"/>
      <c r="AV480" s="1793">
        <f t="shared" si="243"/>
        <v>0</v>
      </c>
      <c r="AW480" s="1793">
        <f t="shared" si="244"/>
        <v>0</v>
      </c>
      <c r="AX480" s="1793">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5"/>
      <c r="AV481" s="1793">
        <f t="shared" si="243"/>
        <v>0</v>
      </c>
      <c r="AW481" s="1793">
        <f t="shared" si="244"/>
        <v>0</v>
      </c>
      <c r="AX481" s="1793">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5"/>
      <c r="AV482" s="1793">
        <f t="shared" si="243"/>
        <v>0</v>
      </c>
      <c r="AW482" s="1793">
        <f t="shared" si="244"/>
        <v>0</v>
      </c>
      <c r="AX482" s="1793">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5"/>
      <c r="AV483" s="1793">
        <f t="shared" si="243"/>
        <v>0</v>
      </c>
      <c r="AW483" s="1793">
        <f t="shared" si="244"/>
        <v>0</v>
      </c>
      <c r="AX483" s="1793">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5"/>
      <c r="AV484" s="1793">
        <f t="shared" si="243"/>
        <v>0</v>
      </c>
      <c r="AW484" s="1793">
        <f t="shared" si="244"/>
        <v>0</v>
      </c>
      <c r="AX484" s="1793">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5"/>
      <c r="AV485" s="1793">
        <f t="shared" si="243"/>
        <v>0</v>
      </c>
      <c r="AW485" s="1793">
        <f t="shared" si="244"/>
        <v>0</v>
      </c>
      <c r="AX485" s="1793">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5"/>
      <c r="AV486" s="1793">
        <f t="shared" si="243"/>
        <v>0</v>
      </c>
      <c r="AW486" s="1793">
        <f t="shared" si="244"/>
        <v>0</v>
      </c>
      <c r="AX486" s="1793">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5"/>
      <c r="AV487" s="1793">
        <f t="shared" si="243"/>
        <v>0</v>
      </c>
      <c r="AW487" s="1793">
        <f t="shared" si="244"/>
        <v>0</v>
      </c>
      <c r="AX487" s="1793">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5"/>
      <c r="AV488" s="1793">
        <f t="shared" si="243"/>
        <v>0</v>
      </c>
      <c r="AW488" s="1793">
        <f t="shared" si="244"/>
        <v>0</v>
      </c>
      <c r="AX488" s="1793">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5"/>
      <c r="AV489" s="1793">
        <f t="shared" si="243"/>
        <v>0</v>
      </c>
      <c r="AW489" s="1793">
        <f t="shared" si="244"/>
        <v>0</v>
      </c>
      <c r="AX489" s="1793">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0"/>
      <c r="AV490" s="1793">
        <f t="shared" si="243"/>
        <v>0</v>
      </c>
      <c r="AW490" s="1793">
        <f t="shared" si="244"/>
        <v>0</v>
      </c>
      <c r="AX490" s="1793">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0"/>
      <c r="AV491" s="1793">
        <f t="shared" si="243"/>
        <v>0</v>
      </c>
      <c r="AW491" s="1793">
        <f t="shared" si="244"/>
        <v>0</v>
      </c>
      <c r="AX491" s="1793">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0"/>
      <c r="AV492" s="1793">
        <f t="shared" si="243"/>
        <v>0</v>
      </c>
      <c r="AW492" s="1793">
        <f t="shared" si="244"/>
        <v>0</v>
      </c>
      <c r="AX492" s="1793">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5"/>
      <c r="AV493" s="1793">
        <f t="shared" ref="AV493:AV520" si="294">A493</f>
        <v>0</v>
      </c>
      <c r="AW493" s="1793">
        <f t="shared" ref="AW493:AW520" si="295">B493</f>
        <v>0</v>
      </c>
      <c r="AX493" s="1793">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5"/>
      <c r="AV494" s="1793">
        <f t="shared" si="294"/>
        <v>0</v>
      </c>
      <c r="AW494" s="1793">
        <f t="shared" si="295"/>
        <v>0</v>
      </c>
      <c r="AX494" s="1793">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5"/>
      <c r="AV495" s="1793">
        <f t="shared" si="294"/>
        <v>0</v>
      </c>
      <c r="AW495" s="1793">
        <f t="shared" si="295"/>
        <v>0</v>
      </c>
      <c r="AX495" s="1793">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5"/>
      <c r="AV496" s="1793">
        <f t="shared" si="294"/>
        <v>0</v>
      </c>
      <c r="AW496" s="1793">
        <f t="shared" si="295"/>
        <v>0</v>
      </c>
      <c r="AX496" s="1793">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5"/>
      <c r="AV497" s="1793">
        <f t="shared" si="294"/>
        <v>0</v>
      </c>
      <c r="AW497" s="1793">
        <f t="shared" si="295"/>
        <v>0</v>
      </c>
      <c r="AX497" s="1793">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5"/>
      <c r="AV498" s="1793">
        <f t="shared" si="294"/>
        <v>0</v>
      </c>
      <c r="AW498" s="1793">
        <f t="shared" si="295"/>
        <v>0</v>
      </c>
      <c r="AX498" s="1793">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5"/>
      <c r="AV499" s="1793">
        <f t="shared" si="294"/>
        <v>0</v>
      </c>
      <c r="AW499" s="1793">
        <f t="shared" si="295"/>
        <v>0</v>
      </c>
      <c r="AX499" s="1793">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5"/>
      <c r="AV500" s="1793">
        <f t="shared" si="294"/>
        <v>0</v>
      </c>
      <c r="AW500" s="1793">
        <f t="shared" si="295"/>
        <v>0</v>
      </c>
      <c r="AX500" s="1793">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5"/>
      <c r="AV501" s="1793">
        <f t="shared" si="294"/>
        <v>0</v>
      </c>
      <c r="AW501" s="1793">
        <f t="shared" si="295"/>
        <v>0</v>
      </c>
      <c r="AX501" s="1793">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5"/>
      <c r="AV502" s="1793">
        <f t="shared" si="294"/>
        <v>0</v>
      </c>
      <c r="AW502" s="1793">
        <f t="shared" si="295"/>
        <v>0</v>
      </c>
      <c r="AX502" s="1793">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5"/>
      <c r="AV503" s="1793">
        <f t="shared" si="294"/>
        <v>0</v>
      </c>
      <c r="AW503" s="1793">
        <f t="shared" si="295"/>
        <v>0</v>
      </c>
      <c r="AX503" s="1793">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5"/>
      <c r="AV504" s="1793">
        <f t="shared" si="294"/>
        <v>0</v>
      </c>
      <c r="AW504" s="1793">
        <f t="shared" si="295"/>
        <v>0</v>
      </c>
      <c r="AX504" s="1793">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5"/>
      <c r="AV505" s="1793">
        <f t="shared" si="294"/>
        <v>0</v>
      </c>
      <c r="AW505" s="1793">
        <f t="shared" si="295"/>
        <v>0</v>
      </c>
      <c r="AX505" s="1793">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5"/>
      <c r="AV506" s="1793">
        <f t="shared" si="294"/>
        <v>0</v>
      </c>
      <c r="AW506" s="1793">
        <f t="shared" si="295"/>
        <v>0</v>
      </c>
      <c r="AX506" s="1793">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5"/>
      <c r="AV507" s="1793">
        <f t="shared" si="294"/>
        <v>0</v>
      </c>
      <c r="AW507" s="1793">
        <f t="shared" si="295"/>
        <v>0</v>
      </c>
      <c r="AX507" s="1793">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5"/>
      <c r="AV508" s="1793">
        <f t="shared" si="294"/>
        <v>0</v>
      </c>
      <c r="AW508" s="1793">
        <f t="shared" si="295"/>
        <v>0</v>
      </c>
      <c r="AX508" s="1793">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5"/>
      <c r="AV509" s="1793">
        <f t="shared" si="294"/>
        <v>0</v>
      </c>
      <c r="AW509" s="1793">
        <f t="shared" si="295"/>
        <v>0</v>
      </c>
      <c r="AX509" s="1793">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5"/>
      <c r="AV510" s="1793">
        <f t="shared" si="294"/>
        <v>0</v>
      </c>
      <c r="AW510" s="1793">
        <f t="shared" si="295"/>
        <v>0</v>
      </c>
      <c r="AX510" s="1793">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5"/>
      <c r="AV511" s="1793">
        <f t="shared" si="294"/>
        <v>0</v>
      </c>
      <c r="AW511" s="1793">
        <f t="shared" si="295"/>
        <v>0</v>
      </c>
      <c r="AX511" s="1793">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5"/>
      <c r="AV512" s="1793">
        <f t="shared" si="294"/>
        <v>0</v>
      </c>
      <c r="AW512" s="1793">
        <f t="shared" si="295"/>
        <v>0</v>
      </c>
      <c r="AX512" s="1793">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5"/>
      <c r="AV513" s="1793">
        <f t="shared" si="294"/>
        <v>0</v>
      </c>
      <c r="AW513" s="1793">
        <f t="shared" si="295"/>
        <v>0</v>
      </c>
      <c r="AX513" s="1793">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5"/>
      <c r="AV514" s="1793">
        <f t="shared" si="294"/>
        <v>0</v>
      </c>
      <c r="AW514" s="1793">
        <f t="shared" si="295"/>
        <v>0</v>
      </c>
      <c r="AX514" s="1793">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5"/>
      <c r="AV515" s="1793">
        <f t="shared" si="294"/>
        <v>0</v>
      </c>
      <c r="AW515" s="1793">
        <f t="shared" si="295"/>
        <v>0</v>
      </c>
      <c r="AX515" s="1793">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5"/>
      <c r="AV516" s="1793">
        <f t="shared" si="294"/>
        <v>0</v>
      </c>
      <c r="AW516" s="1793">
        <f t="shared" si="295"/>
        <v>0</v>
      </c>
      <c r="AX516" s="1793">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5"/>
      <c r="AV517" s="1793">
        <f t="shared" si="294"/>
        <v>0</v>
      </c>
      <c r="AW517" s="1793">
        <f t="shared" si="295"/>
        <v>0</v>
      </c>
      <c r="AX517" s="1793">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5"/>
      <c r="AV518" s="1793">
        <f t="shared" si="294"/>
        <v>0</v>
      </c>
      <c r="AW518" s="1793">
        <f t="shared" si="295"/>
        <v>0</v>
      </c>
      <c r="AX518" s="1793">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5"/>
      <c r="AV519" s="1793">
        <f t="shared" si="294"/>
        <v>0</v>
      </c>
      <c r="AW519" s="1793">
        <f t="shared" si="295"/>
        <v>0</v>
      </c>
      <c r="AX519" s="1793">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5"/>
      <c r="AV520" s="1793">
        <f t="shared" si="294"/>
        <v>0</v>
      </c>
      <c r="AW520" s="1793">
        <f t="shared" si="295"/>
        <v>0</v>
      </c>
      <c r="AX520" s="1793">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5"/>
      <c r="AV521" s="1793">
        <f t="shared" ref="AV521:AV552" si="298">A521</f>
        <v>0</v>
      </c>
      <c r="AW521" s="1793">
        <f t="shared" ref="AW521:AW552" si="299">B521</f>
        <v>0</v>
      </c>
      <c r="AX521" s="1793">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5"/>
      <c r="AV522" s="1793">
        <f t="shared" si="298"/>
        <v>0</v>
      </c>
      <c r="AW522" s="1793">
        <f t="shared" si="299"/>
        <v>0</v>
      </c>
      <c r="AX522" s="1793">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5"/>
      <c r="AV523" s="1793">
        <f t="shared" si="298"/>
        <v>0</v>
      </c>
      <c r="AW523" s="1793">
        <f t="shared" si="299"/>
        <v>0</v>
      </c>
      <c r="AX523" s="1793">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5"/>
      <c r="AV524" s="1793">
        <f t="shared" si="298"/>
        <v>0</v>
      </c>
      <c r="AW524" s="1793">
        <f t="shared" si="299"/>
        <v>0</v>
      </c>
      <c r="AX524" s="1793">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5"/>
      <c r="AV525" s="1793">
        <f t="shared" si="298"/>
        <v>0</v>
      </c>
      <c r="AW525" s="1793">
        <f t="shared" si="299"/>
        <v>0</v>
      </c>
      <c r="AX525" s="1793">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5"/>
      <c r="AV526" s="1793">
        <f t="shared" si="298"/>
        <v>0</v>
      </c>
      <c r="AW526" s="1793">
        <f t="shared" si="299"/>
        <v>0</v>
      </c>
      <c r="AX526" s="1793">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5"/>
      <c r="AV527" s="1793">
        <f t="shared" si="298"/>
        <v>0</v>
      </c>
      <c r="AW527" s="1793">
        <f t="shared" si="299"/>
        <v>0</v>
      </c>
      <c r="AX527" s="1793">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5"/>
      <c r="AV528" s="1793">
        <f t="shared" si="298"/>
        <v>0</v>
      </c>
      <c r="AW528" s="1793">
        <f t="shared" si="299"/>
        <v>0</v>
      </c>
      <c r="AX528" s="1793">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5"/>
      <c r="AV529" s="1793">
        <f t="shared" si="298"/>
        <v>0</v>
      </c>
      <c r="AW529" s="1793">
        <f t="shared" si="299"/>
        <v>0</v>
      </c>
      <c r="AX529" s="1793">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5"/>
      <c r="AV530" s="1793">
        <f t="shared" si="298"/>
        <v>0</v>
      </c>
      <c r="AW530" s="1793">
        <f t="shared" si="299"/>
        <v>0</v>
      </c>
      <c r="AX530" s="1793">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5"/>
      <c r="AV531" s="1793">
        <f t="shared" si="298"/>
        <v>0</v>
      </c>
      <c r="AW531" s="1793">
        <f t="shared" si="299"/>
        <v>0</v>
      </c>
      <c r="AX531" s="1793">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5"/>
      <c r="AV532" s="1793">
        <f t="shared" si="298"/>
        <v>0</v>
      </c>
      <c r="AW532" s="1793">
        <f t="shared" si="299"/>
        <v>0</v>
      </c>
      <c r="AX532" s="1793">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5"/>
      <c r="AV533" s="1793">
        <f t="shared" si="298"/>
        <v>0</v>
      </c>
      <c r="AW533" s="1793">
        <f t="shared" si="299"/>
        <v>0</v>
      </c>
      <c r="AX533" s="1793">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5"/>
      <c r="AV534" s="1793">
        <f t="shared" si="298"/>
        <v>0</v>
      </c>
      <c r="AW534" s="1793">
        <f t="shared" si="299"/>
        <v>0</v>
      </c>
      <c r="AX534" s="1793">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5"/>
      <c r="AV535" s="1793">
        <f t="shared" si="298"/>
        <v>0</v>
      </c>
      <c r="AW535" s="1793">
        <f t="shared" si="299"/>
        <v>0</v>
      </c>
      <c r="AX535" s="1793">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5"/>
      <c r="AV536" s="1793">
        <f t="shared" si="298"/>
        <v>0</v>
      </c>
      <c r="AW536" s="1793">
        <f t="shared" si="299"/>
        <v>0</v>
      </c>
      <c r="AX536" s="1793">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5"/>
      <c r="AV537" s="1793">
        <f t="shared" si="298"/>
        <v>0</v>
      </c>
      <c r="AW537" s="1793">
        <f t="shared" si="299"/>
        <v>0</v>
      </c>
      <c r="AX537" s="1793">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5"/>
      <c r="AV538" s="1793">
        <f t="shared" si="298"/>
        <v>0</v>
      </c>
      <c r="AW538" s="1793">
        <f t="shared" si="299"/>
        <v>0</v>
      </c>
      <c r="AX538" s="1793">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5"/>
      <c r="AV539" s="1793">
        <f t="shared" si="298"/>
        <v>0</v>
      </c>
      <c r="AW539" s="1793">
        <f t="shared" si="299"/>
        <v>0</v>
      </c>
      <c r="AX539" s="1793">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5"/>
      <c r="AV540" s="1793">
        <f t="shared" si="298"/>
        <v>0</v>
      </c>
      <c r="AW540" s="1793">
        <f t="shared" si="299"/>
        <v>0</v>
      </c>
      <c r="AX540" s="1793">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5"/>
      <c r="AV541" s="1793">
        <f t="shared" si="298"/>
        <v>0</v>
      </c>
      <c r="AW541" s="1793">
        <f t="shared" si="299"/>
        <v>0</v>
      </c>
      <c r="AX541" s="1793">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5"/>
      <c r="AV542" s="1793">
        <f t="shared" si="298"/>
        <v>0</v>
      </c>
      <c r="AW542" s="1793">
        <f t="shared" si="299"/>
        <v>0</v>
      </c>
      <c r="AX542" s="1793">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5"/>
      <c r="AV543" s="1793">
        <f t="shared" si="298"/>
        <v>0</v>
      </c>
      <c r="AW543" s="1793">
        <f t="shared" si="299"/>
        <v>0</v>
      </c>
      <c r="AX543" s="1793">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5"/>
      <c r="AV544" s="1793">
        <f t="shared" si="298"/>
        <v>0</v>
      </c>
      <c r="AW544" s="1793">
        <f t="shared" si="299"/>
        <v>0</v>
      </c>
      <c r="AX544" s="1793">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5"/>
      <c r="AV545" s="1793">
        <f t="shared" si="298"/>
        <v>0</v>
      </c>
      <c r="AW545" s="1793">
        <f t="shared" si="299"/>
        <v>0</v>
      </c>
      <c r="AX545" s="1793">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5"/>
      <c r="AV546" s="1793">
        <f t="shared" si="298"/>
        <v>0</v>
      </c>
      <c r="AW546" s="1793">
        <f t="shared" si="299"/>
        <v>0</v>
      </c>
      <c r="AX546" s="1793">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5"/>
      <c r="AV547" s="1793">
        <f t="shared" si="298"/>
        <v>0</v>
      </c>
      <c r="AW547" s="1793">
        <f t="shared" si="299"/>
        <v>0</v>
      </c>
      <c r="AX547" s="1793">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5"/>
      <c r="AV548" s="1793">
        <f t="shared" si="298"/>
        <v>0</v>
      </c>
      <c r="AW548" s="1793">
        <f t="shared" si="299"/>
        <v>0</v>
      </c>
      <c r="AX548" s="1793">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5"/>
      <c r="AV549" s="1793">
        <f t="shared" si="298"/>
        <v>0</v>
      </c>
      <c r="AW549" s="1793">
        <f t="shared" si="299"/>
        <v>0</v>
      </c>
      <c r="AX549" s="1793">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5"/>
      <c r="AV550" s="1793">
        <f t="shared" si="298"/>
        <v>0</v>
      </c>
      <c r="AW550" s="1793">
        <f t="shared" si="299"/>
        <v>0</v>
      </c>
      <c r="AX550" s="1793">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5"/>
      <c r="AV551" s="1793">
        <f t="shared" si="298"/>
        <v>0</v>
      </c>
      <c r="AW551" s="1793">
        <f t="shared" si="299"/>
        <v>0</v>
      </c>
      <c r="AX551" s="1793">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5"/>
      <c r="AV552" s="1793">
        <f t="shared" si="298"/>
        <v>0</v>
      </c>
      <c r="AW552" s="1793">
        <f t="shared" si="299"/>
        <v>0</v>
      </c>
      <c r="AX552" s="1793">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5"/>
      <c r="AV553" s="1793">
        <f t="shared" ref="AV553:AV587" si="330">A553</f>
        <v>0</v>
      </c>
      <c r="AW553" s="1793">
        <f t="shared" ref="AW553:AW587" si="331">B553</f>
        <v>0</v>
      </c>
      <c r="AX553" s="1793">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5"/>
      <c r="AV554" s="1793">
        <f t="shared" si="330"/>
        <v>0</v>
      </c>
      <c r="AW554" s="1793">
        <f t="shared" si="331"/>
        <v>0</v>
      </c>
      <c r="AX554" s="1793">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5"/>
      <c r="AV555" s="1793">
        <f t="shared" si="330"/>
        <v>0</v>
      </c>
      <c r="AW555" s="1793">
        <f t="shared" si="331"/>
        <v>0</v>
      </c>
      <c r="AX555" s="1793">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5"/>
      <c r="AV556" s="1793">
        <f t="shared" si="330"/>
        <v>0</v>
      </c>
      <c r="AW556" s="1793">
        <f t="shared" si="331"/>
        <v>0</v>
      </c>
      <c r="AX556" s="1793">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5"/>
      <c r="AV557" s="1793">
        <f t="shared" si="330"/>
        <v>0</v>
      </c>
      <c r="AW557" s="1793">
        <f t="shared" si="331"/>
        <v>0</v>
      </c>
      <c r="AX557" s="1793">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5"/>
      <c r="AV558" s="1793">
        <f t="shared" si="330"/>
        <v>0</v>
      </c>
      <c r="AW558" s="1793">
        <f t="shared" si="331"/>
        <v>0</v>
      </c>
      <c r="AX558" s="1793">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5"/>
      <c r="AV559" s="1793">
        <f t="shared" si="330"/>
        <v>0</v>
      </c>
      <c r="AW559" s="1793">
        <f t="shared" si="331"/>
        <v>0</v>
      </c>
      <c r="AX559" s="1793">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5"/>
      <c r="AV560" s="1793">
        <f t="shared" si="330"/>
        <v>0</v>
      </c>
      <c r="AW560" s="1793">
        <f t="shared" si="331"/>
        <v>0</v>
      </c>
      <c r="AX560" s="1793">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5"/>
      <c r="AV561" s="1793">
        <f t="shared" si="330"/>
        <v>0</v>
      </c>
      <c r="AW561" s="1793">
        <f t="shared" si="331"/>
        <v>0</v>
      </c>
      <c r="AX561" s="1793">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5"/>
      <c r="AV562" s="1793">
        <f t="shared" si="330"/>
        <v>0</v>
      </c>
      <c r="AW562" s="1793">
        <f t="shared" si="331"/>
        <v>0</v>
      </c>
      <c r="AX562" s="1793">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5"/>
      <c r="AV563" s="1793">
        <f t="shared" si="330"/>
        <v>0</v>
      </c>
      <c r="AW563" s="1793">
        <f t="shared" si="331"/>
        <v>0</v>
      </c>
      <c r="AX563" s="1793">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5"/>
      <c r="AV564" s="1793">
        <f t="shared" si="330"/>
        <v>0</v>
      </c>
      <c r="AW564" s="1793">
        <f t="shared" si="331"/>
        <v>0</v>
      </c>
      <c r="AX564" s="1793">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5"/>
      <c r="AV565" s="1793">
        <f t="shared" si="330"/>
        <v>0</v>
      </c>
      <c r="AW565" s="1793">
        <f t="shared" si="331"/>
        <v>0</v>
      </c>
      <c r="AX565" s="1793">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5"/>
      <c r="AV566" s="1793">
        <f t="shared" si="330"/>
        <v>0</v>
      </c>
      <c r="AW566" s="1793">
        <f t="shared" si="331"/>
        <v>0</v>
      </c>
      <c r="AX566" s="1793">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5"/>
      <c r="AV567" s="1793">
        <f t="shared" si="330"/>
        <v>0</v>
      </c>
      <c r="AW567" s="1793">
        <f t="shared" si="331"/>
        <v>0</v>
      </c>
      <c r="AX567" s="1793">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5"/>
      <c r="AV568" s="1793">
        <f t="shared" si="330"/>
        <v>0</v>
      </c>
      <c r="AW568" s="1793">
        <f t="shared" si="331"/>
        <v>0</v>
      </c>
      <c r="AX568" s="1793">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5"/>
      <c r="AV569" s="1793">
        <f t="shared" si="330"/>
        <v>0</v>
      </c>
      <c r="AW569" s="1793">
        <f t="shared" si="331"/>
        <v>0</v>
      </c>
      <c r="AX569" s="1793">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5"/>
      <c r="AV570" s="1793">
        <f t="shared" si="330"/>
        <v>0</v>
      </c>
      <c r="AW570" s="1793">
        <f t="shared" si="331"/>
        <v>0</v>
      </c>
      <c r="AX570" s="1793">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5"/>
      <c r="AV571" s="1793">
        <f t="shared" si="330"/>
        <v>0</v>
      </c>
      <c r="AW571" s="1793">
        <f t="shared" si="331"/>
        <v>0</v>
      </c>
      <c r="AX571" s="1793">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5"/>
      <c r="AV572" s="1793">
        <f t="shared" si="330"/>
        <v>0</v>
      </c>
      <c r="AW572" s="1793">
        <f t="shared" si="331"/>
        <v>0</v>
      </c>
      <c r="AX572" s="1793">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5"/>
      <c r="AV573" s="1793">
        <f t="shared" si="330"/>
        <v>0</v>
      </c>
      <c r="AW573" s="1793">
        <f t="shared" si="331"/>
        <v>0</v>
      </c>
      <c r="AX573" s="1793">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5"/>
      <c r="AV574" s="1793">
        <f t="shared" si="330"/>
        <v>0</v>
      </c>
      <c r="AW574" s="1793">
        <f t="shared" si="331"/>
        <v>0</v>
      </c>
      <c r="AX574" s="1793">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5"/>
      <c r="AV575" s="1793">
        <f t="shared" si="330"/>
        <v>0</v>
      </c>
      <c r="AW575" s="1793">
        <f t="shared" si="331"/>
        <v>0</v>
      </c>
      <c r="AX575" s="1793">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5"/>
      <c r="AV576" s="1793">
        <f t="shared" si="330"/>
        <v>0</v>
      </c>
      <c r="AW576" s="1793">
        <f t="shared" si="331"/>
        <v>0</v>
      </c>
      <c r="AX576" s="1793">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5"/>
      <c r="AV577" s="1793">
        <f t="shared" si="330"/>
        <v>0</v>
      </c>
      <c r="AW577" s="1793">
        <f t="shared" si="331"/>
        <v>0</v>
      </c>
      <c r="AX577" s="1793">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5"/>
      <c r="AV578" s="1793">
        <f t="shared" si="330"/>
        <v>0</v>
      </c>
      <c r="AW578" s="1793">
        <f t="shared" si="331"/>
        <v>0</v>
      </c>
      <c r="AX578" s="1793">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5"/>
      <c r="AV579" s="1793">
        <f t="shared" si="330"/>
        <v>0</v>
      </c>
      <c r="AW579" s="1793">
        <f t="shared" si="331"/>
        <v>0</v>
      </c>
      <c r="AX579" s="1793">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5"/>
      <c r="AV580" s="1793">
        <f t="shared" si="330"/>
        <v>0</v>
      </c>
      <c r="AW580" s="1793">
        <f t="shared" si="331"/>
        <v>0</v>
      </c>
      <c r="AX580" s="1793">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5"/>
      <c r="AV581" s="1793">
        <f t="shared" si="330"/>
        <v>0</v>
      </c>
      <c r="AW581" s="1793">
        <f t="shared" si="331"/>
        <v>0</v>
      </c>
      <c r="AX581" s="1793">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5"/>
      <c r="AV582" s="1793">
        <f t="shared" si="330"/>
        <v>0</v>
      </c>
      <c r="AW582" s="1793">
        <f t="shared" si="331"/>
        <v>0</v>
      </c>
      <c r="AX582" s="1793">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5"/>
      <c r="AV583" s="1793">
        <f t="shared" si="330"/>
        <v>0</v>
      </c>
      <c r="AW583" s="1793">
        <f t="shared" si="331"/>
        <v>0</v>
      </c>
      <c r="AX583" s="1793">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5"/>
      <c r="AV584" s="1793">
        <f t="shared" si="330"/>
        <v>0</v>
      </c>
      <c r="AW584" s="1793">
        <f t="shared" si="331"/>
        <v>0</v>
      </c>
      <c r="AX584" s="1793">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0"/>
      <c r="AV585" s="1793">
        <f t="shared" si="330"/>
        <v>0</v>
      </c>
      <c r="AW585" s="1793">
        <f t="shared" si="331"/>
        <v>0</v>
      </c>
      <c r="AX585" s="1793">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0"/>
      <c r="AV586" s="1793">
        <f t="shared" si="330"/>
        <v>0</v>
      </c>
      <c r="AW586" s="1793">
        <f t="shared" si="331"/>
        <v>0</v>
      </c>
      <c r="AX586" s="1793">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0"/>
      <c r="AV587" s="1793">
        <f t="shared" si="330"/>
        <v>0</v>
      </c>
      <c r="AW587" s="1793">
        <f t="shared" si="331"/>
        <v>0</v>
      </c>
      <c r="AX587" s="1793">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6" sqref="G36"/>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1935</v>
      </c>
      <c r="B1" s="1391"/>
      <c r="C1" s="1391"/>
      <c r="D1" s="1391"/>
      <c r="E1" s="1391"/>
      <c r="F1" s="1391"/>
      <c r="G1" s="1391"/>
      <c r="H1" s="1391"/>
      <c r="I1" s="1391"/>
      <c r="J1" s="1391"/>
      <c r="K1" s="1391"/>
      <c r="L1" s="1391"/>
      <c r="M1" s="1391"/>
      <c r="N1" s="1391"/>
      <c r="O1" s="1391"/>
      <c r="P1" s="1391"/>
    </row>
    <row r="2" spans="1:16" ht="15">
      <c r="A2" s="3063" t="s">
        <v>1936</v>
      </c>
      <c r="B2" s="3063"/>
      <c r="C2" s="3063"/>
      <c r="D2" s="969" t="s">
        <v>1912</v>
      </c>
      <c r="E2" s="2223" t="s">
        <v>1913</v>
      </c>
      <c r="F2" s="1391"/>
      <c r="G2" s="2224"/>
      <c r="H2" s="2225"/>
      <c r="I2" s="2226" t="s">
        <v>1937</v>
      </c>
      <c r="J2" s="1391"/>
      <c r="K2" s="1391"/>
      <c r="L2" s="1391"/>
      <c r="M2" s="1391"/>
      <c r="N2" s="1426"/>
      <c r="O2" s="1391"/>
      <c r="P2" s="1391"/>
    </row>
    <row r="3" spans="1:16" ht="15.75" thickBot="1">
      <c r="A3" s="3064" t="s">
        <v>1910</v>
      </c>
      <c r="B3" s="3064"/>
      <c r="C3" s="3064"/>
      <c r="D3" s="45">
        <f>'数据-基础表'!AY6</f>
        <v>927.85</v>
      </c>
      <c r="E3" s="45">
        <f>'数据-基础表'!AZ5</f>
        <v>8276.64</v>
      </c>
      <c r="F3" s="1391"/>
      <c r="G3" s="1398"/>
      <c r="H3" s="1247" t="s">
        <v>1911</v>
      </c>
      <c r="I3" s="54">
        <f>ROUND('数据-基础表'!B3/'数据-基础表'!A3,2)</f>
        <v>8.92</v>
      </c>
      <c r="J3" s="1391"/>
      <c r="K3" s="1391"/>
      <c r="L3" s="1391"/>
      <c r="M3" s="1391"/>
      <c r="N3" s="1426"/>
      <c r="O3" s="1391"/>
      <c r="P3" s="1391"/>
    </row>
    <row r="4" spans="1:16" ht="15">
      <c r="A4" s="3065"/>
      <c r="B4" s="3066"/>
      <c r="C4" s="3067"/>
      <c r="D4" s="2227" t="s">
        <v>1912</v>
      </c>
      <c r="E4" s="2228" t="s">
        <v>1913</v>
      </c>
      <c r="F4" s="1391"/>
      <c r="G4" s="2229" t="s">
        <v>1938</v>
      </c>
      <c r="H4" s="1247" t="s">
        <v>1918</v>
      </c>
      <c r="I4" s="54">
        <f>ROUND(SUMIF('数据-基础表'!I9:AS9,"地上",'数据-基础表'!I5:AS5)/'数据-基础表'!A3,2)</f>
        <v>8.92</v>
      </c>
      <c r="J4" s="1391"/>
      <c r="K4" s="1391"/>
      <c r="L4" s="1391"/>
      <c r="M4" s="1391"/>
      <c r="N4" s="1426"/>
      <c r="O4" s="1391"/>
      <c r="P4" s="1391"/>
    </row>
    <row r="5" spans="1:16">
      <c r="A5" s="46" t="s">
        <v>1914</v>
      </c>
      <c r="B5" s="3068" t="s">
        <v>1915</v>
      </c>
      <c r="C5" s="3068"/>
      <c r="D5" s="47">
        <f>ROUND($D$3*E5/$E$3,2)</f>
        <v>0</v>
      </c>
      <c r="E5" s="48">
        <f>SUMIF('数据-基础表'!$11:$11,"住宅",'数据-基础表'!$5:$5)</f>
        <v>0</v>
      </c>
      <c r="F5" s="1391"/>
      <c r="G5" s="1398"/>
      <c r="H5" s="1247" t="s">
        <v>1911</v>
      </c>
      <c r="I5" s="54">
        <f>ROUND(E31/D31,2)</f>
        <v>8.92</v>
      </c>
      <c r="J5" s="1391"/>
      <c r="K5" s="1391"/>
      <c r="L5" s="1391"/>
      <c r="M5" s="1391"/>
      <c r="N5" s="1391"/>
      <c r="O5" s="1391"/>
      <c r="P5" s="1391"/>
    </row>
    <row r="6" spans="1:16" ht="15" thickBot="1">
      <c r="A6" s="2230"/>
      <c r="B6" s="3068" t="s">
        <v>1916</v>
      </c>
      <c r="C6" s="3068"/>
      <c r="D6" s="47">
        <f>ROUND($D$3*E6/$E$3,2)</f>
        <v>927.85</v>
      </c>
      <c r="E6" s="48">
        <f>E3-E5</f>
        <v>8276.64</v>
      </c>
      <c r="F6" s="1391"/>
      <c r="G6" s="2231" t="s">
        <v>1917</v>
      </c>
      <c r="H6" s="1398" t="s">
        <v>1918</v>
      </c>
      <c r="I6" s="941">
        <f>ROUND(F31/D31,2)</f>
        <v>8.92</v>
      </c>
      <c r="J6" s="1391"/>
      <c r="K6" s="1391"/>
      <c r="L6" s="1391"/>
      <c r="M6" s="1391"/>
      <c r="N6" s="1391"/>
      <c r="O6" s="1391"/>
      <c r="P6" s="1391"/>
    </row>
    <row r="7" spans="1:16" ht="15">
      <c r="A7" s="3060"/>
      <c r="B7" s="3061"/>
      <c r="C7" s="3062"/>
      <c r="D7" s="2227" t="s">
        <v>1912</v>
      </c>
      <c r="E7" s="2232" t="s">
        <v>1919</v>
      </c>
      <c r="F7" s="1391"/>
      <c r="G7" s="2224" t="s">
        <v>1920</v>
      </c>
      <c r="H7" s="63"/>
      <c r="I7" s="419"/>
      <c r="J7" s="1391"/>
      <c r="K7" s="1391"/>
      <c r="L7" s="1391"/>
      <c r="M7" s="1391"/>
      <c r="N7" s="1391"/>
      <c r="O7" s="1391"/>
      <c r="P7" s="1391"/>
    </row>
    <row r="8" spans="1:16">
      <c r="A8" s="46" t="s">
        <v>1921</v>
      </c>
      <c r="B8" s="49" t="s">
        <v>1922</v>
      </c>
      <c r="C8" s="47" t="s">
        <v>1923</v>
      </c>
      <c r="D8" s="47">
        <f t="shared" ref="D8:D15" si="0">ROUND($D$3*E8/$E$3,2)</f>
        <v>927.85</v>
      </c>
      <c r="E8" s="50">
        <f>SUMIF('数据-基础表'!BB10:BK10,"地上",'数据-基础表'!BB5:BK5)</f>
        <v>8276.64</v>
      </c>
      <c r="F8" s="1391"/>
      <c r="G8" s="2233"/>
      <c r="H8" s="2233"/>
      <c r="I8" s="1391"/>
      <c r="J8" s="1391"/>
      <c r="K8" s="1391"/>
      <c r="L8" s="1391"/>
      <c r="M8" s="1391"/>
      <c r="N8" s="1391"/>
      <c r="O8" s="1391"/>
      <c r="P8" s="1391"/>
    </row>
    <row r="9" spans="1:16">
      <c r="A9" s="2234"/>
      <c r="B9" s="2235"/>
      <c r="C9" s="47" t="s">
        <v>1924</v>
      </c>
      <c r="D9" s="47">
        <f t="shared" si="0"/>
        <v>0</v>
      </c>
      <c r="E9" s="51">
        <v>0</v>
      </c>
      <c r="F9" s="1391"/>
      <c r="G9" s="2233"/>
      <c r="H9" s="2233"/>
      <c r="I9" s="1391"/>
      <c r="J9" s="1391"/>
      <c r="K9" s="1391"/>
      <c r="L9" s="1391"/>
      <c r="M9" s="1391"/>
      <c r="N9" s="1391"/>
      <c r="O9" s="1391"/>
      <c r="P9" s="1391"/>
    </row>
    <row r="10" spans="1:16">
      <c r="A10" s="2234"/>
      <c r="B10" s="2235"/>
      <c r="C10" s="47" t="s">
        <v>1933</v>
      </c>
      <c r="D10" s="47">
        <f t="shared" si="0"/>
        <v>0</v>
      </c>
      <c r="E10" s="50">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7" t="s">
        <v>1925</v>
      </c>
      <c r="D11" s="47">
        <f t="shared" si="0"/>
        <v>0</v>
      </c>
      <c r="E11" s="50">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7" t="s">
        <v>1926</v>
      </c>
      <c r="D12" s="47">
        <f t="shared" si="0"/>
        <v>0</v>
      </c>
      <c r="E12" s="50">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7" t="s">
        <v>1927</v>
      </c>
      <c r="D13" s="47">
        <f t="shared" si="0"/>
        <v>0</v>
      </c>
      <c r="E13" s="50">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7" t="s">
        <v>1939</v>
      </c>
      <c r="D14" s="47">
        <f t="shared" si="0"/>
        <v>0</v>
      </c>
      <c r="E14" s="50">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7" t="s">
        <v>1934</v>
      </c>
      <c r="D15" s="47">
        <f t="shared" si="0"/>
        <v>0</v>
      </c>
      <c r="E15" s="50">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49" t="s">
        <v>1928</v>
      </c>
      <c r="D16" s="49">
        <f>SUM(D8:D15)</f>
        <v>927.85</v>
      </c>
      <c r="E16" s="52">
        <f>SUM(E8:E15)</f>
        <v>8276.64</v>
      </c>
      <c r="F16" s="1391"/>
      <c r="G16" s="2233"/>
      <c r="H16" s="2236" t="s">
        <v>1940</v>
      </c>
      <c r="I16" s="2237"/>
      <c r="J16" s="1391"/>
      <c r="K16" s="3057" t="s">
        <v>1940</v>
      </c>
      <c r="L16" s="3058"/>
      <c r="M16" s="3058"/>
      <c r="N16" s="3058"/>
      <c r="O16" s="3058"/>
      <c r="P16" s="3059"/>
    </row>
    <row r="17" spans="1:19" ht="15">
      <c r="A17" s="2238" t="s">
        <v>1941</v>
      </c>
      <c r="B17" s="2239" t="s">
        <v>1942</v>
      </c>
      <c r="C17" s="2240" t="s">
        <v>1943</v>
      </c>
      <c r="D17" s="2241" t="s">
        <v>1931</v>
      </c>
      <c r="E17" s="2242" t="s">
        <v>1932</v>
      </c>
      <c r="F17" s="2243"/>
      <c r="G17" s="2244"/>
      <c r="H17" s="2245" t="s">
        <v>1944</v>
      </c>
      <c r="I17" s="2246" t="s">
        <v>1929</v>
      </c>
      <c r="J17" s="1391"/>
      <c r="K17" s="3054" t="s">
        <v>1945</v>
      </c>
      <c r="L17" s="3055"/>
      <c r="M17" s="3056"/>
      <c r="N17" s="3054" t="s">
        <v>1946</v>
      </c>
      <c r="O17" s="3055"/>
      <c r="P17" s="3056"/>
      <c r="R17" s="2224" t="s">
        <v>1947</v>
      </c>
      <c r="S17" s="63"/>
    </row>
    <row r="18" spans="1:19" ht="15">
      <c r="A18" s="2234"/>
      <c r="B18" s="2247"/>
      <c r="C18" s="2248"/>
      <c r="D18" s="2249"/>
      <c r="E18" s="2250" t="s">
        <v>1948</v>
      </c>
      <c r="F18" s="2251" t="s">
        <v>1949</v>
      </c>
      <c r="G18" s="2252" t="s">
        <v>1950</v>
      </c>
      <c r="H18" s="1262" t="s">
        <v>1951</v>
      </c>
      <c r="I18" s="2253" t="s">
        <v>1952</v>
      </c>
      <c r="J18" s="1391"/>
      <c r="K18" s="1262" t="s">
        <v>1953</v>
      </c>
      <c r="L18" s="2254" t="s">
        <v>1954</v>
      </c>
      <c r="M18" s="1047" t="s">
        <v>1955</v>
      </c>
      <c r="N18" s="1262" t="s">
        <v>1953</v>
      </c>
      <c r="O18" s="2254" t="s">
        <v>1954</v>
      </c>
      <c r="P18" s="1047" t="s">
        <v>1955</v>
      </c>
      <c r="R18" s="1247" t="s">
        <v>1956</v>
      </c>
      <c r="S18" s="1247" t="s">
        <v>1957</v>
      </c>
    </row>
    <row r="19" spans="1:19">
      <c r="A19" s="2255"/>
      <c r="B19" s="49" t="s">
        <v>1930</v>
      </c>
      <c r="C19" s="2256" t="s">
        <v>3116</v>
      </c>
      <c r="D19" s="47">
        <f>ROUND($D$3*E19/$E$3,2)</f>
        <v>927.85</v>
      </c>
      <c r="E19" s="55">
        <f t="shared" ref="E19:E26" si="1">SUM(F19:G19)</f>
        <v>8276.64</v>
      </c>
      <c r="F19" s="56">
        <f>'数据-基础表'!I13</f>
        <v>8276.64</v>
      </c>
      <c r="G19" s="57"/>
      <c r="H19" s="722">
        <f>ROUND($D$3*I19/$E$3,2)</f>
        <v>0</v>
      </c>
      <c r="I19" s="50">
        <f t="shared" ref="I19:I26" si="2">IF($I$17="自定义",P19,M19)</f>
        <v>0</v>
      </c>
      <c r="J19" s="1391"/>
      <c r="K19" s="1390">
        <f t="shared" ref="K19:K26" si="3">ROUND(E$28*E19/E$27,2)</f>
        <v>0</v>
      </c>
      <c r="L19" s="1247">
        <f t="shared" ref="L19:L26" si="4">ROUND(IF(COUNTIF(C19,"*住宅*")&gt;0,E$29*E19/E$32,0),2)</f>
        <v>0</v>
      </c>
      <c r="M19" s="1402">
        <f>K19+L19</f>
        <v>0</v>
      </c>
      <c r="N19" s="2257"/>
      <c r="O19" s="2258"/>
      <c r="P19" s="1402">
        <f>N19+O19</f>
        <v>0</v>
      </c>
      <c r="R19" s="1247">
        <f t="shared" ref="R19:S26" si="5">D19+H19</f>
        <v>927.85</v>
      </c>
      <c r="S19" s="1248">
        <f t="shared" si="5"/>
        <v>8276.64</v>
      </c>
    </row>
    <row r="20" spans="1:19">
      <c r="A20" s="2259"/>
      <c r="B20" s="49" t="s">
        <v>1958</v>
      </c>
      <c r="C20" s="2256"/>
      <c r="D20" s="47">
        <f t="shared" ref="D20:D26" si="6">ROUND($D$3*E20/$E$3,2)</f>
        <v>0</v>
      </c>
      <c r="E20" s="55">
        <f t="shared" si="1"/>
        <v>0</v>
      </c>
      <c r="F20" s="56"/>
      <c r="G20" s="57"/>
      <c r="H20" s="722">
        <f t="shared" ref="H20:H26" si="7">ROUND($D$3*I20/$E$3,2)</f>
        <v>0</v>
      </c>
      <c r="I20" s="50">
        <f t="shared" si="2"/>
        <v>0</v>
      </c>
      <c r="J20" s="1391"/>
      <c r="K20" s="1390">
        <f t="shared" si="3"/>
        <v>0</v>
      </c>
      <c r="L20" s="1247">
        <f t="shared" si="4"/>
        <v>0</v>
      </c>
      <c r="M20" s="1402">
        <f t="shared" ref="M20:M26" si="8">K20+L20</f>
        <v>0</v>
      </c>
      <c r="N20" s="2257"/>
      <c r="O20" s="2258"/>
      <c r="P20" s="1402">
        <f t="shared" ref="P20:P26" si="9">N20+O20</f>
        <v>0</v>
      </c>
      <c r="R20" s="1247">
        <f t="shared" si="5"/>
        <v>0</v>
      </c>
      <c r="S20" s="1248">
        <f t="shared" si="5"/>
        <v>0</v>
      </c>
    </row>
    <row r="21" spans="1:19">
      <c r="A21" s="2259"/>
      <c r="B21" s="49" t="s">
        <v>1958</v>
      </c>
      <c r="C21" s="2256"/>
      <c r="D21" s="47">
        <f t="shared" si="6"/>
        <v>0</v>
      </c>
      <c r="E21" s="55">
        <f t="shared" si="1"/>
        <v>0</v>
      </c>
      <c r="F21" s="56"/>
      <c r="G21" s="57"/>
      <c r="H21" s="722">
        <f t="shared" si="7"/>
        <v>0</v>
      </c>
      <c r="I21" s="50">
        <f t="shared" si="2"/>
        <v>0</v>
      </c>
      <c r="J21" s="1391"/>
      <c r="K21" s="1390">
        <f t="shared" si="3"/>
        <v>0</v>
      </c>
      <c r="L21" s="1247">
        <f t="shared" si="4"/>
        <v>0</v>
      </c>
      <c r="M21" s="1402">
        <f t="shared" si="8"/>
        <v>0</v>
      </c>
      <c r="N21" s="2257"/>
      <c r="O21" s="2258"/>
      <c r="P21" s="1402">
        <f t="shared" si="9"/>
        <v>0</v>
      </c>
      <c r="R21" s="1247">
        <f t="shared" si="5"/>
        <v>0</v>
      </c>
      <c r="S21" s="1248">
        <f t="shared" si="5"/>
        <v>0</v>
      </c>
    </row>
    <row r="22" spans="1:19">
      <c r="A22" s="2259"/>
      <c r="B22" s="49" t="s">
        <v>1958</v>
      </c>
      <c r="C22" s="59"/>
      <c r="D22" s="47">
        <f t="shared" si="6"/>
        <v>0</v>
      </c>
      <c r="E22" s="55">
        <f t="shared" si="1"/>
        <v>0</v>
      </c>
      <c r="F22" s="60"/>
      <c r="G22" s="61"/>
      <c r="H22" s="722">
        <f t="shared" si="7"/>
        <v>0</v>
      </c>
      <c r="I22" s="50">
        <f t="shared" si="2"/>
        <v>0</v>
      </c>
      <c r="J22" s="1391"/>
      <c r="K22" s="1390">
        <f t="shared" si="3"/>
        <v>0</v>
      </c>
      <c r="L22" s="1247">
        <f t="shared" si="4"/>
        <v>0</v>
      </c>
      <c r="M22" s="1402">
        <f t="shared" si="8"/>
        <v>0</v>
      </c>
      <c r="N22" s="2257"/>
      <c r="O22" s="2258"/>
      <c r="P22" s="1402">
        <f t="shared" si="9"/>
        <v>0</v>
      </c>
      <c r="R22" s="1247">
        <f t="shared" si="5"/>
        <v>0</v>
      </c>
      <c r="S22" s="1248">
        <f t="shared" si="5"/>
        <v>0</v>
      </c>
    </row>
    <row r="23" spans="1:19">
      <c r="A23" s="2259"/>
      <c r="B23" s="49" t="s">
        <v>1958</v>
      </c>
      <c r="C23" s="59"/>
      <c r="D23" s="47">
        <f>ROUND($D$3*E23/$E$3,2)</f>
        <v>0</v>
      </c>
      <c r="E23" s="55">
        <f>SUM(F23:G23)</f>
        <v>0</v>
      </c>
      <c r="F23" s="60"/>
      <c r="G23" s="61"/>
      <c r="H23" s="722">
        <f>ROUND($D$3*I23/$E$3,2)</f>
        <v>0</v>
      </c>
      <c r="I23" s="50">
        <f t="shared" si="2"/>
        <v>0</v>
      </c>
      <c r="J23" s="1391"/>
      <c r="K23" s="1390">
        <f t="shared" si="3"/>
        <v>0</v>
      </c>
      <c r="L23" s="1247">
        <f t="shared" si="4"/>
        <v>0</v>
      </c>
      <c r="M23" s="1402">
        <f t="shared" si="8"/>
        <v>0</v>
      </c>
      <c r="N23" s="2257"/>
      <c r="O23" s="2258"/>
      <c r="P23" s="1402">
        <f t="shared" si="9"/>
        <v>0</v>
      </c>
      <c r="R23" s="1247">
        <f t="shared" si="5"/>
        <v>0</v>
      </c>
      <c r="S23" s="1248">
        <f t="shared" si="5"/>
        <v>0</v>
      </c>
    </row>
    <row r="24" spans="1:19">
      <c r="A24" s="2259"/>
      <c r="B24" s="49" t="s">
        <v>1958</v>
      </c>
      <c r="C24" s="59"/>
      <c r="D24" s="47">
        <f>ROUND($D$3*E24/$E$3,2)</f>
        <v>0</v>
      </c>
      <c r="E24" s="55">
        <f>SUM(F24:G24)</f>
        <v>0</v>
      </c>
      <c r="F24" s="60"/>
      <c r="G24" s="61"/>
      <c r="H24" s="722">
        <f>ROUND($D$3*I24/$E$3,2)</f>
        <v>0</v>
      </c>
      <c r="I24" s="50">
        <f t="shared" si="2"/>
        <v>0</v>
      </c>
      <c r="J24" s="1391"/>
      <c r="K24" s="1390">
        <f t="shared" si="3"/>
        <v>0</v>
      </c>
      <c r="L24" s="1247">
        <f t="shared" si="4"/>
        <v>0</v>
      </c>
      <c r="M24" s="1402">
        <f t="shared" si="8"/>
        <v>0</v>
      </c>
      <c r="N24" s="2257"/>
      <c r="O24" s="2258"/>
      <c r="P24" s="1402">
        <f t="shared" si="9"/>
        <v>0</v>
      </c>
      <c r="R24" s="1247">
        <f t="shared" si="5"/>
        <v>0</v>
      </c>
      <c r="S24" s="1248">
        <f t="shared" si="5"/>
        <v>0</v>
      </c>
    </row>
    <row r="25" spans="1:19">
      <c r="A25" s="2259"/>
      <c r="B25" s="49" t="s">
        <v>1958</v>
      </c>
      <c r="C25" s="59"/>
      <c r="D25" s="47">
        <f t="shared" si="6"/>
        <v>0</v>
      </c>
      <c r="E25" s="55">
        <f t="shared" si="1"/>
        <v>0</v>
      </c>
      <c r="F25" s="60"/>
      <c r="G25" s="61"/>
      <c r="H25" s="46">
        <f t="shared" si="7"/>
        <v>0</v>
      </c>
      <c r="I25" s="50">
        <f t="shared" si="2"/>
        <v>0</v>
      </c>
      <c r="J25" s="1391"/>
      <c r="K25" s="1390">
        <f t="shared" si="3"/>
        <v>0</v>
      </c>
      <c r="L25" s="1247">
        <f t="shared" si="4"/>
        <v>0</v>
      </c>
      <c r="M25" s="1402">
        <f t="shared" si="8"/>
        <v>0</v>
      </c>
      <c r="N25" s="2257"/>
      <c r="O25" s="2258"/>
      <c r="P25" s="1402">
        <f t="shared" si="9"/>
        <v>0</v>
      </c>
      <c r="R25" s="1247">
        <f t="shared" si="5"/>
        <v>0</v>
      </c>
      <c r="S25" s="1248">
        <f t="shared" si="5"/>
        <v>0</v>
      </c>
    </row>
    <row r="26" spans="1:19">
      <c r="A26" s="2259"/>
      <c r="B26" s="49" t="s">
        <v>1958</v>
      </c>
      <c r="C26" s="62"/>
      <c r="D26" s="47">
        <f t="shared" si="6"/>
        <v>0</v>
      </c>
      <c r="E26" s="55">
        <f t="shared" si="1"/>
        <v>0</v>
      </c>
      <c r="F26" s="60"/>
      <c r="G26" s="61"/>
      <c r="H26" s="46">
        <f t="shared" si="7"/>
        <v>0</v>
      </c>
      <c r="I26" s="50">
        <f t="shared" si="2"/>
        <v>0</v>
      </c>
      <c r="J26" s="1391"/>
      <c r="K26" s="1397">
        <f t="shared" si="3"/>
        <v>0</v>
      </c>
      <c r="L26" s="1398">
        <f t="shared" si="4"/>
        <v>0</v>
      </c>
      <c r="M26" s="66">
        <f t="shared" si="8"/>
        <v>0</v>
      </c>
      <c r="N26" s="2260"/>
      <c r="O26" s="2261"/>
      <c r="P26" s="66">
        <f t="shared" si="9"/>
        <v>0</v>
      </c>
      <c r="R26" s="1247">
        <f t="shared" si="5"/>
        <v>0</v>
      </c>
      <c r="S26" s="1248">
        <f t="shared" si="5"/>
        <v>0</v>
      </c>
    </row>
    <row r="27" spans="1:19" ht="15.75" thickBot="1">
      <c r="A27" s="2259"/>
      <c r="B27" s="47"/>
      <c r="C27" s="2262" t="s">
        <v>1959</v>
      </c>
      <c r="D27" s="1392">
        <f>SUM(D19:D26)</f>
        <v>927.85</v>
      </c>
      <c r="E27" s="1393">
        <f>IF(SUM(E19:E26)='数据-基础表'!BA5,SUM(E19:E26),IF(F27="地上面积有误","面积有误","地下面积有误"))</f>
        <v>8276.64</v>
      </c>
      <c r="F27" s="1392">
        <f>IF(SUM(F19:F26)=E8,SUM(F19:F26),"地上面积有误")</f>
        <v>8276.64</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9">
        <f>IF(SUM(R19:R26)=$D$3,SUM(R19:R26),SUM(R19:R26)&amp;"误差"&amp;ROUND(SUM(R19:R26)-$D$3,2))</f>
        <v>927.85</v>
      </c>
      <c r="S27" s="1247">
        <f>IF(SUM(S19:S26)=$E$3,SUM(S19:S26),SUM(S19:S26)&amp;"误差"&amp;ROUND(SUM(S19:S26)-E3,2))</f>
        <v>8276.64</v>
      </c>
    </row>
    <row r="28" spans="1:19">
      <c r="A28" s="2259"/>
      <c r="B28" s="49" t="s">
        <v>1960</v>
      </c>
      <c r="C28" s="1259" t="s">
        <v>1961</v>
      </c>
      <c r="D28" s="47">
        <f>ROUND($D$3*E28/$E$3,2)</f>
        <v>0</v>
      </c>
      <c r="E28" s="55">
        <f>SUM(F28:G28)</f>
        <v>0</v>
      </c>
      <c r="F28" s="63">
        <f>'数据-基础表'!BQ5+'数据-基础表'!BS5</f>
        <v>0</v>
      </c>
      <c r="G28" s="64">
        <f>'数据-基础表'!BR5+'数据-基础表'!BT5</f>
        <v>0</v>
      </c>
      <c r="H28" s="1391"/>
      <c r="I28" s="1391"/>
      <c r="J28" s="1391"/>
      <c r="K28" s="1391"/>
      <c r="L28" s="1391"/>
      <c r="M28" s="1391"/>
      <c r="N28" s="1391"/>
      <c r="O28" s="1391"/>
      <c r="P28" s="1391"/>
    </row>
    <row r="29" spans="1:19">
      <c r="A29" s="2259"/>
      <c r="B29" s="49" t="s">
        <v>1960</v>
      </c>
      <c r="C29" s="2263" t="s">
        <v>1962</v>
      </c>
      <c r="D29" s="47">
        <f>ROUND($D$3*E29/$E$3,2)</f>
        <v>0</v>
      </c>
      <c r="E29" s="55">
        <f>SUM(F29:G29)</f>
        <v>0</v>
      </c>
      <c r="F29" s="65">
        <f>'数据-基础表'!BM5+'数据-基础表'!BO5</f>
        <v>0</v>
      </c>
      <c r="G29" s="66">
        <f>'数据-基础表'!BN5+'数据-基础表'!BP5</f>
        <v>0</v>
      </c>
      <c r="H29" s="1391"/>
      <c r="I29" s="1391"/>
      <c r="J29" s="1391"/>
      <c r="K29" s="1391"/>
      <c r="L29" s="1391"/>
      <c r="M29" s="1391"/>
      <c r="N29" s="1391"/>
      <c r="O29" s="1391"/>
      <c r="P29" s="1391"/>
    </row>
    <row r="30" spans="1:19" ht="15">
      <c r="A30" s="2259"/>
      <c r="B30" s="49"/>
      <c r="C30" s="2264" t="s">
        <v>1959</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9" t="s">
        <v>1963</v>
      </c>
      <c r="D31" s="728">
        <f>D27+D30</f>
        <v>927.85</v>
      </c>
      <c r="E31" s="728">
        <f>E27+E30</f>
        <v>8276.64</v>
      </c>
      <c r="F31" s="729">
        <f>F27+F30</f>
        <v>8276.64</v>
      </c>
      <c r="G31" s="730">
        <f>G27+G30</f>
        <v>0</v>
      </c>
      <c r="H31" s="1391"/>
      <c r="I31" s="1391"/>
      <c r="J31" s="1391"/>
      <c r="K31" s="1391"/>
      <c r="L31" s="1391"/>
      <c r="M31" s="1391"/>
      <c r="N31" s="1391"/>
      <c r="O31" s="1391"/>
      <c r="P31" s="1391"/>
    </row>
    <row r="32" spans="1:19">
      <c r="A32" s="2229"/>
      <c r="B32" s="2229" t="s">
        <v>1964</v>
      </c>
      <c r="C32" s="2229"/>
      <c r="D32" s="2229"/>
      <c r="E32" s="1274">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9.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1"/>
      <c r="C1" s="1579"/>
      <c r="D1" s="2269"/>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2" t="s">
        <v>1966</v>
      </c>
      <c r="B2" s="1266">
        <f>项目基本情况!D3</f>
        <v>43452</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7"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0" t="s">
        <v>1971</v>
      </c>
      <c r="AA4" s="2240"/>
      <c r="AB4" s="2240"/>
      <c r="AC4" s="2240"/>
      <c r="AD4" s="2240"/>
      <c r="AE4" s="2238" t="s">
        <v>1972</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1973</v>
      </c>
      <c r="B5" s="2286" t="s">
        <v>1974</v>
      </c>
      <c r="C5" s="2287" t="s">
        <v>1975</v>
      </c>
      <c r="D5" s="2288" t="s">
        <v>1976</v>
      </c>
      <c r="E5" s="1268" t="s">
        <v>1977</v>
      </c>
      <c r="F5" s="2289" t="s">
        <v>1978</v>
      </c>
      <c r="G5" s="1268" t="s">
        <v>1979</v>
      </c>
      <c r="H5" s="1268" t="s">
        <v>1980</v>
      </c>
      <c r="I5" s="1268" t="s">
        <v>1981</v>
      </c>
      <c r="J5" s="2290" t="s">
        <v>1982</v>
      </c>
      <c r="K5" s="2291" t="s">
        <v>1983</v>
      </c>
      <c r="L5" s="2292" t="s">
        <v>1984</v>
      </c>
      <c r="M5" s="2293" t="s">
        <v>1985</v>
      </c>
      <c r="N5" s="2294" t="s">
        <v>3068</v>
      </c>
      <c r="O5" s="2292" t="s">
        <v>1986</v>
      </c>
      <c r="P5" s="2295" t="s">
        <v>1987</v>
      </c>
      <c r="Q5" s="68" t="s">
        <v>1988</v>
      </c>
      <c r="R5" s="2296" t="s">
        <v>1989</v>
      </c>
      <c r="S5" s="2297" t="s">
        <v>1990</v>
      </c>
      <c r="T5" s="2298" t="s">
        <v>1991</v>
      </c>
      <c r="U5" s="1267" t="s">
        <v>1992</v>
      </c>
      <c r="V5" s="1268" t="s">
        <v>1993</v>
      </c>
      <c r="W5" s="1268" t="s">
        <v>1994</v>
      </c>
      <c r="X5" s="70"/>
      <c r="Y5" s="69" t="s">
        <v>1995</v>
      </c>
      <c r="Z5" s="2299" t="s">
        <v>1992</v>
      </c>
      <c r="AA5" s="1268" t="s">
        <v>1993</v>
      </c>
      <c r="AB5" s="1268" t="s">
        <v>1994</v>
      </c>
      <c r="AC5" s="70"/>
      <c r="AD5" s="70" t="s">
        <v>1995</v>
      </c>
      <c r="AE5" s="1267" t="s">
        <v>1996</v>
      </c>
      <c r="AF5" s="1268" t="s">
        <v>1997</v>
      </c>
      <c r="AG5" s="69" t="s">
        <v>1998</v>
      </c>
      <c r="AH5" s="1267" t="s">
        <v>1999</v>
      </c>
      <c r="AI5" s="2299" t="s">
        <v>2000</v>
      </c>
      <c r="AJ5" s="2299" t="s">
        <v>2001</v>
      </c>
      <c r="AK5" s="1268" t="s">
        <v>2002</v>
      </c>
      <c r="AL5" s="1268" t="s">
        <v>2003</v>
      </c>
      <c r="AM5" s="69" t="s">
        <v>2004</v>
      </c>
      <c r="AN5" s="2300" t="s">
        <v>2005</v>
      </c>
      <c r="AO5" s="2070" t="s">
        <v>2006</v>
      </c>
      <c r="AP5" s="1249" t="s">
        <v>2007</v>
      </c>
      <c r="AQ5" s="2301" t="s">
        <v>2008</v>
      </c>
      <c r="AR5" s="2301" t="s">
        <v>2009</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6层</v>
      </c>
      <c r="B6" s="2303" t="str">
        <f>IF(A6=0,"","经营性")</f>
        <v>经营性</v>
      </c>
      <c r="C6" s="2304" t="s">
        <v>27</v>
      </c>
      <c r="D6" s="1052">
        <f>SUMIF(项目基本情况!D$12:I$12,C6,项目基本情况!D$14:I$14)</f>
        <v>50</v>
      </c>
      <c r="E6" s="1049">
        <f>IF(B6="","",SUMIF(项目基本情况!D$12:I$12,C6,项目基本情况!D$13:I$13))</f>
        <v>55330</v>
      </c>
      <c r="F6" s="71">
        <f>SUMIF(项目基本情况!D$12:I$12,C6,项目基本情况!D$15:I$15)</f>
        <v>32.54</v>
      </c>
      <c r="G6" s="72">
        <f>IF(ISERROR(ROUND(POWER(1+H6,D6-F6)*(POWER(1+H6,F6)-1)/(POWER(1+H6,D6)-1),3)),0,ROUND(POWER(1+H6,D6-F6)*(POWER(1+H6,F6)-1)/(POWER(1+H6,D6)-1),3))</f>
        <v>0.872</v>
      </c>
      <c r="H6" s="73">
        <v>0.05</v>
      </c>
      <c r="I6" s="73">
        <v>5.5E-2</v>
      </c>
      <c r="J6" s="73">
        <v>8.5000000000000006E-2</v>
      </c>
      <c r="K6" s="1251">
        <f>SUMIF('数据-汇总表'!C$19:C$33,A6,'数据-汇总表'!E$19:E$33)</f>
        <v>8276.64</v>
      </c>
      <c r="L6" s="802">
        <v>4000</v>
      </c>
      <c r="M6" s="74">
        <f t="shared" ref="M6:M14" si="0">ROUND(K6*L6/10000,0)</f>
        <v>3311</v>
      </c>
      <c r="N6" s="3305">
        <f>ROUND(M18*0.5+N18*0.5,3)</f>
        <v>0.77500000000000002</v>
      </c>
      <c r="O6" s="74" t="str">
        <f>IF($N$5="成新度","——",ROUND(M6*N6,0))</f>
        <v>——</v>
      </c>
      <c r="P6" s="75" t="str">
        <f>IF($N$5="成新度","——",M6-O6)</f>
        <v>——</v>
      </c>
      <c r="Q6" s="803">
        <v>0.2</v>
      </c>
      <c r="R6" s="76">
        <f ca="1">SUMIF('数据-汇总表'!C$19:C$33,A6,'数据-汇总表'!R$19:R$27)</f>
        <v>927.85</v>
      </c>
      <c r="S6" s="53">
        <f>IF('数据-汇总表'!$I$17="按面积比例",SUMIF('数据-汇总表'!C$19:C$33,A6,'数据-汇总表'!K$19:K$33),SUMIF('数据-汇总表'!C$19:C$33,A6,'数据-汇总表'!N$19:N$33))</f>
        <v>0</v>
      </c>
      <c r="T6" s="1441">
        <f>ROUND($L$14*S6/10000,0)</f>
        <v>0</v>
      </c>
      <c r="U6" s="77">
        <f>'比较法-租金'!B3</f>
        <v>5.6</v>
      </c>
      <c r="V6" s="2963">
        <v>0.03</v>
      </c>
      <c r="W6" s="78">
        <v>0.1</v>
      </c>
      <c r="X6" s="1261"/>
      <c r="Y6" s="2948">
        <f>N6</f>
        <v>0.77500000000000002</v>
      </c>
      <c r="Z6" s="80"/>
      <c r="AA6" s="73"/>
      <c r="AB6" s="73"/>
      <c r="AC6" s="1261"/>
      <c r="AD6" s="81"/>
      <c r="AE6" s="1262">
        <f ca="1">IF(AN6="",0,SUMIF(INDIRECT("'"&amp;AN6&amp;"'"&amp;"!E:E"),$AE$5,INDIRECT("'"&amp;AN6&amp;"'"&amp;"!F:F")))</f>
        <v>32.54</v>
      </c>
      <c r="AF6" s="1802"/>
      <c r="AG6" s="146">
        <f>IF(AF6="",0,AE6-AF6)</f>
        <v>0</v>
      </c>
      <c r="AH6" s="82">
        <f>'数据-汇总表'!E19</f>
        <v>8276.64</v>
      </c>
      <c r="AI6" s="84">
        <v>365</v>
      </c>
      <c r="AJ6" s="85"/>
      <c r="AK6" s="808">
        <v>1.4999999999999999E-2</v>
      </c>
      <c r="AL6" s="808">
        <v>1.5E-3</v>
      </c>
      <c r="AM6" s="808">
        <v>0.01</v>
      </c>
      <c r="AN6" s="2305" t="s">
        <v>3069</v>
      </c>
      <c r="AO6" s="54">
        <f ca="1">SUMIF(INDIRECT("'"&amp;AN6&amp;"'"&amp;"!A:A"),"总价",INDIRECT("'"&amp;AN6&amp;"'"&amp;"!B:B"))</f>
        <v>25181</v>
      </c>
      <c r="AP6" s="2306">
        <f>IF(C6="住宅",K6*L6,0)</f>
        <v>0</v>
      </c>
      <c r="AQ6" s="54">
        <f>ROUND($L$14*$N$14*S6/10000,0)</f>
        <v>0</v>
      </c>
      <c r="AR6" s="54">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1"/>
      <c r="I7" s="801"/>
      <c r="J7" s="73"/>
      <c r="K7" s="1251">
        <f>SUMIF('数据-汇总表'!C$19:C$33,A7,'数据-汇总表'!E$19:E$33)</f>
        <v>0</v>
      </c>
      <c r="L7" s="802"/>
      <c r="M7" s="74">
        <f t="shared" si="0"/>
        <v>0</v>
      </c>
      <c r="N7" s="800"/>
      <c r="O7" s="74" t="str">
        <f t="shared" ref="O7:O14" si="3">IF($N$5="成新度","——",ROUND(M7*N7,0))</f>
        <v>——</v>
      </c>
      <c r="P7" s="75" t="str">
        <f t="shared" ref="P7:P14" si="4">IF($N$5="成新度","——",M7-O7)</f>
        <v>——</v>
      </c>
      <c r="Q7" s="803"/>
      <c r="R7" s="76">
        <f ca="1">SUMIF('数据-汇总表'!C$19:C$33,A7,'数据-汇总表'!R$19:R$27)</f>
        <v>0</v>
      </c>
      <c r="S7" s="53">
        <f>IF('数据-汇总表'!$I$17="按面积比例",SUMIF('数据-汇总表'!C$19:C$33,A7,'数据-汇总表'!K$19:K$33),SUMIF('数据-汇总表'!C$19:C$33,A7,'数据-汇总表'!N$19:N$33))</f>
        <v>0</v>
      </c>
      <c r="T7" s="1441">
        <f t="shared" ref="T7:T13" si="5">ROUND($L$14*S7/10000,0)</f>
        <v>0</v>
      </c>
      <c r="U7" s="77"/>
      <c r="V7" s="78"/>
      <c r="W7" s="78"/>
      <c r="X7" s="1261"/>
      <c r="Y7" s="79"/>
      <c r="Z7" s="80"/>
      <c r="AA7" s="73"/>
      <c r="AB7" s="73"/>
      <c r="AC7" s="1261"/>
      <c r="AD7" s="81"/>
      <c r="AE7" s="1262">
        <f t="shared" ref="AE7:AE13" ca="1" si="6">IF(AN7="",0,SUMIF(INDIRECT("'"&amp;AN7&amp;"'"&amp;"!E:E"),$AE$5,INDIRECT("'"&amp;AN7&amp;"'"&amp;"!F:F")))</f>
        <v>0</v>
      </c>
      <c r="AF7" s="1802"/>
      <c r="AG7" s="146">
        <f t="shared" ref="AG7:AG13" si="7">IF(AF7="",0,AE7-AF7)</f>
        <v>0</v>
      </c>
      <c r="AH7" s="82"/>
      <c r="AI7" s="84"/>
      <c r="AJ7" s="85"/>
      <c r="AK7" s="86"/>
      <c r="AL7" s="87"/>
      <c r="AM7" s="88"/>
      <c r="AN7" s="2305"/>
      <c r="AO7" s="54" t="e">
        <f t="shared" ref="AO7:AO13" ca="1" si="8">SUMIF(INDIRECT("'"&amp;AN7&amp;"'"&amp;"!A:A"),"总价",INDIRECT("'"&amp;AN7&amp;"'"&amp;"!B:B"))</f>
        <v>#REF!</v>
      </c>
      <c r="AP7" s="2306">
        <f t="shared" ref="AP7:AP13" si="9">IF(C7="住宅",K7*L7,0)</f>
        <v>0</v>
      </c>
      <c r="AQ7" s="54">
        <f t="shared" ref="AQ7:AQ13" si="10">ROUND($L$14*$N$14*S7/10000,0)</f>
        <v>0</v>
      </c>
      <c r="AR7" s="54">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2">
        <f>SUMIF(项目基本情况!D$12:I$12,C8,项目基本情况!D$14:I$14)</f>
        <v>0</v>
      </c>
      <c r="E8" s="1049" t="str">
        <f>IF(B8="","",SUMIF(项目基本情况!D$12:I$12,C8,项目基本情况!D$13:I$13))</f>
        <v/>
      </c>
      <c r="F8" s="71">
        <f>SUMIF(项目基本情况!D$12:I$12,C8,项目基本情况!D$15:I$15)</f>
        <v>0</v>
      </c>
      <c r="G8" s="72">
        <f t="shared" si="2"/>
        <v>0</v>
      </c>
      <c r="H8" s="801"/>
      <c r="I8" s="801"/>
      <c r="J8" s="73"/>
      <c r="K8" s="1251">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1">
        <f t="shared" si="5"/>
        <v>0</v>
      </c>
      <c r="U8" s="804"/>
      <c r="V8" s="805"/>
      <c r="W8" s="805"/>
      <c r="X8" s="1261"/>
      <c r="Y8" s="806"/>
      <c r="Z8" s="80"/>
      <c r="AA8" s="73"/>
      <c r="AB8" s="73"/>
      <c r="AC8" s="1261"/>
      <c r="AD8" s="81"/>
      <c r="AE8" s="1262">
        <f t="shared" ca="1" si="6"/>
        <v>0</v>
      </c>
      <c r="AF8" s="1802"/>
      <c r="AG8" s="146">
        <f t="shared" si="7"/>
        <v>0</v>
      </c>
      <c r="AH8" s="807"/>
      <c r="AI8" s="84"/>
      <c r="AJ8" s="85"/>
      <c r="AK8" s="808"/>
      <c r="AL8" s="809"/>
      <c r="AM8" s="810"/>
      <c r="AN8" s="2305"/>
      <c r="AO8" s="54" t="e">
        <f t="shared" ca="1" si="8"/>
        <v>#REF!</v>
      </c>
      <c r="AP8" s="2306">
        <f t="shared" si="9"/>
        <v>0</v>
      </c>
      <c r="AQ8" s="54">
        <f t="shared" si="10"/>
        <v>0</v>
      </c>
      <c r="AR8" s="54">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1">
        <f t="shared" si="5"/>
        <v>0</v>
      </c>
      <c r="U9" s="77"/>
      <c r="V9" s="78"/>
      <c r="W9" s="78"/>
      <c r="X9" s="1261"/>
      <c r="Y9" s="79"/>
      <c r="Z9" s="80"/>
      <c r="AA9" s="73"/>
      <c r="AB9" s="73"/>
      <c r="AC9" s="1261"/>
      <c r="AD9" s="81"/>
      <c r="AE9" s="1262">
        <f t="shared" ca="1" si="6"/>
        <v>0</v>
      </c>
      <c r="AF9" s="1802"/>
      <c r="AG9" s="146">
        <f t="shared" si="7"/>
        <v>0</v>
      </c>
      <c r="AH9" s="82"/>
      <c r="AI9" s="84"/>
      <c r="AJ9" s="85"/>
      <c r="AK9" s="86"/>
      <c r="AL9" s="87"/>
      <c r="AM9" s="88"/>
      <c r="AN9" s="2305"/>
      <c r="AO9" s="54" t="e">
        <f t="shared" ca="1" si="8"/>
        <v>#REF!</v>
      </c>
      <c r="AP9" s="2306">
        <f t="shared" si="9"/>
        <v>0</v>
      </c>
      <c r="AQ9" s="54">
        <f t="shared" si="10"/>
        <v>0</v>
      </c>
      <c r="AR9" s="54">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1">
        <f t="shared" si="5"/>
        <v>0</v>
      </c>
      <c r="U10" s="77"/>
      <c r="V10" s="78"/>
      <c r="W10" s="78"/>
      <c r="X10" s="1261"/>
      <c r="Y10" s="79"/>
      <c r="Z10" s="80"/>
      <c r="AA10" s="73"/>
      <c r="AB10" s="73"/>
      <c r="AC10" s="1261"/>
      <c r="AD10" s="81"/>
      <c r="AE10" s="1262">
        <f t="shared" ca="1" si="6"/>
        <v>0</v>
      </c>
      <c r="AF10" s="1802"/>
      <c r="AG10" s="146">
        <f t="shared" si="7"/>
        <v>0</v>
      </c>
      <c r="AH10" s="82"/>
      <c r="AI10" s="84"/>
      <c r="AJ10" s="85"/>
      <c r="AK10" s="86"/>
      <c r="AL10" s="87"/>
      <c r="AM10" s="88"/>
      <c r="AN10" s="2305"/>
      <c r="AO10" s="54" t="e">
        <f t="shared" ca="1" si="8"/>
        <v>#REF!</v>
      </c>
      <c r="AP10" s="2306">
        <f t="shared" si="9"/>
        <v>0</v>
      </c>
      <c r="AQ10" s="54">
        <f t="shared" si="10"/>
        <v>0</v>
      </c>
      <c r="AR10" s="54">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1">
        <f t="shared" si="5"/>
        <v>0</v>
      </c>
      <c r="U11" s="82"/>
      <c r="V11" s="73"/>
      <c r="W11" s="73"/>
      <c r="X11" s="1261"/>
      <c r="Y11" s="79"/>
      <c r="Z11" s="92"/>
      <c r="AA11" s="73"/>
      <c r="AB11" s="73"/>
      <c r="AC11" s="1261"/>
      <c r="AD11" s="81"/>
      <c r="AE11" s="1262">
        <f t="shared" ca="1" si="6"/>
        <v>0</v>
      </c>
      <c r="AF11" s="1802"/>
      <c r="AG11" s="146">
        <f t="shared" si="7"/>
        <v>0</v>
      </c>
      <c r="AH11" s="82"/>
      <c r="AI11" s="84"/>
      <c r="AJ11" s="85"/>
      <c r="AK11" s="93"/>
      <c r="AL11" s="94"/>
      <c r="AM11" s="95"/>
      <c r="AN11" s="2305"/>
      <c r="AO11" s="54" t="e">
        <f t="shared" ca="1" si="8"/>
        <v>#REF!</v>
      </c>
      <c r="AP11" s="2306">
        <f t="shared" si="9"/>
        <v>0</v>
      </c>
      <c r="AQ11" s="54">
        <f t="shared" si="10"/>
        <v>0</v>
      </c>
      <c r="AR11" s="54">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1">
        <f t="shared" si="5"/>
        <v>0</v>
      </c>
      <c r="U12" s="82"/>
      <c r="V12" s="73"/>
      <c r="W12" s="73"/>
      <c r="X12" s="1261"/>
      <c r="Y12" s="79"/>
      <c r="Z12" s="92"/>
      <c r="AA12" s="73"/>
      <c r="AB12" s="73"/>
      <c r="AC12" s="1261"/>
      <c r="AD12" s="81"/>
      <c r="AE12" s="1262">
        <f t="shared" ca="1" si="6"/>
        <v>0</v>
      </c>
      <c r="AF12" s="1802"/>
      <c r="AG12" s="146">
        <f t="shared" si="7"/>
        <v>0</v>
      </c>
      <c r="AH12" s="82"/>
      <c r="AI12" s="84"/>
      <c r="AJ12" s="85"/>
      <c r="AK12" s="93"/>
      <c r="AL12" s="94"/>
      <c r="AM12" s="95"/>
      <c r="AN12" s="2305"/>
      <c r="AO12" s="54" t="e">
        <f t="shared" ca="1" si="8"/>
        <v>#REF!</v>
      </c>
      <c r="AP12" s="2306">
        <f t="shared" si="9"/>
        <v>0</v>
      </c>
      <c r="AQ12" s="54">
        <f t="shared" si="10"/>
        <v>0</v>
      </c>
      <c r="AR12" s="54">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1">
        <f t="shared" si="5"/>
        <v>0</v>
      </c>
      <c r="U13" s="77"/>
      <c r="V13" s="78"/>
      <c r="W13" s="78"/>
      <c r="X13" s="1261"/>
      <c r="Y13" s="79"/>
      <c r="Z13" s="80"/>
      <c r="AA13" s="73"/>
      <c r="AB13" s="73"/>
      <c r="AC13" s="1261"/>
      <c r="AD13" s="81"/>
      <c r="AE13" s="1262">
        <f t="shared" ca="1" si="6"/>
        <v>0</v>
      </c>
      <c r="AF13" s="1802"/>
      <c r="AG13" s="146">
        <f t="shared" si="7"/>
        <v>0</v>
      </c>
      <c r="AH13" s="82"/>
      <c r="AI13" s="84"/>
      <c r="AJ13" s="85"/>
      <c r="AK13" s="86"/>
      <c r="AL13" s="87"/>
      <c r="AM13" s="88"/>
      <c r="AN13" s="2305"/>
      <c r="AO13" s="54" t="e">
        <f t="shared" ca="1" si="8"/>
        <v>#REF!</v>
      </c>
      <c r="AP13" s="2306">
        <f t="shared" si="9"/>
        <v>0</v>
      </c>
      <c r="AQ13" s="54">
        <f t="shared" si="10"/>
        <v>0</v>
      </c>
      <c r="AR13" s="54">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2010</v>
      </c>
      <c r="B14" s="2303" t="s">
        <v>2011</v>
      </c>
      <c r="C14" s="2308" t="s">
        <v>2010</v>
      </c>
      <c r="D14" s="1052"/>
      <c r="E14" s="1049"/>
      <c r="F14" s="71"/>
      <c r="G14" s="72"/>
      <c r="H14" s="1250"/>
      <c r="I14" s="1250"/>
      <c r="J14" s="1250"/>
      <c r="K14" s="1251">
        <f>SUMIF('数据-汇总表'!C$19:C$33,A14,'数据-汇总表'!E$19:E$33)</f>
        <v>0</v>
      </c>
      <c r="L14" s="90"/>
      <c r="M14" s="74">
        <f t="shared" si="0"/>
        <v>0</v>
      </c>
      <c r="N14" s="91"/>
      <c r="O14" s="74" t="str">
        <f t="shared" si="3"/>
        <v>——</v>
      </c>
      <c r="P14" s="75" t="str">
        <f t="shared" si="4"/>
        <v>——</v>
      </c>
      <c r="Q14" s="1254"/>
      <c r="R14" s="76"/>
      <c r="S14" s="53"/>
      <c r="T14" s="1441"/>
      <c r="U14" s="722"/>
      <c r="V14" s="1256"/>
      <c r="W14" s="1256"/>
      <c r="X14" s="1257"/>
      <c r="Y14" s="1258"/>
      <c r="Z14" s="1259"/>
      <c r="AA14" s="1260"/>
      <c r="AB14" s="1260"/>
      <c r="AC14" s="1261"/>
      <c r="AD14" s="1257"/>
      <c r="AE14" s="1262"/>
      <c r="AF14" s="54"/>
      <c r="AG14" s="146"/>
      <c r="AH14" s="1262"/>
      <c r="AI14" s="1813"/>
      <c r="AJ14" s="772"/>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2012</v>
      </c>
      <c r="B15" s="2303" t="s">
        <v>2011</v>
      </c>
      <c r="C15" s="2308" t="s">
        <v>2013</v>
      </c>
      <c r="D15" s="1052"/>
      <c r="E15" s="1049"/>
      <c r="F15" s="71"/>
      <c r="G15" s="72"/>
      <c r="H15" s="1250"/>
      <c r="I15" s="1250"/>
      <c r="J15" s="1250"/>
      <c r="K15" s="1251">
        <f>SUMIF('数据-汇总表'!C$19:C$33,A15,'数据-汇总表'!E$19:E$33)</f>
        <v>0</v>
      </c>
      <c r="L15" s="1252"/>
      <c r="M15" s="74"/>
      <c r="N15" s="1253"/>
      <c r="O15" s="74"/>
      <c r="P15" s="75"/>
      <c r="Q15" s="1254"/>
      <c r="R15" s="76"/>
      <c r="S15" s="53"/>
      <c r="T15" s="1441"/>
      <c r="U15" s="722"/>
      <c r="V15" s="1256"/>
      <c r="W15" s="1256"/>
      <c r="X15" s="1257"/>
      <c r="Y15" s="1258"/>
      <c r="Z15" s="1259"/>
      <c r="AA15" s="1260"/>
      <c r="AB15" s="1260"/>
      <c r="AC15" s="1261"/>
      <c r="AD15" s="1257"/>
      <c r="AE15" s="1262"/>
      <c r="AF15" s="54"/>
      <c r="AG15" s="146"/>
      <c r="AH15" s="1262"/>
      <c r="AI15" s="1813"/>
      <c r="AJ15" s="772"/>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2014</v>
      </c>
      <c r="B16" s="96"/>
      <c r="C16" s="1007"/>
      <c r="D16" s="2310"/>
      <c r="E16" s="96"/>
      <c r="F16" s="96"/>
      <c r="G16" s="97">
        <f>ROUND(SUMPRODUCT(G6:G13,K6:K13)/SUMPRODUCT((G6:G13&gt;0)*(K6:K13)),3)</f>
        <v>0.872</v>
      </c>
      <c r="H16" s="98">
        <f>ROUND(SUMPRODUCT(H6:H13,K6:K13)/SUMPRODUCT((H6:H13&gt;0)*(K6:K13)),3)</f>
        <v>0.05</v>
      </c>
      <c r="I16" s="99"/>
      <c r="J16" s="99"/>
      <c r="K16" s="100">
        <f>SUM(K6:K15)</f>
        <v>8276.64</v>
      </c>
      <c r="L16" s="101">
        <f>ROUND(M16*10000/SUM(K6:K14),0)</f>
        <v>4000</v>
      </c>
      <c r="M16" s="101">
        <f>SUM(M6:M14)</f>
        <v>3311</v>
      </c>
      <c r="N16" s="102">
        <f>ROUND(SUMPRODUCT(M6:M14,N6:N14)/M16,3)</f>
        <v>0.77500000000000002</v>
      </c>
      <c r="O16" s="101">
        <f>SUM(O6:O14)</f>
        <v>0</v>
      </c>
      <c r="P16" s="101">
        <f>SUM(P6:P14)</f>
        <v>0</v>
      </c>
      <c r="Q16" s="103">
        <f>ROUND(SUMPRODUCT(Q6:Q13,K6:K13)/SUMPRODUCT((Q6:Q13&gt;0)*(K6:K13)),2)</f>
        <v>0.2</v>
      </c>
      <c r="R16" s="1255">
        <f ca="1">SUM(R6:R13)</f>
        <v>927.85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79"/>
      <c r="D17" s="2269"/>
      <c r="E17" s="2269"/>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7" t="s">
        <v>2015</v>
      </c>
      <c r="B18" s="2276"/>
      <c r="C18" s="2273"/>
      <c r="D18" s="2274"/>
      <c r="E18" s="2273"/>
      <c r="F18" s="2273"/>
      <c r="G18" s="2273"/>
      <c r="H18" s="2273"/>
      <c r="I18" s="2273"/>
      <c r="J18" s="2273"/>
      <c r="K18" s="167"/>
      <c r="L18" s="167"/>
      <c r="M18" s="2946">
        <f>ROUND(1-(1-0)*(2018-2003)/60,2)</f>
        <v>0.75</v>
      </c>
      <c r="N18" s="2947">
        <v>0.8</v>
      </c>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2" t="s">
        <v>2016</v>
      </c>
      <c r="B19" s="111"/>
      <c r="C19" s="2273" t="s">
        <v>2017</v>
      </c>
      <c r="D19" s="2274"/>
      <c r="E19" s="2273"/>
      <c r="F19" s="2273"/>
      <c r="G19" s="2273"/>
      <c r="H19" s="2273"/>
      <c r="I19" s="2273"/>
      <c r="J19" s="2273"/>
      <c r="K19" s="167"/>
      <c r="L19" s="167"/>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3" t="s">
        <v>2018</v>
      </c>
      <c r="B20" s="112">
        <v>2</v>
      </c>
      <c r="C20" s="2273" t="s">
        <v>2019</v>
      </c>
      <c r="D20" s="2274"/>
      <c r="E20" s="2273"/>
      <c r="F20" s="2273"/>
      <c r="G20" s="2273"/>
      <c r="H20" s="2273"/>
      <c r="I20" s="2273"/>
      <c r="J20" s="2273"/>
      <c r="K20" s="167"/>
      <c r="L20" s="167"/>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4" t="s">
        <v>2020</v>
      </c>
      <c r="B21" s="112">
        <v>2</v>
      </c>
      <c r="C21" s="2273"/>
      <c r="D21" s="2274"/>
      <c r="E21" s="2273"/>
      <c r="F21" s="2273"/>
      <c r="G21" s="2273"/>
      <c r="H21" s="2273"/>
      <c r="I21" s="2273"/>
      <c r="J21" s="2273"/>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3" t="s">
        <v>2021</v>
      </c>
      <c r="B22" s="113">
        <f>B19+B20</f>
        <v>2</v>
      </c>
      <c r="C22" s="2273"/>
      <c r="D22" s="2274"/>
      <c r="E22" s="2273"/>
      <c r="F22" s="2273"/>
      <c r="G22" s="2273"/>
      <c r="H22" s="2273"/>
      <c r="I22" s="2273"/>
      <c r="J22" s="2273"/>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4" t="s">
        <v>2022</v>
      </c>
      <c r="B23" s="113">
        <f>B19+B21</f>
        <v>2</v>
      </c>
      <c r="C23" s="2273"/>
      <c r="D23" s="2274"/>
      <c r="E23" s="2273"/>
      <c r="F23" s="2273"/>
      <c r="G23" s="2273"/>
      <c r="H23" s="2273"/>
      <c r="I23" s="2273"/>
      <c r="J23" s="2273"/>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5" t="s">
        <v>2023</v>
      </c>
      <c r="B24" s="114">
        <f>B20-B21</f>
        <v>0</v>
      </c>
      <c r="C24" s="2273"/>
      <c r="D24" s="2274"/>
      <c r="E24" s="2273"/>
      <c r="F24" s="2273"/>
      <c r="G24" s="2273"/>
      <c r="H24" s="2273"/>
      <c r="I24" s="2273"/>
      <c r="J24" s="2273"/>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6"/>
      <c r="C25" s="2273"/>
      <c r="D25" s="2274"/>
      <c r="E25" s="2273"/>
      <c r="F25" s="2273"/>
      <c r="G25" s="2273"/>
      <c r="H25" s="2273"/>
      <c r="I25" s="2273"/>
      <c r="J25" s="2273"/>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2" t="s">
        <v>2024</v>
      </c>
      <c r="B26" s="2316" t="s">
        <v>2025</v>
      </c>
      <c r="C26" s="2317" t="s">
        <v>2026</v>
      </c>
      <c r="D26" s="2274"/>
      <c r="E26" s="2273"/>
      <c r="F26" s="2273"/>
      <c r="G26" s="2273"/>
      <c r="H26" s="2273"/>
      <c r="I26" s="2273"/>
      <c r="J26" s="2273"/>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0" customFormat="1" ht="27.75">
      <c r="A27" s="2318" t="s">
        <v>2027</v>
      </c>
      <c r="B27" s="115"/>
      <c r="C27" s="1762" t="s">
        <v>2028</v>
      </c>
      <c r="D27" s="2319"/>
      <c r="E27" s="1426"/>
      <c r="F27" s="1426"/>
      <c r="G27" s="2273"/>
      <c r="H27" s="2273"/>
      <c r="I27" s="2273"/>
      <c r="J27" s="2273"/>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2029</v>
      </c>
      <c r="B28" s="118">
        <v>200</v>
      </c>
      <c r="C28" s="2322"/>
      <c r="D28" s="2319"/>
      <c r="E28" s="1426"/>
      <c r="F28" s="1426"/>
      <c r="G28" s="2273"/>
      <c r="H28" s="2273"/>
      <c r="I28" s="2273"/>
      <c r="J28" s="2273"/>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2030</v>
      </c>
      <c r="B29" s="120">
        <f ca="1">成本法!C10</f>
        <v>166</v>
      </c>
      <c r="C29" s="1762" t="s">
        <v>2031</v>
      </c>
      <c r="D29" s="2319"/>
      <c r="E29" s="1426"/>
      <c r="F29" s="1426"/>
      <c r="G29" s="2273"/>
      <c r="H29" s="2273"/>
      <c r="I29" s="2273"/>
      <c r="J29" s="2273"/>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2032</v>
      </c>
      <c r="B30" s="723">
        <v>200</v>
      </c>
      <c r="C30" s="2322"/>
      <c r="D30" s="2319"/>
      <c r="E30" s="1426"/>
      <c r="F30" s="1426"/>
      <c r="G30" s="2273"/>
      <c r="H30" s="2273"/>
      <c r="I30" s="2273"/>
      <c r="J30" s="2273"/>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2033</v>
      </c>
      <c r="B31" s="119">
        <f>B30-B32</f>
        <v>200</v>
      </c>
      <c r="C31" s="1762"/>
      <c r="D31" s="2319"/>
      <c r="E31" s="1426"/>
      <c r="F31" s="1426"/>
      <c r="G31" s="2273"/>
      <c r="H31" s="2273"/>
      <c r="I31" s="2273"/>
      <c r="J31" s="2273"/>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2034</v>
      </c>
      <c r="B32" s="724"/>
      <c r="C32" s="2322"/>
      <c r="D32" s="2274"/>
      <c r="E32" s="2273"/>
      <c r="F32" s="2273"/>
      <c r="G32" s="2273"/>
      <c r="H32" s="2273"/>
      <c r="I32" s="2273"/>
      <c r="J32" s="2273"/>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2035</v>
      </c>
      <c r="B33" s="725">
        <v>0.03</v>
      </c>
      <c r="C33" s="1761" t="s">
        <v>2036</v>
      </c>
      <c r="D33" s="2274"/>
      <c r="E33" s="2273"/>
      <c r="F33" s="2273"/>
      <c r="G33" s="2273"/>
      <c r="H33" s="2273"/>
      <c r="I33" s="2273"/>
      <c r="J33" s="2273"/>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2037</v>
      </c>
      <c r="B34" s="121">
        <v>0</v>
      </c>
      <c r="C34" s="1761" t="s">
        <v>2038</v>
      </c>
      <c r="D34" s="2274" t="s">
        <v>2039</v>
      </c>
      <c r="E34" s="731"/>
      <c r="F34" s="2273"/>
      <c r="G34" s="2273"/>
      <c r="H34" s="2273"/>
      <c r="I34" s="2273"/>
      <c r="J34" s="2273"/>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2040</v>
      </c>
      <c r="B35" s="118">
        <v>200</v>
      </c>
      <c r="C35" s="1761" t="s">
        <v>2041</v>
      </c>
      <c r="D35" s="2319"/>
      <c r="E35" s="1426"/>
      <c r="F35" s="1426"/>
      <c r="G35" s="2273"/>
      <c r="H35" s="2273"/>
      <c r="I35" s="2273"/>
      <c r="J35" s="2273"/>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2042</v>
      </c>
      <c r="B36" s="122">
        <v>1.4999999999999999E-2</v>
      </c>
      <c r="C36" s="1761" t="s">
        <v>2043</v>
      </c>
      <c r="D36" s="2274"/>
      <c r="E36" s="2273"/>
      <c r="F36" s="2273"/>
      <c r="G36" s="2273"/>
      <c r="H36" s="2273"/>
      <c r="I36" s="2273"/>
      <c r="J36" s="2273"/>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4" t="s">
        <v>2044</v>
      </c>
      <c r="B37" s="123">
        <v>0.02</v>
      </c>
      <c r="C37" s="1761" t="s">
        <v>2045</v>
      </c>
      <c r="D37" s="2274"/>
      <c r="E37" s="2273"/>
      <c r="F37" s="2273"/>
      <c r="G37" s="2273"/>
      <c r="H37" s="2273"/>
      <c r="I37" s="2273"/>
      <c r="J37" s="2273"/>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1" t="s">
        <v>2046</v>
      </c>
      <c r="B38" s="121">
        <v>0.02</v>
      </c>
      <c r="C38" s="1761" t="s">
        <v>2045</v>
      </c>
      <c r="D38" s="2274"/>
      <c r="E38" s="2273"/>
      <c r="F38" s="2273"/>
      <c r="G38" s="2273"/>
      <c r="H38" s="2273"/>
      <c r="I38" s="2273"/>
      <c r="J38" s="2273"/>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5" t="s">
        <v>2047</v>
      </c>
      <c r="B39" s="361">
        <f ca="1">存贷款利率!I1</f>
        <v>1.4999999999999999E-2</v>
      </c>
      <c r="C39" s="1761"/>
      <c r="D39" s="2274"/>
      <c r="E39" s="2273"/>
      <c r="F39" s="2273"/>
      <c r="G39" s="2273"/>
      <c r="H39" s="2273"/>
      <c r="I39" s="2273"/>
      <c r="J39" s="2273"/>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5" t="s">
        <v>2048</v>
      </c>
      <c r="B40" s="1300">
        <f ca="1">存贷款利率!G1</f>
        <v>4.7500000000000001E-2</v>
      </c>
      <c r="C40" s="1761" t="s">
        <v>2049</v>
      </c>
      <c r="D40" s="1579"/>
      <c r="E40" s="2274"/>
      <c r="F40" s="2273"/>
      <c r="G40" s="2273"/>
      <c r="H40" s="2273"/>
      <c r="I40" s="2273"/>
      <c r="J40" s="2273"/>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8" t="s">
        <v>2050</v>
      </c>
      <c r="B41" s="124">
        <f>B42+B43</f>
        <v>5.6000000000000001E-2</v>
      </c>
      <c r="C41" s="1762"/>
      <c r="D41" s="1579"/>
      <c r="E41" s="2274"/>
      <c r="F41" s="2273"/>
      <c r="G41" s="2273"/>
      <c r="H41" s="2273"/>
      <c r="I41" s="2273"/>
      <c r="J41" s="2273"/>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6" t="s">
        <v>2051</v>
      </c>
      <c r="B42" s="125">
        <v>0.05</v>
      </c>
      <c r="C42" s="2327">
        <f>IF(B2&lt;DATE(2016,5,1),0,B42)</f>
        <v>0.05</v>
      </c>
      <c r="D42" s="2274"/>
      <c r="E42" s="2273"/>
      <c r="F42" s="2273"/>
      <c r="G42" s="2273"/>
      <c r="H42" s="2273"/>
      <c r="I42" s="2273"/>
      <c r="J42" s="2273"/>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6" t="s">
        <v>2052</v>
      </c>
      <c r="B43" s="126">
        <f>B42*(B44+B45+B46)+B47</f>
        <v>6.000000000000001E-3</v>
      </c>
      <c r="C43" s="1762"/>
      <c r="D43" s="2274"/>
      <c r="E43" s="2273"/>
      <c r="F43" s="2273"/>
      <c r="G43" s="2273"/>
      <c r="H43" s="2273"/>
      <c r="I43" s="2273"/>
      <c r="J43" s="2273"/>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8" t="s">
        <v>2053</v>
      </c>
      <c r="B44" s="127">
        <v>7.0000000000000007E-2</v>
      </c>
      <c r="C44" s="1761" t="s">
        <v>2054</v>
      </c>
      <c r="D44" s="2274"/>
      <c r="E44" s="2273"/>
      <c r="F44" s="2273"/>
      <c r="G44" s="2273"/>
      <c r="H44" s="2273"/>
      <c r="I44" s="2273"/>
      <c r="J44" s="2273"/>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8" t="s">
        <v>2055</v>
      </c>
      <c r="B45" s="125">
        <v>0.03</v>
      </c>
      <c r="C45" s="1762" t="s">
        <v>2056</v>
      </c>
      <c r="D45" s="2274"/>
      <c r="E45" s="2273"/>
      <c r="F45" s="2273"/>
      <c r="G45" s="2273"/>
      <c r="H45" s="2273"/>
      <c r="I45" s="2273"/>
      <c r="J45" s="2273"/>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8" t="s">
        <v>2057</v>
      </c>
      <c r="B46" s="125">
        <v>0.02</v>
      </c>
      <c r="C46" s="1762" t="s">
        <v>2058</v>
      </c>
      <c r="D46" s="2274"/>
      <c r="E46" s="2273"/>
      <c r="F46" s="2273"/>
      <c r="G46" s="2273"/>
      <c r="H46" s="2273"/>
      <c r="I46" s="2273"/>
      <c r="J46" s="2273"/>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9" t="s">
        <v>2059</v>
      </c>
      <c r="B47" s="128"/>
      <c r="C47" s="1762" t="s">
        <v>2060</v>
      </c>
      <c r="D47" s="2274"/>
      <c r="E47" s="2273"/>
      <c r="F47" s="2273"/>
      <c r="G47" s="2273"/>
      <c r="H47" s="2273"/>
      <c r="I47" s="2273"/>
      <c r="J47" s="2273"/>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0" t="s">
        <v>2061</v>
      </c>
      <c r="B48" s="129">
        <v>0.03</v>
      </c>
      <c r="C48" s="1769" t="s">
        <v>2062</v>
      </c>
      <c r="D48" s="2274"/>
      <c r="E48" s="2273"/>
      <c r="F48" s="2273"/>
      <c r="G48" s="2273"/>
      <c r="H48" s="2273"/>
      <c r="I48" s="2273"/>
      <c r="J48" s="2273"/>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5" t="s">
        <v>2063</v>
      </c>
      <c r="B49" s="125">
        <v>5.0000000000000001E-4</v>
      </c>
      <c r="C49" s="1769" t="s">
        <v>2064</v>
      </c>
      <c r="D49" s="2274"/>
      <c r="E49" s="2273"/>
      <c r="F49" s="2273"/>
      <c r="G49" s="2273"/>
      <c r="H49" s="2273"/>
      <c r="I49" s="2273"/>
      <c r="J49" s="2273"/>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1" t="s">
        <v>2065</v>
      </c>
      <c r="B50" s="130">
        <v>1.2E-2</v>
      </c>
      <c r="C50" s="1426"/>
      <c r="D50" s="2274"/>
      <c r="E50" s="2273"/>
      <c r="F50" s="2273"/>
      <c r="G50" s="2273"/>
      <c r="H50" s="2273"/>
      <c r="I50" s="2273"/>
      <c r="J50" s="2273"/>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3" t="s">
        <v>2066</v>
      </c>
      <c r="B51" s="131">
        <v>0.12</v>
      </c>
      <c r="C51" s="1426"/>
      <c r="D51" s="2274"/>
      <c r="E51" s="2273"/>
      <c r="F51" s="2273"/>
      <c r="G51" s="2273"/>
      <c r="H51" s="2273"/>
      <c r="I51" s="2273"/>
      <c r="J51" s="2273"/>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1" t="s">
        <v>2067</v>
      </c>
      <c r="B52" s="132">
        <f>SUMIF(A54:A63,B53,B54:B63)</f>
        <v>24</v>
      </c>
      <c r="C52" s="1426"/>
      <c r="D52" s="2274"/>
      <c r="E52" s="2273"/>
      <c r="F52" s="2273"/>
      <c r="G52" s="2273"/>
      <c r="H52" s="2273"/>
      <c r="I52" s="2273"/>
      <c r="J52" s="2273"/>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1" t="s">
        <v>2068</v>
      </c>
      <c r="B53" s="2332" t="s">
        <v>269</v>
      </c>
      <c r="C53" s="1426" t="s">
        <v>2069</v>
      </c>
      <c r="D53" s="2333" t="s">
        <v>2070</v>
      </c>
      <c r="E53" s="2273"/>
      <c r="F53" s="2273"/>
      <c r="G53" s="2273"/>
      <c r="H53" s="2273"/>
      <c r="I53" s="2273"/>
      <c r="J53" s="2273"/>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4" t="s">
        <v>2071</v>
      </c>
      <c r="B54" s="83"/>
      <c r="C54" s="1426">
        <v>30</v>
      </c>
      <c r="D54" s="2274"/>
      <c r="E54" s="2273"/>
      <c r="F54" s="2273"/>
      <c r="G54" s="2273"/>
      <c r="H54" s="2273"/>
      <c r="I54" s="2273"/>
      <c r="J54" s="2273"/>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4" t="s">
        <v>2072</v>
      </c>
      <c r="B55" s="83">
        <v>24</v>
      </c>
      <c r="C55" s="1426">
        <v>24</v>
      </c>
      <c r="D55" s="2274"/>
      <c r="E55" s="2273"/>
      <c r="F55" s="2273"/>
      <c r="G55" s="2273"/>
      <c r="H55" s="2273"/>
      <c r="I55" s="2335"/>
      <c r="J55" s="2273"/>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4" t="s">
        <v>2073</v>
      </c>
      <c r="B56" s="83"/>
      <c r="C56" s="1426">
        <v>18</v>
      </c>
      <c r="D56" s="2274"/>
      <c r="E56" s="2273"/>
      <c r="F56" s="2273"/>
      <c r="G56" s="2273"/>
      <c r="H56" s="2273"/>
      <c r="I56" s="2273"/>
      <c r="J56" s="2273"/>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4" t="s">
        <v>2074</v>
      </c>
      <c r="B57" s="83"/>
      <c r="C57" s="1426">
        <v>12</v>
      </c>
      <c r="D57" s="2274"/>
      <c r="E57" s="2273"/>
      <c r="F57" s="2273"/>
      <c r="G57" s="2273"/>
      <c r="H57" s="2273"/>
      <c r="I57" s="2273"/>
      <c r="J57" s="2273"/>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4" t="s">
        <v>2075</v>
      </c>
      <c r="B58" s="83"/>
      <c r="C58" s="1426">
        <v>3</v>
      </c>
      <c r="D58" s="2274"/>
      <c r="E58" s="2273"/>
      <c r="F58" s="2273"/>
      <c r="G58" s="2273"/>
      <c r="H58" s="2273"/>
      <c r="I58" s="2273"/>
      <c r="J58" s="2273"/>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4" t="s">
        <v>2076</v>
      </c>
      <c r="B59" s="83"/>
      <c r="C59" s="1426">
        <v>1.5</v>
      </c>
      <c r="D59" s="2274"/>
      <c r="E59" s="2273"/>
      <c r="F59" s="2273"/>
      <c r="G59" s="2273"/>
      <c r="H59" s="2273"/>
      <c r="I59" s="2273"/>
      <c r="J59" s="2273"/>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4" t="s">
        <v>2077</v>
      </c>
      <c r="B60" s="83"/>
      <c r="C60" s="2273"/>
      <c r="D60" s="2274"/>
      <c r="E60" s="2273"/>
      <c r="F60" s="2273"/>
      <c r="G60" s="2273"/>
      <c r="H60" s="2273"/>
      <c r="I60" s="2273"/>
      <c r="J60" s="2273"/>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4" t="s">
        <v>2078</v>
      </c>
      <c r="B61" s="83"/>
      <c r="C61" s="2273"/>
      <c r="D61" s="2274"/>
      <c r="E61" s="2273"/>
      <c r="F61" s="2273"/>
      <c r="G61" s="2273"/>
      <c r="H61" s="2273"/>
      <c r="I61" s="2273"/>
      <c r="J61" s="2273"/>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4" t="s">
        <v>2079</v>
      </c>
      <c r="B62" s="83"/>
      <c r="C62" s="2273"/>
      <c r="D62" s="2274"/>
      <c r="E62" s="2273"/>
      <c r="F62" s="2273"/>
      <c r="G62" s="2273"/>
      <c r="H62" s="2273"/>
      <c r="I62" s="2273"/>
      <c r="J62" s="2273"/>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6" t="s">
        <v>2080</v>
      </c>
      <c r="B63" s="133"/>
      <c r="C63" s="2273"/>
      <c r="D63" s="2274"/>
      <c r="E63" s="2273"/>
      <c r="F63" s="2273"/>
      <c r="G63" s="2273"/>
      <c r="H63" s="2273"/>
      <c r="I63" s="2273"/>
      <c r="J63" s="2273"/>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6"/>
      <c r="L134" s="26"/>
    </row>
    <row r="135" spans="1:12" s="2270" customFormat="1">
      <c r="A135" s="2339"/>
      <c r="D135" s="2340"/>
      <c r="K135" s="26"/>
      <c r="L135" s="26"/>
    </row>
    <row r="136" spans="1:12" s="2270" customFormat="1">
      <c r="A136" s="2339"/>
      <c r="D136" s="2340"/>
      <c r="K136" s="26"/>
      <c r="L136" s="26"/>
    </row>
    <row r="137" spans="1:12" s="2270" customFormat="1">
      <c r="A137" s="2339"/>
      <c r="D137" s="2340"/>
      <c r="K137" s="26"/>
      <c r="L137" s="26"/>
    </row>
    <row r="138" spans="1:12" s="2270" customFormat="1">
      <c r="A138" s="2339"/>
      <c r="D138" s="2340"/>
      <c r="K138" s="26"/>
      <c r="L138" s="26"/>
    </row>
    <row r="139" spans="1:12" s="2270" customFormat="1">
      <c r="A139" s="2339"/>
      <c r="D139" s="2340"/>
      <c r="K139" s="26"/>
      <c r="L139" s="26"/>
    </row>
    <row r="140" spans="1:12" s="2270" customFormat="1">
      <c r="A140" s="2339"/>
      <c r="D140" s="2340"/>
      <c r="K140" s="26"/>
      <c r="L140" s="26"/>
    </row>
    <row r="141" spans="1:12" s="2270" customFormat="1">
      <c r="A141" s="2339"/>
      <c r="D141" s="2340"/>
      <c r="K141" s="26"/>
      <c r="L141" s="26"/>
    </row>
    <row r="142" spans="1:12" s="2270" customFormat="1">
      <c r="A142" s="2339"/>
      <c r="D142" s="2340"/>
      <c r="K142" s="26"/>
      <c r="L142" s="26"/>
    </row>
    <row r="143" spans="1:12" s="2270" customFormat="1">
      <c r="A143" s="2339"/>
      <c r="D143" s="2340"/>
      <c r="K143" s="26"/>
      <c r="L143" s="26"/>
    </row>
    <row r="144" spans="1:12" s="2270" customFormat="1">
      <c r="A144" s="2339"/>
      <c r="D144" s="2340"/>
      <c r="K144" s="26"/>
      <c r="L144" s="26"/>
    </row>
    <row r="145" spans="1:12" s="2270" customFormat="1">
      <c r="A145" s="2339"/>
      <c r="D145" s="2340"/>
      <c r="K145" s="26"/>
      <c r="L145" s="26"/>
    </row>
    <row r="146" spans="1:12" s="2270" customFormat="1">
      <c r="A146" s="2339"/>
      <c r="D146" s="2340"/>
      <c r="K146" s="26"/>
      <c r="L146" s="26"/>
    </row>
    <row r="147" spans="1:12" s="2270" customFormat="1">
      <c r="A147" s="2339"/>
      <c r="D147" s="2340"/>
      <c r="K147" s="26"/>
      <c r="L147" s="26"/>
    </row>
    <row r="148" spans="1:12" s="2270" customFormat="1">
      <c r="A148" s="2339"/>
      <c r="D148" s="2340"/>
      <c r="K148" s="26"/>
      <c r="L148" s="26"/>
    </row>
    <row r="149" spans="1:12" s="2270" customFormat="1">
      <c r="A149" s="2339"/>
      <c r="D149" s="2340"/>
      <c r="K149" s="26"/>
      <c r="L149" s="26"/>
    </row>
    <row r="150" spans="1:12" s="2270" customFormat="1">
      <c r="A150" s="2339"/>
      <c r="D150" s="2340"/>
      <c r="K150" s="26"/>
      <c r="L150" s="26"/>
    </row>
    <row r="151" spans="1:12" s="2270" customFormat="1">
      <c r="A151" s="2339"/>
      <c r="D151" s="2340"/>
      <c r="K151" s="26"/>
      <c r="L151" s="26"/>
    </row>
    <row r="152" spans="1:12" s="2270" customFormat="1">
      <c r="A152" s="2339"/>
      <c r="D152" s="2340"/>
      <c r="K152" s="26"/>
      <c r="L152" s="26"/>
    </row>
    <row r="153" spans="1:12" s="2270" customFormat="1">
      <c r="A153" s="2339"/>
      <c r="D153" s="2340"/>
      <c r="K153" s="26"/>
      <c r="L153" s="26"/>
    </row>
    <row r="154" spans="1:12" s="2270" customFormat="1">
      <c r="A154" s="2339"/>
      <c r="D154" s="2340"/>
      <c r="K154" s="26"/>
      <c r="L154" s="26"/>
    </row>
    <row r="155" spans="1:12" s="2270" customFormat="1">
      <c r="A155" s="2339"/>
      <c r="D155" s="2340"/>
      <c r="K155" s="26"/>
      <c r="L155" s="26"/>
    </row>
    <row r="156" spans="1:12" s="2270" customFormat="1">
      <c r="A156" s="2339"/>
      <c r="D156" s="2340"/>
      <c r="K156" s="26"/>
      <c r="L156" s="26"/>
    </row>
    <row r="157" spans="1:12" s="2270" customFormat="1">
      <c r="A157" s="2339"/>
      <c r="D157" s="2340"/>
      <c r="K157" s="26"/>
      <c r="L157" s="26"/>
    </row>
    <row r="158" spans="1:12" s="2270" customFormat="1">
      <c r="A158" s="2339"/>
      <c r="D158" s="2340"/>
      <c r="K158" s="26"/>
      <c r="L158" s="26"/>
    </row>
    <row r="159" spans="1:12" s="2270" customFormat="1">
      <c r="A159" s="2339"/>
      <c r="D159" s="2340"/>
      <c r="K159" s="26"/>
      <c r="L159" s="26"/>
    </row>
    <row r="160" spans="1:12" s="2270" customFormat="1">
      <c r="A160" s="2339"/>
      <c r="D160" s="2340"/>
      <c r="K160" s="26"/>
      <c r="L160" s="26"/>
    </row>
    <row r="161" spans="1:12" s="2270" customFormat="1">
      <c r="A161" s="2339"/>
      <c r="D161" s="2340"/>
      <c r="K161" s="26"/>
      <c r="L161" s="26"/>
    </row>
    <row r="162" spans="1:12" s="2270" customFormat="1">
      <c r="A162" s="2339"/>
      <c r="D162" s="2340"/>
      <c r="K162" s="26"/>
      <c r="L162" s="26"/>
    </row>
    <row r="163" spans="1:12" s="2270" customFormat="1">
      <c r="A163" s="2339"/>
      <c r="D163" s="2340"/>
      <c r="K163" s="26"/>
      <c r="L163" s="26"/>
    </row>
    <row r="164" spans="1:12" s="2270" customFormat="1">
      <c r="A164" s="2339"/>
      <c r="D164" s="2340"/>
      <c r="K164" s="26"/>
      <c r="L164" s="26"/>
    </row>
    <row r="165" spans="1:12" s="2270" customFormat="1">
      <c r="A165" s="2339"/>
      <c r="D165" s="2340"/>
      <c r="K165" s="26"/>
      <c r="L165" s="26"/>
    </row>
    <row r="166" spans="1:12" s="2270" customFormat="1">
      <c r="A166" s="2339"/>
      <c r="D166" s="2340"/>
      <c r="K166" s="26"/>
      <c r="L166" s="26"/>
    </row>
    <row r="167" spans="1:12" s="2270" customFormat="1">
      <c r="A167" s="2339"/>
      <c r="D167" s="2340"/>
      <c r="K167" s="26"/>
      <c r="L167" s="26"/>
    </row>
    <row r="168" spans="1:12" s="2270" customFormat="1">
      <c r="A168" s="2339"/>
      <c r="D168" s="2340"/>
      <c r="K168" s="26"/>
      <c r="L168" s="26"/>
    </row>
    <row r="169" spans="1:12" s="2270" customFormat="1">
      <c r="A169" s="2339"/>
      <c r="D169" s="2340"/>
      <c r="K169" s="26"/>
      <c r="L169" s="26"/>
    </row>
    <row r="170" spans="1:12" s="2270" customFormat="1">
      <c r="A170" s="2339"/>
      <c r="D170" s="2340"/>
      <c r="K170" s="26"/>
      <c r="L170" s="26"/>
    </row>
    <row r="171" spans="1:12" s="2270" customFormat="1">
      <c r="A171" s="2339"/>
      <c r="D171" s="2340"/>
      <c r="K171" s="26"/>
      <c r="L171" s="26"/>
    </row>
    <row r="172" spans="1:12" s="2270" customFormat="1">
      <c r="A172" s="2339"/>
      <c r="D172" s="2340"/>
      <c r="K172" s="26"/>
      <c r="L172" s="26"/>
    </row>
    <row r="173" spans="1:12" s="2270" customFormat="1">
      <c r="A173" s="2339"/>
      <c r="D173" s="2340"/>
      <c r="K173" s="26"/>
      <c r="L173" s="26"/>
    </row>
    <row r="174" spans="1:12" s="2270" customFormat="1">
      <c r="A174" s="2339"/>
      <c r="D174" s="2340"/>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 sqref="C5:C10"/>
      <selection pane="topRight" activeCell="C5" sqref="C5:C10"/>
      <selection pane="bottomLeft" activeCell="C5" sqref="C5:C10"/>
      <selection pane="bottomRight" activeCell="C10" sqref="C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9" t="s">
        <v>2081</v>
      </c>
      <c r="B1" s="3070"/>
      <c r="C1" s="3070"/>
      <c r="D1" s="3070"/>
      <c r="E1" s="3070"/>
      <c r="F1" s="3070"/>
      <c r="G1" s="307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2082</v>
      </c>
      <c r="D2" s="2362"/>
      <c r="E2" s="2363"/>
      <c r="F2" s="2282"/>
      <c r="G2" s="2361" t="s">
        <v>2083</v>
      </c>
      <c r="H2" s="2364"/>
      <c r="I2" s="2364"/>
      <c r="J2" s="2364"/>
      <c r="K2" s="2364"/>
      <c r="L2" s="2364"/>
      <c r="M2" s="2364"/>
      <c r="N2" s="2364"/>
      <c r="O2" s="2364"/>
      <c r="P2" s="2364"/>
      <c r="Q2" s="2364"/>
      <c r="R2" s="2364"/>
    </row>
    <row r="3" spans="1:29" ht="27">
      <c r="A3" s="414" t="s">
        <v>2084</v>
      </c>
      <c r="B3" s="1268" t="s">
        <v>2085</v>
      </c>
      <c r="C3" s="2366"/>
      <c r="D3" s="2367"/>
      <c r="E3" s="430" t="s">
        <v>2084</v>
      </c>
      <c r="F3" s="2368" t="s">
        <v>2086</v>
      </c>
      <c r="G3" s="2369"/>
      <c r="H3" s="2364"/>
      <c r="I3" s="2364"/>
      <c r="J3" s="2364"/>
      <c r="K3" s="2364"/>
      <c r="L3" s="2364"/>
      <c r="M3" s="2364"/>
      <c r="N3" s="2364"/>
      <c r="O3" s="2364"/>
      <c r="P3" s="2364"/>
      <c r="Q3" s="2364"/>
      <c r="R3" s="2364"/>
    </row>
    <row r="4" spans="1:29" ht="15">
      <c r="A4" s="430"/>
      <c r="B4" s="1793" t="s">
        <v>2087</v>
      </c>
      <c r="C4" s="2370"/>
      <c r="D4" s="2367"/>
      <c r="E4" s="2371"/>
      <c r="F4" s="41" t="s">
        <v>2088</v>
      </c>
      <c r="G4" s="2372"/>
      <c r="H4" s="2364"/>
      <c r="I4" s="2364"/>
      <c r="J4" s="2364"/>
      <c r="K4" s="2364"/>
      <c r="L4" s="2364"/>
      <c r="M4" s="2364"/>
      <c r="N4" s="2364"/>
      <c r="O4" s="2364"/>
      <c r="P4" s="2364"/>
      <c r="Q4" s="2364"/>
      <c r="R4" s="2364"/>
    </row>
    <row r="5" spans="1:29" ht="15">
      <c r="A5" s="430"/>
      <c r="B5" s="1793" t="s">
        <v>2089</v>
      </c>
      <c r="C5" s="2961" t="s">
        <v>3145</v>
      </c>
      <c r="D5" s="2367"/>
      <c r="E5" s="2371"/>
      <c r="F5" s="1793" t="s">
        <v>2090</v>
      </c>
      <c r="G5" s="2372"/>
      <c r="H5" s="2364"/>
      <c r="I5" s="2364"/>
      <c r="J5" s="2364"/>
      <c r="K5" s="2364"/>
      <c r="L5" s="2364"/>
      <c r="M5" s="2364"/>
      <c r="N5" s="2364"/>
      <c r="O5" s="2364"/>
      <c r="P5" s="2364"/>
      <c r="Q5" s="2364"/>
      <c r="R5" s="2364"/>
    </row>
    <row r="6" spans="1:29" ht="15">
      <c r="A6" s="430"/>
      <c r="B6" s="1793" t="s">
        <v>2091</v>
      </c>
      <c r="C6" s="3313" t="s">
        <v>3145</v>
      </c>
      <c r="D6" s="2367"/>
      <c r="E6" s="2371"/>
      <c r="F6" s="1793" t="s">
        <v>2092</v>
      </c>
      <c r="G6" s="2372"/>
      <c r="H6" s="2364"/>
      <c r="I6" s="2364"/>
      <c r="J6" s="2364"/>
      <c r="K6" s="2364"/>
      <c r="L6" s="2364"/>
      <c r="M6" s="2364"/>
      <c r="N6" s="2364"/>
      <c r="O6" s="2364"/>
      <c r="P6" s="2364"/>
      <c r="Q6" s="2364"/>
      <c r="R6" s="2364"/>
    </row>
    <row r="7" spans="1:29" ht="15.75" thickBot="1">
      <c r="A7" s="430"/>
      <c r="B7" s="1793" t="s">
        <v>2090</v>
      </c>
      <c r="C7" s="3313" t="s">
        <v>3146</v>
      </c>
      <c r="D7" s="2373"/>
      <c r="E7" s="2374"/>
      <c r="F7" s="2375" t="s">
        <v>2093</v>
      </c>
      <c r="G7" s="2376"/>
      <c r="H7" s="2364"/>
      <c r="I7" s="2364"/>
      <c r="J7" s="2364"/>
      <c r="K7" s="2364"/>
      <c r="L7" s="2364"/>
      <c r="M7" s="2364"/>
      <c r="N7" s="2364"/>
      <c r="O7" s="2364"/>
      <c r="P7" s="2364"/>
      <c r="Q7" s="2364"/>
      <c r="R7" s="2364"/>
    </row>
    <row r="8" spans="1:29" ht="15">
      <c r="A8" s="430"/>
      <c r="B8" s="1793" t="s">
        <v>2092</v>
      </c>
      <c r="C8" s="3313" t="s">
        <v>3147</v>
      </c>
      <c r="D8" s="2373"/>
      <c r="E8" s="2373"/>
      <c r="F8" s="1133"/>
      <c r="G8" s="1133"/>
      <c r="H8" s="2364"/>
      <c r="I8" s="2364"/>
      <c r="J8" s="2364"/>
      <c r="K8" s="2364"/>
      <c r="L8" s="2364"/>
      <c r="M8" s="2364"/>
      <c r="N8" s="2364"/>
      <c r="O8" s="2364"/>
      <c r="P8" s="2364"/>
      <c r="Q8" s="2364"/>
      <c r="R8" s="2364"/>
    </row>
    <row r="9" spans="1:29" ht="15">
      <c r="A9" s="430"/>
      <c r="B9" s="1793" t="s">
        <v>2094</v>
      </c>
      <c r="C9" s="2961" t="s">
        <v>3146</v>
      </c>
      <c r="D9" s="2367"/>
      <c r="E9" s="2373"/>
      <c r="F9" s="1133"/>
      <c r="G9" s="1133"/>
      <c r="H9" s="2364"/>
      <c r="I9" s="2364"/>
      <c r="J9" s="2364"/>
      <c r="K9" s="2364"/>
      <c r="L9" s="2364"/>
      <c r="M9" s="2364"/>
      <c r="N9" s="2364"/>
      <c r="O9" s="2364"/>
      <c r="P9" s="2364"/>
      <c r="Q9" s="2364"/>
      <c r="R9" s="2364"/>
    </row>
    <row r="10" spans="1:29" s="116" customFormat="1" ht="15.75" thickBot="1">
      <c r="A10" s="2377"/>
      <c r="B10" s="2378" t="s">
        <v>2095</v>
      </c>
      <c r="C10" s="2379" t="s">
        <v>3070</v>
      </c>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2096</v>
      </c>
      <c r="B13" s="2384"/>
      <c r="C13" s="2384"/>
      <c r="D13" s="2391"/>
      <c r="E13" s="2384"/>
      <c r="F13" s="2384"/>
      <c r="G13" s="2384"/>
    </row>
    <row r="14" spans="1:29" ht="15.75" thickBot="1">
      <c r="A14" s="2395"/>
      <c r="B14" s="2396"/>
      <c r="C14" s="2397" t="s">
        <v>2097</v>
      </c>
      <c r="D14" s="2367"/>
      <c r="E14" s="2398"/>
      <c r="F14" s="2398"/>
      <c r="G14" s="2361" t="s">
        <v>2098</v>
      </c>
    </row>
    <row r="15" spans="1:29" ht="27">
      <c r="A15" s="67" t="s">
        <v>2099</v>
      </c>
      <c r="B15" s="1267" t="s">
        <v>2085</v>
      </c>
      <c r="C15" s="2399">
        <f>C3</f>
        <v>0</v>
      </c>
      <c r="D15" s="2367"/>
      <c r="E15" s="2400" t="s">
        <v>2100</v>
      </c>
      <c r="F15" s="1267" t="s">
        <v>2101</v>
      </c>
      <c r="G15" s="134">
        <f>G3</f>
        <v>0</v>
      </c>
    </row>
    <row r="16" spans="1:29" ht="15">
      <c r="A16" s="644"/>
      <c r="B16" s="2401" t="s">
        <v>2087</v>
      </c>
      <c r="C16" s="2402">
        <f>C4</f>
        <v>0</v>
      </c>
      <c r="D16" s="2367"/>
      <c r="E16" s="2403"/>
      <c r="F16" s="2404" t="s">
        <v>2088</v>
      </c>
      <c r="G16" s="135">
        <f>G4</f>
        <v>0</v>
      </c>
    </row>
    <row r="17" spans="1:18" ht="71.25">
      <c r="A17" s="644"/>
      <c r="B17" s="2401" t="s">
        <v>2089</v>
      </c>
      <c r="C17" s="2402" t="str">
        <f>C5</f>
        <v>好</v>
      </c>
      <c r="D17" s="2373"/>
      <c r="E17" s="2403"/>
      <c r="F17" s="2404" t="s">
        <v>2102</v>
      </c>
      <c r="G17" s="1567"/>
    </row>
    <row r="18" spans="1:18" ht="99.75">
      <c r="A18" s="644"/>
      <c r="B18" s="2404" t="s">
        <v>2091</v>
      </c>
      <c r="C18" s="135" t="str">
        <f>C6</f>
        <v>好</v>
      </c>
      <c r="D18" s="2373"/>
      <c r="E18" s="2403"/>
      <c r="F18" s="2404" t="s">
        <v>2093</v>
      </c>
      <c r="G18" s="135">
        <f>G7</f>
        <v>0</v>
      </c>
    </row>
    <row r="19" spans="1:18" ht="15">
      <c r="A19" s="644"/>
      <c r="B19" s="2404" t="s">
        <v>2103</v>
      </c>
      <c r="C19" s="1567"/>
      <c r="D19" s="2367"/>
      <c r="E19" s="2403"/>
      <c r="F19" s="1793" t="s">
        <v>2090</v>
      </c>
      <c r="G19" s="135">
        <f>G5</f>
        <v>0</v>
      </c>
    </row>
    <row r="20" spans="1:18" ht="71.25">
      <c r="A20" s="644"/>
      <c r="B20" s="2404" t="s">
        <v>2104</v>
      </c>
      <c r="C20" s="2402" t="str">
        <f>C9</f>
        <v>较好</v>
      </c>
      <c r="D20" s="2373"/>
      <c r="E20" s="2403"/>
      <c r="F20" s="1793" t="s">
        <v>2105</v>
      </c>
      <c r="G20" s="135">
        <f>G6</f>
        <v>0</v>
      </c>
    </row>
    <row r="21" spans="1:18" ht="42.75">
      <c r="A21" s="644"/>
      <c r="B21" s="1793" t="s">
        <v>2090</v>
      </c>
      <c r="C21" s="135" t="str">
        <f>C7</f>
        <v>较好</v>
      </c>
      <c r="D21" s="2367"/>
      <c r="E21" s="2403"/>
      <c r="F21" s="2404" t="s">
        <v>2106</v>
      </c>
      <c r="G21" s="2405"/>
    </row>
    <row r="22" spans="1:18" ht="13.5" customHeight="1">
      <c r="A22" s="644"/>
      <c r="B22" s="1793" t="s">
        <v>2092</v>
      </c>
      <c r="C22" s="135" t="str">
        <f>C8</f>
        <v>七通</v>
      </c>
      <c r="D22" s="2367"/>
      <c r="E22" s="2403"/>
      <c r="F22" s="2404" t="s">
        <v>2095</v>
      </c>
      <c r="G22" s="1567"/>
    </row>
    <row r="23" spans="1:18" s="2364" customFormat="1" ht="15.75" thickBot="1">
      <c r="A23" s="644"/>
      <c r="B23" s="2404" t="s">
        <v>2106</v>
      </c>
      <c r="C23" s="2405" t="s">
        <v>3129</v>
      </c>
      <c r="D23" s="2392"/>
      <c r="E23" s="2406"/>
      <c r="F23" s="2407" t="s">
        <v>2107</v>
      </c>
      <c r="G23" s="2408"/>
      <c r="H23" s="2392"/>
      <c r="I23" s="2393"/>
      <c r="J23" s="2392"/>
      <c r="K23" s="2392"/>
      <c r="L23" s="2393"/>
      <c r="M23" s="2392"/>
      <c r="N23" s="2392"/>
      <c r="O23" s="2393"/>
      <c r="P23" s="2392"/>
      <c r="Q23" s="2392"/>
      <c r="R23" s="2394"/>
    </row>
    <row r="24" spans="1:18" s="2364" customFormat="1" ht="15.75" thickBot="1">
      <c r="A24" s="2409"/>
      <c r="B24" s="2407" t="s">
        <v>2108</v>
      </c>
      <c r="C24" s="136" t="str">
        <f>C10</f>
        <v>城市次干道-中关村大街</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8276.64</v>
      </c>
      <c r="C1" s="1740"/>
      <c r="D1" s="1740"/>
      <c r="E1" s="1740"/>
      <c r="F1" s="1740"/>
      <c r="G1" s="1738"/>
    </row>
    <row r="2" spans="1:10" ht="16.5">
      <c r="A2" s="1741" t="s">
        <v>1353</v>
      </c>
      <c r="B2" s="1741">
        <f>SUM(C14:C23)</f>
        <v>927.85</v>
      </c>
      <c r="C2" s="1740"/>
      <c r="D2" s="1740"/>
      <c r="E2" s="1740"/>
      <c r="F2" s="1740"/>
      <c r="G2" s="1738"/>
    </row>
    <row r="3" spans="1:10" ht="16.5">
      <c r="A3" s="1741" t="s">
        <v>1362</v>
      </c>
      <c r="B3" s="1742">
        <f>项目基本情况!D3</f>
        <v>43452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28831</v>
      </c>
      <c r="C5" s="1741">
        <f ca="1">ROUND(B5*10000/$B$1,0)</f>
        <v>34834</v>
      </c>
      <c r="D5" s="1741">
        <f ca="1">ROUND(B5*10000/$B$2,0)</f>
        <v>310729</v>
      </c>
      <c r="E5" s="1740"/>
      <c r="F5" s="1738"/>
      <c r="G5" s="1738"/>
    </row>
    <row r="6" spans="1:10" ht="16.5">
      <c r="A6" s="1741" t="s">
        <v>1356</v>
      </c>
      <c r="B6" s="1741">
        <f ca="1">SUM(G14:G23)</f>
        <v>28831</v>
      </c>
      <c r="C6" s="1741">
        <f ca="1">ROUND(B6*10000/$B$1,0)</f>
        <v>34834</v>
      </c>
      <c r="D6" s="1741">
        <f ca="1">ROUND(B6*10000/$B$2,0)</f>
        <v>310729</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8276.64</v>
      </c>
      <c r="C14" s="1739">
        <f>结果表!C118</f>
        <v>927.85</v>
      </c>
      <c r="D14" s="1739">
        <f ca="1">结果表!H118</f>
        <v>28831</v>
      </c>
      <c r="E14" s="1739">
        <f ca="1">ROUND(D14*10000/B14,0)</f>
        <v>34834</v>
      </c>
      <c r="F14" s="1739">
        <f ca="1">ROUND(D14*10000/C14,0)</f>
        <v>310729</v>
      </c>
      <c r="G14" s="1739">
        <f ca="1">结果表!D122</f>
        <v>28831</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5" zoomScaleNormal="100" zoomScaleSheetLayoutView="100" zoomScalePageLayoutView="80" workbookViewId="0">
      <selection activeCell="D123" sqref="D123:I123"/>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2109</v>
      </c>
      <c r="B1" s="2415"/>
      <c r="C1" s="2416" t="s">
        <v>3117</v>
      </c>
      <c r="D1" s="2415"/>
      <c r="E1" s="2415"/>
      <c r="F1" s="2417" t="s">
        <v>2110</v>
      </c>
      <c r="G1" s="2066" t="s">
        <v>3056</v>
      </c>
      <c r="H1" s="2418" t="str">
        <f>IF(G1="现房","——","估价对象范围")</f>
        <v>——</v>
      </c>
      <c r="I1" s="2419"/>
    </row>
    <row r="2" spans="1:12" ht="21.75" customHeight="1" thickBot="1">
      <c r="A2" s="3143" t="str">
        <f>项目基本情况!S2</f>
        <v>北京市北京市海淀区中关村大街18号房地产</v>
      </c>
      <c r="B2" s="3144"/>
      <c r="C2" s="3144"/>
      <c r="D2" s="3144"/>
      <c r="E2" s="3144"/>
      <c r="F2" s="3144"/>
      <c r="G2" s="3144"/>
      <c r="H2" s="3144"/>
      <c r="I2" s="3145"/>
    </row>
    <row r="3" spans="1:12" ht="12.75">
      <c r="A3" s="3146" t="s">
        <v>2111</v>
      </c>
      <c r="B3" s="3147"/>
      <c r="C3" s="3147"/>
      <c r="D3" s="3147"/>
      <c r="E3" s="3147"/>
      <c r="F3" s="3147"/>
      <c r="G3" s="3147"/>
      <c r="H3" s="3147"/>
      <c r="I3" s="3147"/>
    </row>
    <row r="4" spans="1:12" ht="14.25">
      <c r="A4" s="2422" t="s">
        <v>2112</v>
      </c>
      <c r="B4" s="2423" t="s">
        <v>2113</v>
      </c>
      <c r="C4" s="2424" t="s">
        <v>3118</v>
      </c>
      <c r="D4" s="2424" t="s">
        <v>3069</v>
      </c>
      <c r="E4" s="3127" t="s">
        <v>2114</v>
      </c>
      <c r="F4" s="3140"/>
      <c r="G4" s="3140"/>
      <c r="H4" s="3140"/>
      <c r="I4" s="3128"/>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8" t="s">
        <v>2115</v>
      </c>
      <c r="B5" s="3044">
        <v>25</v>
      </c>
      <c r="C5" s="3148">
        <v>20</v>
      </c>
      <c r="D5" s="3136">
        <v>23</v>
      </c>
      <c r="E5" s="139" t="s">
        <v>2116</v>
      </c>
      <c r="F5" s="2426"/>
      <c r="G5" s="2426"/>
      <c r="H5" s="2426"/>
      <c r="I5" s="1829"/>
    </row>
    <row r="6" spans="1:12" ht="12.75">
      <c r="A6" s="3118"/>
      <c r="B6" s="3044"/>
      <c r="C6" s="3150"/>
      <c r="D6" s="3136"/>
      <c r="E6" s="139" t="s">
        <v>2117</v>
      </c>
      <c r="F6" s="2426"/>
      <c r="G6" s="2426"/>
      <c r="H6" s="2426"/>
      <c r="I6" s="1829"/>
    </row>
    <row r="7" spans="1:12" ht="12.75">
      <c r="A7" s="3118"/>
      <c r="B7" s="3044"/>
      <c r="C7" s="3149"/>
      <c r="D7" s="3136"/>
      <c r="E7" s="139" t="s">
        <v>2118</v>
      </c>
      <c r="F7" s="2426"/>
      <c r="G7" s="2426"/>
      <c r="H7" s="2426"/>
      <c r="I7" s="1829"/>
    </row>
    <row r="8" spans="1:12" ht="12.75">
      <c r="A8" s="3118" t="s">
        <v>2119</v>
      </c>
      <c r="B8" s="3044">
        <v>15</v>
      </c>
      <c r="C8" s="3148">
        <v>10</v>
      </c>
      <c r="D8" s="3136">
        <v>12</v>
      </c>
      <c r="E8" s="139" t="s">
        <v>2120</v>
      </c>
      <c r="F8" s="2426"/>
      <c r="G8" s="2426"/>
      <c r="H8" s="2426"/>
      <c r="I8" s="1829"/>
    </row>
    <row r="9" spans="1:12" ht="12.75">
      <c r="A9" s="3118"/>
      <c r="B9" s="3044"/>
      <c r="C9" s="3149"/>
      <c r="D9" s="3136"/>
      <c r="E9" s="139" t="s">
        <v>2121</v>
      </c>
      <c r="F9" s="2426"/>
      <c r="G9" s="2426"/>
      <c r="H9" s="2426"/>
      <c r="I9" s="1829"/>
    </row>
    <row r="10" spans="1:12" ht="12.75">
      <c r="A10" s="3118" t="s">
        <v>2122</v>
      </c>
      <c r="B10" s="3044">
        <v>15</v>
      </c>
      <c r="C10" s="3148">
        <v>10</v>
      </c>
      <c r="D10" s="3136">
        <v>12</v>
      </c>
      <c r="E10" s="139" t="s">
        <v>2123</v>
      </c>
      <c r="F10" s="2426"/>
      <c r="G10" s="2426"/>
      <c r="H10" s="2426"/>
      <c r="I10" s="1829"/>
    </row>
    <row r="11" spans="1:12" ht="12.75">
      <c r="A11" s="3118"/>
      <c r="B11" s="3044"/>
      <c r="C11" s="3149"/>
      <c r="D11" s="3136"/>
      <c r="E11" s="139" t="s">
        <v>2124</v>
      </c>
      <c r="F11" s="2426"/>
      <c r="G11" s="2426"/>
      <c r="H11" s="2426"/>
      <c r="I11" s="1829"/>
    </row>
    <row r="12" spans="1:12" ht="12.75">
      <c r="A12" s="3118" t="s">
        <v>2125</v>
      </c>
      <c r="B12" s="3044">
        <v>15</v>
      </c>
      <c r="C12" s="3148">
        <v>10</v>
      </c>
      <c r="D12" s="3136">
        <v>12</v>
      </c>
      <c r="E12" s="139" t="s">
        <v>2126</v>
      </c>
      <c r="F12" s="2426"/>
      <c r="G12" s="2426"/>
      <c r="H12" s="2426"/>
      <c r="I12" s="1829"/>
    </row>
    <row r="13" spans="1:12" ht="12.75">
      <c r="A13" s="3118"/>
      <c r="B13" s="3044"/>
      <c r="C13" s="3149"/>
      <c r="D13" s="3136"/>
      <c r="E13" s="139" t="s">
        <v>2127</v>
      </c>
      <c r="F13" s="2426"/>
      <c r="G13" s="2426"/>
      <c r="H13" s="2426"/>
      <c r="I13" s="1829"/>
    </row>
    <row r="14" spans="1:12" ht="12.75">
      <c r="A14" s="3118" t="s">
        <v>2128</v>
      </c>
      <c r="B14" s="3044">
        <v>30</v>
      </c>
      <c r="C14" s="3148">
        <v>20</v>
      </c>
      <c r="D14" s="3136">
        <v>25</v>
      </c>
      <c r="E14" s="139" t="s">
        <v>2129</v>
      </c>
      <c r="F14" s="2426"/>
      <c r="G14" s="2426"/>
      <c r="H14" s="2426"/>
      <c r="I14" s="1829"/>
    </row>
    <row r="15" spans="1:12" ht="12.75">
      <c r="A15" s="3118"/>
      <c r="B15" s="3044"/>
      <c r="C15" s="3150"/>
      <c r="D15" s="3136"/>
      <c r="E15" s="139" t="s">
        <v>2130</v>
      </c>
      <c r="F15" s="2426"/>
      <c r="G15" s="2426"/>
      <c r="H15" s="2426"/>
      <c r="I15" s="1829"/>
    </row>
    <row r="16" spans="1:12" ht="12.75">
      <c r="A16" s="3118"/>
      <c r="B16" s="3044"/>
      <c r="C16" s="3149"/>
      <c r="D16" s="3136"/>
      <c r="E16" s="139" t="s">
        <v>2131</v>
      </c>
      <c r="F16" s="2426"/>
      <c r="G16" s="2426"/>
      <c r="H16" s="2426"/>
      <c r="I16" s="1829"/>
    </row>
    <row r="17" spans="1:35" ht="15">
      <c r="A17" s="2427" t="s">
        <v>2132</v>
      </c>
      <c r="B17" s="63"/>
      <c r="C17" s="140">
        <f>SUM(C5:C16)</f>
        <v>70</v>
      </c>
      <c r="D17" s="140">
        <f>SUM(D5:D16)</f>
        <v>84</v>
      </c>
      <c r="E17" s="137"/>
      <c r="F17" s="137"/>
      <c r="G17" s="137"/>
      <c r="H17" s="137"/>
      <c r="I17" s="137"/>
      <c r="K17" s="2425"/>
      <c r="L17" s="2428" t="s">
        <v>2133</v>
      </c>
      <c r="M17" s="2428" t="s">
        <v>2134</v>
      </c>
    </row>
    <row r="18" spans="1:35" ht="15.75" thickBot="1">
      <c r="A18" s="2429" t="s">
        <v>2135</v>
      </c>
      <c r="B18" s="2430"/>
      <c r="C18" s="141">
        <f>ROUND(C17/SUM(C17:D17),2)</f>
        <v>0.45</v>
      </c>
      <c r="D18" s="141">
        <f>1-C18</f>
        <v>0.55000000000000004</v>
      </c>
      <c r="E18" s="137"/>
      <c r="F18" s="137"/>
      <c r="G18" s="137"/>
      <c r="H18" s="137"/>
      <c r="I18" s="137"/>
      <c r="K18" s="2425" t="s">
        <v>2136</v>
      </c>
      <c r="L18" s="2425">
        <f>IF(C1="",'数据-汇总表'!E3,SUMIF(项目类型,C1,'数据-汇总表'!E17:E26)+SUMIF(项目类型,C1,'数据-汇总表'!I17:I26))</f>
        <v>8276.64</v>
      </c>
      <c r="M18" s="2425">
        <f>IF(C1="",'数据-汇总表'!E3,SUMIF(项目类型,C1,'数据-汇总表'!E17:E26))</f>
        <v>8276.64</v>
      </c>
    </row>
    <row r="19" spans="1:35" ht="15">
      <c r="A19" s="2431" t="s">
        <v>2137</v>
      </c>
      <c r="B19" s="2432" t="s">
        <v>2138</v>
      </c>
      <c r="C19" s="142">
        <f ca="1">SUMIF(INDIRECT("'"&amp;C4&amp;"'"&amp;"!A:A"),结果表!B19,INDIRECT("'"&amp;C4&amp;"'"&amp;"!B:B"))</f>
        <v>33293</v>
      </c>
      <c r="D19" s="143">
        <f ca="1">SUMIF(INDIRECT("'"&amp;D4&amp;"'"&amp;"!A:A"),结果表!B19,INDIRECT("'"&amp;D4&amp;"'"&amp;"!B:B"))</f>
        <v>25181</v>
      </c>
      <c r="E19" s="2431" t="s">
        <v>2139</v>
      </c>
      <c r="F19" s="2432" t="s">
        <v>2138</v>
      </c>
      <c r="G19" s="144">
        <f ca="1">ROUND(C19*$C$18+D19*$D$18,0)</f>
        <v>28831</v>
      </c>
      <c r="H19" s="2433" t="s">
        <v>2140</v>
      </c>
      <c r="I19" s="137"/>
      <c r="K19" s="2425" t="s">
        <v>2141</v>
      </c>
      <c r="L19" s="2425">
        <f>IF(C1="",'数据-汇总表'!D3,SUMIF(项目类型,C1,'数据-汇总表'!D17:D26)+SUMIF(项目类型,C1,'数据-汇总表'!H17:H27))</f>
        <v>927.85</v>
      </c>
      <c r="M19" s="2425">
        <f>IF(C1="",'数据-汇总表'!D3,SUMIF(项目类型,C1,'数据-汇总表'!D17:D26))</f>
        <v>927.85</v>
      </c>
    </row>
    <row r="20" spans="1:35" ht="15">
      <c r="A20" s="2434"/>
      <c r="B20" s="1247" t="s">
        <v>2142</v>
      </c>
      <c r="C20" s="145">
        <f ca="1">SUMIF(INDIRECT("'"&amp;C4&amp;"'"&amp;"!A:A"),结果表!B20,INDIRECT("'"&amp;C4&amp;"'"&amp;"!B:B"))</f>
        <v>40225</v>
      </c>
      <c r="D20" s="146">
        <f ca="1">SUMIF(INDIRECT("'"&amp;D4&amp;"'"&amp;"!A:A"),结果表!B20,INDIRECT("'"&amp;D4&amp;"'"&amp;"!B:B"))</f>
        <v>30424</v>
      </c>
      <c r="E20" s="2434"/>
      <c r="F20" s="1247" t="s">
        <v>2142</v>
      </c>
      <c r="G20" s="147">
        <f ca="1">ROUND(C20*$C$18+D20*$D$18,0)</f>
        <v>34834</v>
      </c>
      <c r="H20" s="982" t="s">
        <v>2143</v>
      </c>
      <c r="I20" s="137"/>
    </row>
    <row r="21" spans="1:35" ht="15" customHeight="1" thickBot="1">
      <c r="A21" s="1002"/>
      <c r="B21" s="2435" t="s">
        <v>2144</v>
      </c>
      <c r="C21" s="788">
        <f ca="1">ROUND(C19*10000/L19,0)</f>
        <v>358819</v>
      </c>
      <c r="D21" s="789">
        <f ca="1">ROUND(D19*10000/L19,0)</f>
        <v>271391</v>
      </c>
      <c r="E21" s="1002"/>
      <c r="F21" s="2435" t="s">
        <v>2144</v>
      </c>
      <c r="G21" s="148">
        <f ca="1">ROUND(G19*10000/L19,0)</f>
        <v>310729</v>
      </c>
      <c r="H21" s="2436" t="s">
        <v>2143</v>
      </c>
      <c r="I21" s="137"/>
    </row>
    <row r="22" spans="1:35" ht="15" thickBot="1">
      <c r="A22" s="2277" t="s">
        <v>2145</v>
      </c>
      <c r="B22" s="2437"/>
      <c r="C22" s="2438"/>
      <c r="D22" s="790">
        <f ca="1">IF(C19&lt;D19,D19/C19-1,C19/D19-1)</f>
        <v>0.32214765100671139</v>
      </c>
      <c r="E22" s="137"/>
      <c r="F22" s="137"/>
      <c r="G22" s="137"/>
      <c r="H22" s="137"/>
      <c r="I22" s="137"/>
    </row>
    <row r="23" spans="1:35" ht="13.5" thickBot="1">
      <c r="A23" s="2415"/>
      <c r="B23" s="2415"/>
      <c r="C23" s="2415"/>
      <c r="D23" s="2415"/>
      <c r="E23" s="137"/>
      <c r="F23" s="137"/>
      <c r="G23" s="137"/>
      <c r="H23" s="137"/>
      <c r="I23" s="137"/>
    </row>
    <row r="24" spans="1:35" ht="14.25">
      <c r="A24" s="3157" t="s">
        <v>2146</v>
      </c>
      <c r="B24" s="2432" t="s">
        <v>2138</v>
      </c>
      <c r="C24" s="144">
        <f>IF(B30=0,0,D30)</f>
        <v>0</v>
      </c>
      <c r="D24" s="2439"/>
      <c r="E24" s="137"/>
      <c r="F24" s="137"/>
      <c r="G24" s="137"/>
      <c r="H24" s="137"/>
      <c r="I24" s="137"/>
    </row>
    <row r="25" spans="1:35" ht="14.25">
      <c r="A25" s="3158"/>
      <c r="B25" s="1247" t="s">
        <v>2142</v>
      </c>
      <c r="C25" s="149">
        <f>IF(B30=0,0,C30)</f>
        <v>0</v>
      </c>
      <c r="D25" s="2440"/>
      <c r="E25" s="137"/>
      <c r="F25" s="137"/>
      <c r="G25" s="137"/>
      <c r="H25" s="137"/>
      <c r="I25" s="137"/>
    </row>
    <row r="26" spans="1:35" ht="13.5" customHeight="1">
      <c r="A26" s="2441" t="s">
        <v>2147</v>
      </c>
      <c r="B26" s="150" t="s">
        <v>2148</v>
      </c>
      <c r="C26" s="150" t="s">
        <v>2149</v>
      </c>
      <c r="D26" s="151" t="s">
        <v>2150</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2151</v>
      </c>
      <c r="B30" s="150"/>
      <c r="C30" s="150"/>
      <c r="D30" s="150"/>
      <c r="E30" s="2924" t="s">
        <v>3024</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2152</v>
      </c>
      <c r="B32" s="2445"/>
      <c r="C32" s="152">
        <f ca="1">IF(D32="总价",G19-C24,G20-C25)</f>
        <v>28831</v>
      </c>
      <c r="D32" s="2446" t="s">
        <v>2153</v>
      </c>
      <c r="E32" s="137"/>
      <c r="F32" s="137"/>
      <c r="G32" s="137"/>
      <c r="H32" s="137"/>
      <c r="I32" s="137"/>
    </row>
    <row r="33" spans="1:15" ht="15">
      <c r="A33" s="959" t="s">
        <v>2154</v>
      </c>
      <c r="B33" s="2447"/>
      <c r="C33" s="2448" t="s">
        <v>3119</v>
      </c>
      <c r="D33" s="2449" t="s">
        <v>3118</v>
      </c>
      <c r="E33" s="2450" t="s">
        <v>2155</v>
      </c>
      <c r="F33" s="2451" t="str">
        <f>IF(D32="楼面单价","取值（单价）","取值（总价）")</f>
        <v>取值（总价）</v>
      </c>
      <c r="G33" s="137"/>
      <c r="H33" s="137"/>
      <c r="I33" s="137"/>
    </row>
    <row r="34" spans="1:15" ht="15">
      <c r="A34" s="2452"/>
      <c r="B34" s="2453" t="s">
        <v>2156</v>
      </c>
      <c r="C34" s="156">
        <f ca="1">IF(C33="自定义",F34,C32-C35)</f>
        <v>25458</v>
      </c>
      <c r="D34" s="2959">
        <f ca="1">IF(C33="自定义",ROUND(C34/C32,3),IF(C33="收益比率",SUMIF(INDIRECT("'"&amp;D33&amp;"'"&amp;"!b:b"),"土地收益比率",INDIRECT("'"&amp;D33&amp;"'"&amp;"!c:c")),SUMIF(INDIRECT("'"&amp;D33&amp;"'"&amp;"!b:b"),"土地成本比率",INDIRECT("'"&amp;D33&amp;"'"&amp;"!c:c"))))</f>
        <v>0.88300000000000001</v>
      </c>
      <c r="E34" s="2454" t="s">
        <v>2157</v>
      </c>
      <c r="F34" s="1734"/>
      <c r="G34" s="137"/>
      <c r="H34" s="137"/>
      <c r="I34" s="137"/>
    </row>
    <row r="35" spans="1:15" ht="15.75" thickBot="1">
      <c r="A35" s="2455"/>
      <c r="B35" s="2456" t="s">
        <v>2158</v>
      </c>
      <c r="C35" s="1440">
        <f ca="1">IF(C33="自定义",F35,ROUND(C32*D35,0))</f>
        <v>3373</v>
      </c>
      <c r="D35" s="2960">
        <f ca="1">IF(C33="自定义",ROUND(C35/C32,3),IF(C33="收益比率",SUMIF(INDIRECT("'"&amp;D33&amp;"'"&amp;"!b:b"),"建筑物收益比率",INDIRECT("'"&amp;D33&amp;"'"&amp;"!c:c")),SUMIF(INDIRECT("'"&amp;D33&amp;"'"&amp;"!b:b"),"建筑物成本比率",INDIRECT("'"&amp;D33&amp;"'"&amp;"!c:c"))))</f>
        <v>0.11700000000000001</v>
      </c>
      <c r="E35" s="2457" t="s">
        <v>2159</v>
      </c>
      <c r="F35" s="162"/>
      <c r="G35" s="137"/>
      <c r="H35" s="137"/>
      <c r="I35" s="137"/>
    </row>
    <row r="36" spans="1:15" ht="15.75" thickBot="1">
      <c r="A36" s="3137" t="s">
        <v>2160</v>
      </c>
      <c r="B36" s="2458" t="s">
        <v>2161</v>
      </c>
      <c r="C36" s="153"/>
      <c r="D36" s="2459"/>
      <c r="E36" s="2460"/>
      <c r="F36" s="2461"/>
      <c r="G36" s="137"/>
      <c r="H36" s="137"/>
      <c r="I36" s="137"/>
    </row>
    <row r="37" spans="1:15" ht="15.75" thickBot="1">
      <c r="A37" s="3138"/>
      <c r="B37" s="2263" t="s">
        <v>2162</v>
      </c>
      <c r="C37" s="155"/>
      <c r="D37" s="1391"/>
      <c r="E37" s="1391"/>
      <c r="F37" s="2461"/>
      <c r="G37" s="137"/>
      <c r="H37" s="137"/>
      <c r="I37" s="137"/>
    </row>
    <row r="38" spans="1:15" ht="15.75" thickBot="1">
      <c r="A38" s="3139"/>
      <c r="B38" s="2462" t="s">
        <v>2163</v>
      </c>
      <c r="C38" s="726"/>
      <c r="D38" s="2463" t="s">
        <v>2164</v>
      </c>
      <c r="E38" s="1391"/>
      <c r="F38" s="2461"/>
      <c r="G38" s="137"/>
      <c r="H38" s="137"/>
      <c r="I38" s="137"/>
    </row>
    <row r="39" spans="1:15" ht="15">
      <c r="A39" s="2434" t="s">
        <v>2165</v>
      </c>
      <c r="B39" s="2464" t="s">
        <v>2166</v>
      </c>
      <c r="C39" s="2465" t="s">
        <v>2167</v>
      </c>
      <c r="D39" s="2465" t="s">
        <v>2168</v>
      </c>
      <c r="E39" s="2466" t="s">
        <v>2169</v>
      </c>
      <c r="F39" s="2461"/>
      <c r="G39" s="137"/>
      <c r="H39" s="137"/>
      <c r="I39" s="137"/>
    </row>
    <row r="40" spans="1:15" ht="14.25">
      <c r="A40" s="2467" t="s">
        <v>2170</v>
      </c>
      <c r="B40" s="157"/>
      <c r="C40" s="158"/>
      <c r="D40" s="158"/>
      <c r="E40" s="159"/>
      <c r="F40" s="2461"/>
      <c r="G40" s="137"/>
      <c r="H40" s="137"/>
      <c r="I40" s="137"/>
    </row>
    <row r="41" spans="1:15" ht="14.25">
      <c r="A41" s="2467" t="s">
        <v>2171</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hidden="1">
      <c r="A44" s="2471" t="s">
        <v>2172</v>
      </c>
      <c r="B44" s="2472"/>
      <c r="C44" s="2472"/>
      <c r="D44" s="2473"/>
      <c r="E44" s="2473"/>
      <c r="F44" s="2474"/>
      <c r="G44" s="2474"/>
      <c r="H44" s="2474"/>
      <c r="I44" s="2474"/>
      <c r="J44" s="2475" t="s">
        <v>2173</v>
      </c>
      <c r="K44" s="2476"/>
      <c r="L44" s="2476"/>
      <c r="M44" s="2476"/>
      <c r="N44" s="2476"/>
      <c r="O44" s="2476"/>
    </row>
    <row r="45" spans="1:15" ht="14.25" hidden="1" customHeight="1" thickBot="1">
      <c r="A45" s="3154" t="s">
        <v>2174</v>
      </c>
      <c r="B45" s="3155"/>
      <c r="C45" s="3156"/>
      <c r="D45" s="163">
        <f ca="1">ROUND(H101*F45,0)</f>
        <v>28831</v>
      </c>
      <c r="E45" s="164" t="s">
        <v>2175</v>
      </c>
      <c r="F45" s="165">
        <v>1</v>
      </c>
      <c r="G45" s="166" t="s">
        <v>2176</v>
      </c>
      <c r="H45" s="137"/>
      <c r="I45" s="137"/>
      <c r="J45" s="3073" t="s">
        <v>2177</v>
      </c>
      <c r="K45" s="3073"/>
      <c r="L45" s="3073"/>
      <c r="M45" s="3073"/>
      <c r="N45" s="3073"/>
      <c r="O45" s="3073"/>
    </row>
    <row r="46" spans="1:15" ht="14.25" hidden="1" customHeight="1">
      <c r="A46" s="3151" t="s">
        <v>2178</v>
      </c>
      <c r="B46" s="3152"/>
      <c r="C46" s="3152"/>
      <c r="D46" s="3152"/>
      <c r="E46" s="3152"/>
      <c r="F46" s="3152"/>
      <c r="G46" s="3153"/>
      <c r="H46" s="2477"/>
      <c r="I46" s="167"/>
      <c r="J46" s="1807">
        <v>1</v>
      </c>
      <c r="K46" s="3073" t="s">
        <v>2179</v>
      </c>
      <c r="L46" s="3073"/>
      <c r="M46" s="3074"/>
      <c r="N46" s="3074"/>
      <c r="O46" s="3074"/>
    </row>
    <row r="47" spans="1:15" ht="12" hidden="1" customHeight="1">
      <c r="A47" s="168" t="s">
        <v>2180</v>
      </c>
      <c r="B47" s="169"/>
      <c r="C47" s="170"/>
      <c r="D47" s="171" t="s">
        <v>2181</v>
      </c>
      <c r="E47" s="23" t="s">
        <v>2182</v>
      </c>
      <c r="F47" s="172" t="s">
        <v>2183</v>
      </c>
      <c r="G47" s="173" t="s">
        <v>2184</v>
      </c>
      <c r="H47" s="2477"/>
      <c r="I47" s="167"/>
      <c r="J47" s="1807">
        <v>2</v>
      </c>
      <c r="K47" s="3073" t="s">
        <v>2185</v>
      </c>
      <c r="L47" s="3073"/>
      <c r="M47" s="3075">
        <f>'数据-取费表'!B2</f>
        <v>43452</v>
      </c>
      <c r="N47" s="3075"/>
      <c r="O47" s="3075"/>
    </row>
    <row r="48" spans="1:15" ht="25.5" hidden="1">
      <c r="A48" s="3141" t="s">
        <v>2186</v>
      </c>
      <c r="B48" s="3142"/>
      <c r="C48" s="3142"/>
      <c r="D48" s="139">
        <f>IF(H48="情况1",0,IF(H48="情况2",D52,IF(H48="情况3",D53,IF(H48="情况4",D54))))</f>
        <v>0</v>
      </c>
      <c r="E48" s="1796" t="str">
        <f>IF(H48="情况4","(销售额-原购置价)×税（费）率","销售额×税（费）率")</f>
        <v>销售额×税（费）率</v>
      </c>
      <c r="F48" s="174" t="str">
        <f>IF(H48="情况1","免征",'数据-取费表'!B41)</f>
        <v>免征</v>
      </c>
      <c r="G48" s="2478" t="s">
        <v>2187</v>
      </c>
      <c r="H48" s="2479" t="s">
        <v>2188</v>
      </c>
      <c r="I48" s="2477"/>
      <c r="J48" s="1807">
        <v>3</v>
      </c>
      <c r="K48" s="3073" t="s">
        <v>2189</v>
      </c>
      <c r="L48" s="3073"/>
      <c r="M48" s="3076">
        <f ca="1">H101</f>
        <v>28831</v>
      </c>
      <c r="N48" s="3076"/>
      <c r="O48" s="3076"/>
    </row>
    <row r="49" spans="1:35" ht="25.5" hidden="1" customHeight="1">
      <c r="A49" s="175" t="s">
        <v>2190</v>
      </c>
      <c r="B49" s="3121" t="s">
        <v>2191</v>
      </c>
      <c r="C49" s="3121"/>
      <c r="D49" s="176">
        <v>0</v>
      </c>
      <c r="E49" s="22" t="s">
        <v>2192</v>
      </c>
      <c r="F49" s="27" t="s">
        <v>34</v>
      </c>
      <c r="G49" s="3102"/>
      <c r="H49" s="137"/>
      <c r="I49" s="2480"/>
      <c r="J49" s="1807">
        <v>4</v>
      </c>
      <c r="K49" s="3073" t="str">
        <f>IF(项目基本情况!E8="房地产抵押价值","房地产抵押价值","抵押担保权已注销时的房地产抵押价值")</f>
        <v>房地产抵押价值</v>
      </c>
      <c r="L49" s="3073"/>
      <c r="M49" s="3076">
        <f ca="1">IF(项目基本情况!E8="房地产抵押价值",H107,H109)</f>
        <v>28831</v>
      </c>
      <c r="N49" s="3076"/>
      <c r="O49" s="3076"/>
    </row>
    <row r="50" spans="1:35" ht="25.5" hidden="1" customHeight="1">
      <c r="A50" s="177"/>
      <c r="B50" s="3121" t="s">
        <v>2193</v>
      </c>
      <c r="C50" s="3121"/>
      <c r="D50" s="178"/>
      <c r="E50" s="30"/>
      <c r="F50" s="179"/>
      <c r="G50" s="3103"/>
      <c r="H50" s="137"/>
      <c r="I50" s="2480"/>
      <c r="J50" s="3073" t="s">
        <v>2194</v>
      </c>
      <c r="K50" s="3073"/>
      <c r="L50" s="3073"/>
      <c r="M50" s="3073"/>
      <c r="N50" s="3073"/>
      <c r="O50" s="3073"/>
    </row>
    <row r="51" spans="1:35" ht="12" hidden="1" customHeight="1">
      <c r="A51" s="180"/>
      <c r="B51" s="3121" t="s">
        <v>2195</v>
      </c>
      <c r="C51" s="3121"/>
      <c r="D51" s="181"/>
      <c r="E51" s="29"/>
      <c r="F51" s="179"/>
      <c r="G51" s="3104"/>
      <c r="H51" s="137"/>
      <c r="I51" s="2480"/>
      <c r="J51" s="2481" t="s">
        <v>2196</v>
      </c>
      <c r="K51" s="3073" t="s">
        <v>2197</v>
      </c>
      <c r="L51" s="3073"/>
      <c r="M51" s="2481" t="s">
        <v>2198</v>
      </c>
      <c r="N51" s="2481" t="s">
        <v>2199</v>
      </c>
      <c r="O51" s="2481" t="s">
        <v>2200</v>
      </c>
    </row>
    <row r="52" spans="1:35" ht="24" hidden="1" customHeight="1">
      <c r="A52" s="182" t="s">
        <v>2201</v>
      </c>
      <c r="B52" s="3121" t="s">
        <v>2202</v>
      </c>
      <c r="C52" s="3121"/>
      <c r="D52" s="181">
        <f ca="1">ROUND(D45*'数据-取费表'!B41/(1+'数据-取费表'!C42),0)</f>
        <v>1538</v>
      </c>
      <c r="E52" s="11" t="s">
        <v>2203</v>
      </c>
      <c r="F52" s="183">
        <f>'数据-取费表'!B41</f>
        <v>5.6000000000000001E-2</v>
      </c>
      <c r="G52" s="2482"/>
      <c r="H52" s="137"/>
      <c r="I52" s="2480"/>
      <c r="J52" s="1807">
        <v>1</v>
      </c>
      <c r="K52" s="3096" t="s">
        <v>2204</v>
      </c>
      <c r="L52" s="3096"/>
      <c r="M52" s="1749">
        <f>D48</f>
        <v>0</v>
      </c>
      <c r="N52" s="1807" t="str">
        <f>E48</f>
        <v>销售额×税（费）率</v>
      </c>
      <c r="O52" s="1750" t="str">
        <f>F48</f>
        <v>免征</v>
      </c>
    </row>
    <row r="53" spans="1:35" ht="12" hidden="1" customHeight="1">
      <c r="A53" s="182" t="s">
        <v>2205</v>
      </c>
      <c r="B53" s="3122" t="s">
        <v>2206</v>
      </c>
      <c r="C53" s="3123"/>
      <c r="D53" s="181">
        <f ca="1">ROUND(D45*'数据-取费表'!B41/(1+'数据-取费表'!C42),0)</f>
        <v>1538</v>
      </c>
      <c r="E53" s="11" t="s">
        <v>2203</v>
      </c>
      <c r="F53" s="183">
        <f>'数据-取费表'!B41</f>
        <v>5.6000000000000001E-2</v>
      </c>
      <c r="G53" s="2482"/>
      <c r="H53" s="137"/>
      <c r="I53" s="2480"/>
      <c r="J53" s="1807">
        <v>2</v>
      </c>
      <c r="K53" s="3096" t="s">
        <v>2207</v>
      </c>
      <c r="L53" s="3096"/>
      <c r="M53" s="1749">
        <f t="shared" ref="M53:O54" ca="1" si="0">D55</f>
        <v>14</v>
      </c>
      <c r="N53" s="1807" t="str">
        <f t="shared" si="0"/>
        <v>销售额×税（费）率</v>
      </c>
      <c r="O53" s="1750">
        <f t="shared" si="0"/>
        <v>5.0000000000000001E-4</v>
      </c>
    </row>
    <row r="54" spans="1:35" ht="12" hidden="1" customHeight="1">
      <c r="A54" s="182" t="s">
        <v>2208</v>
      </c>
      <c r="B54" s="3122" t="s">
        <v>2209</v>
      </c>
      <c r="C54" s="3123"/>
      <c r="D54" s="181">
        <f ca="1">C68</f>
        <v>1538</v>
      </c>
      <c r="E54" s="29" t="s">
        <v>2210</v>
      </c>
      <c r="F54" s="183">
        <f>'数据-取费表'!B41</f>
        <v>5.6000000000000001E-2</v>
      </c>
      <c r="G54" s="2482"/>
      <c r="H54" s="2483"/>
      <c r="I54" s="2480"/>
      <c r="J54" s="1807">
        <v>3</v>
      </c>
      <c r="K54" s="3096" t="s">
        <v>2211</v>
      </c>
      <c r="L54" s="3096"/>
      <c r="M54" s="1749">
        <f t="shared" ca="1" si="0"/>
        <v>16318</v>
      </c>
      <c r="N54" s="1807" t="str">
        <f t="shared" si="0"/>
        <v>增值额×税（费）率</v>
      </c>
      <c r="O54" s="1751" t="str">
        <f t="shared" si="0"/>
        <v>——</v>
      </c>
    </row>
    <row r="55" spans="1:35" ht="24" hidden="1" customHeight="1">
      <c r="A55" s="3160" t="s">
        <v>2212</v>
      </c>
      <c r="B55" s="3142"/>
      <c r="C55" s="3142"/>
      <c r="D55" s="184">
        <f ca="1">IF(H55="个人住宅",0,ROUND(D45*I55,0))</f>
        <v>14</v>
      </c>
      <c r="E55" s="11" t="s">
        <v>2213</v>
      </c>
      <c r="F55" s="183">
        <f>IF(H55="正常",I55,"免征")</f>
        <v>5.0000000000000001E-4</v>
      </c>
      <c r="G55" s="2482"/>
      <c r="H55" s="2479" t="s">
        <v>2214</v>
      </c>
      <c r="I55" s="185">
        <f>'数据-取费表'!B49</f>
        <v>5.0000000000000001E-4</v>
      </c>
      <c r="J55" s="1807" t="str">
        <f>IF(H59="非个人房产","",4)</f>
        <v/>
      </c>
      <c r="K55" s="3096" t="str">
        <f>IF(H59="非个人房产","——","个人所得税")</f>
        <v>——</v>
      </c>
      <c r="L55" s="3096"/>
      <c r="M55" s="1752" t="str">
        <f>D59</f>
        <v>——</v>
      </c>
      <c r="N55" s="1805" t="str">
        <f>E59</f>
        <v>——</v>
      </c>
      <c r="O55" s="1753" t="str">
        <f>F59</f>
        <v>——</v>
      </c>
    </row>
    <row r="56" spans="1:35" ht="24.75" hidden="1">
      <c r="A56" s="3160" t="s">
        <v>2215</v>
      </c>
      <c r="B56" s="3142"/>
      <c r="C56" s="3142"/>
      <c r="D56" s="184">
        <f ca="1">IF(H56="个人住宅",D57,D58)</f>
        <v>16318</v>
      </c>
      <c r="E56" s="11" t="s">
        <v>2216</v>
      </c>
      <c r="F56" s="183" t="str">
        <f>IF(H56="正常",F58,"免征")</f>
        <v>——</v>
      </c>
      <c r="G56" s="2484" t="s">
        <v>2217</v>
      </c>
      <c r="H56" s="2485" t="s">
        <v>2214</v>
      </c>
      <c r="I56" s="2486"/>
      <c r="J56" s="1807" t="str">
        <f>IF(项目基本情况!K6="上海银行",IF(J55="",4,J55+1),"")</f>
        <v/>
      </c>
      <c r="K56" s="3079" t="str">
        <f>IF(项目基本情况!K6="上海银行","其他处置费用","")</f>
        <v/>
      </c>
      <c r="L56" s="3080"/>
      <c r="M56" s="1749" t="str">
        <f>IF(项目基本情况!K6="上海银行",M69,"")</f>
        <v/>
      </c>
      <c r="N56" s="3082" t="str">
        <f>IF(项目基本情况!K6="上海银行","包含处置中涉及的律师、诉讼、拍卖、评估等费用","")</f>
        <v/>
      </c>
      <c r="O56" s="3083"/>
    </row>
    <row r="57" spans="1:35" ht="12.75" hidden="1">
      <c r="A57" s="182" t="s">
        <v>2190</v>
      </c>
      <c r="B57" s="3127" t="s">
        <v>2218</v>
      </c>
      <c r="C57" s="3128"/>
      <c r="D57" s="186">
        <v>0</v>
      </c>
      <c r="E57" s="22" t="s">
        <v>2192</v>
      </c>
      <c r="F57" s="154"/>
      <c r="G57" s="2482"/>
      <c r="H57" s="2486"/>
      <c r="I57" s="2486"/>
      <c r="J57" s="3096">
        <f>IF(AND(J55="",J56=""),4,IF(项目基本情况!K6="上海银行",结果表!J56+1,结果表!J55+1))</f>
        <v>4</v>
      </c>
      <c r="K57" s="3096" t="s">
        <v>2219</v>
      </c>
      <c r="L57" s="2487" t="s">
        <v>2220</v>
      </c>
      <c r="M57" s="1754"/>
      <c r="N57" s="1755">
        <f ca="1">SUMIF(M52:M56,"&lt;9e307")</f>
        <v>16332</v>
      </c>
      <c r="O57" s="2488"/>
      <c r="P57" s="1748">
        <f ca="1">N57/M49</f>
        <v>0.56647358745794463</v>
      </c>
    </row>
    <row r="58" spans="1:35" ht="24.75" hidden="1">
      <c r="A58" s="182" t="s">
        <v>2201</v>
      </c>
      <c r="B58" s="3127" t="s">
        <v>2221</v>
      </c>
      <c r="C58" s="3140"/>
      <c r="D58" s="184">
        <f ca="1">IF(H58="转让取得",C81,C97)</f>
        <v>16318</v>
      </c>
      <c r="E58" s="11" t="s">
        <v>2216</v>
      </c>
      <c r="F58" s="23" t="s">
        <v>34</v>
      </c>
      <c r="G58" s="2482"/>
      <c r="H58" s="2485" t="s">
        <v>2222</v>
      </c>
      <c r="I58" s="2486"/>
      <c r="J58" s="3096"/>
      <c r="K58" s="3096"/>
      <c r="L58" s="2487" t="s">
        <v>2223</v>
      </c>
      <c r="M58" s="1756"/>
      <c r="N58" s="2489" t="str">
        <f ca="1">NUMBERSTRING(INT(N57*10000),2)&amp;"元整"</f>
        <v>壹亿陆仟叁佰叁拾贰万元整</v>
      </c>
      <c r="O58" s="2490"/>
    </row>
    <row r="59" spans="1:35" ht="24.75" hidden="1" thickBot="1">
      <c r="A59" s="3100" t="s">
        <v>2224</v>
      </c>
      <c r="B59" s="3101"/>
      <c r="C59" s="3101"/>
      <c r="D59" s="187" t="str">
        <f>IF(H59="非个人房产","——",IF(H59="个人住宅",0,ROUND(D45*I59,0)))</f>
        <v>——</v>
      </c>
      <c r="E59" s="188" t="str">
        <f>IF(H59="非个人房产","——","销售额×税（费）率")</f>
        <v>——</v>
      </c>
      <c r="F59" s="189" t="str">
        <f>IF(H59="非个人房产","——",IF(H59="个人住宅","免征",I59))</f>
        <v>——</v>
      </c>
      <c r="G59" s="2491" t="s">
        <v>2217</v>
      </c>
      <c r="H59" s="2485" t="s">
        <v>2225</v>
      </c>
      <c r="I59" s="190">
        <v>0.01</v>
      </c>
      <c r="J59" s="3098">
        <f>J57+1</f>
        <v>5</v>
      </c>
      <c r="K59" s="3096" t="s">
        <v>2226</v>
      </c>
      <c r="L59" s="1807" t="s">
        <v>2220</v>
      </c>
      <c r="M59" s="1757"/>
      <c r="N59" s="1758">
        <f ca="1">M49-N57</f>
        <v>12499</v>
      </c>
      <c r="O59" s="2492"/>
    </row>
    <row r="60" spans="1:35" ht="12" hidden="1" customHeight="1">
      <c r="A60" s="2493"/>
      <c r="B60" s="2415"/>
      <c r="C60" s="2415"/>
      <c r="D60" s="2415"/>
      <c r="E60" s="2162"/>
      <c r="F60" s="2486"/>
      <c r="G60" s="2486"/>
      <c r="H60" s="2494"/>
      <c r="I60" s="137"/>
      <c r="J60" s="3099"/>
      <c r="K60" s="3096"/>
      <c r="L60" s="2487" t="s">
        <v>2223</v>
      </c>
      <c r="M60" s="1756"/>
      <c r="N60" s="2489" t="str">
        <f ca="1">NUMBERSTRING(INT(N59*10000),2)&amp;"元整"</f>
        <v>壹亿贰仟肆佰玖拾玖万元整</v>
      </c>
      <c r="O60" s="2490"/>
    </row>
    <row r="61" spans="1:35" ht="13.5" hidden="1" thickBot="1">
      <c r="A61" s="3159" t="s">
        <v>2227</v>
      </c>
      <c r="B61" s="3159"/>
      <c r="C61" s="3159"/>
      <c r="D61" s="3159"/>
      <c r="E61" s="3159"/>
      <c r="F61" s="2486"/>
      <c r="G61" s="2486"/>
      <c r="H61" s="2494"/>
      <c r="I61" s="137"/>
      <c r="J61" s="1807">
        <f>J59+1</f>
        <v>6</v>
      </c>
      <c r="K61" s="3096" t="s">
        <v>2228</v>
      </c>
      <c r="L61" s="3096"/>
      <c r="M61" s="1759"/>
      <c r="N61" s="1760">
        <f ca="1">ROUND(N59*10000/'数据-汇总表'!E3,0)</f>
        <v>15102</v>
      </c>
      <c r="O61" s="2495"/>
    </row>
    <row r="62" spans="1:35" ht="12.75" hidden="1">
      <c r="A62" s="3116" t="s">
        <v>2229</v>
      </c>
      <c r="B62" s="3117"/>
      <c r="C62" s="1799"/>
      <c r="D62" s="1799" t="s">
        <v>2230</v>
      </c>
      <c r="E62" s="191" t="s">
        <v>2231</v>
      </c>
      <c r="F62" s="2486"/>
      <c r="G62" s="2486"/>
      <c r="H62" s="2494"/>
      <c r="I62" s="137"/>
    </row>
    <row r="63" spans="1:35" ht="12.75" hidden="1">
      <c r="A63" s="202" t="s">
        <v>775</v>
      </c>
      <c r="B63" s="192" t="s">
        <v>2232</v>
      </c>
      <c r="C63" s="193">
        <f ca="1">ROUND((C64+C65)/(1+'数据-取费表'!C42),0)</f>
        <v>27458</v>
      </c>
      <c r="D63" s="194"/>
      <c r="E63" s="195"/>
      <c r="F63" s="2486"/>
      <c r="G63" s="2486"/>
      <c r="H63" s="2494"/>
      <c r="I63" s="137"/>
      <c r="J63" s="3081" t="s">
        <v>2233</v>
      </c>
      <c r="K63" s="2496" t="s">
        <v>2234</v>
      </c>
      <c r="L63" s="1747">
        <f ca="1">IF(M49&gt;10000,M49*0.5%,IF(AND(M49&gt;1000,M49&lt;=10000),M49*1%,IF(AND(M49&gt;100,M49&lt;=1000),M49*3%,IF(AND(M49&gt;10,M49&lt;=100),M49*5%,M49*8%))))</f>
        <v>144.155</v>
      </c>
      <c r="M63" s="23">
        <f ca="1">ROUND(L63,1)</f>
        <v>144.19999999999999</v>
      </c>
      <c r="Z63" s="2420"/>
      <c r="AI63" s="2421"/>
    </row>
    <row r="64" spans="1:35" ht="14.25" hidden="1" customHeight="1">
      <c r="A64" s="196" t="s">
        <v>770</v>
      </c>
      <c r="B64" s="197" t="s">
        <v>2235</v>
      </c>
      <c r="C64" s="198">
        <f ca="1">D45</f>
        <v>28831</v>
      </c>
      <c r="D64" s="199" t="s">
        <v>32</v>
      </c>
      <c r="E64" s="200"/>
      <c r="F64" s="2486"/>
      <c r="G64" s="2486"/>
      <c r="H64" s="2494"/>
      <c r="I64" s="137"/>
      <c r="J64" s="3081"/>
      <c r="K64" s="2496" t="s">
        <v>2236</v>
      </c>
      <c r="L64" s="1747">
        <f ca="1">IF(M49&gt;2000,M49*0.5%,IF(AND(M49&gt;1000,M49&lt;=2000),M49*0.6%,IF(AND(M49&gt;500,M49&lt;=1000),M49*0.7%,IF(AND(M49&gt;200,M49&lt;=500),M49*0.8%,IF(AND(M49&gt;100,M49&lt;=200),M49*0.9%,IF(AND(M49&gt;50,M49&lt;=100),M49*1%,IF(AND(M49&gt;20,M49&lt;=50),M49*1.5%,IF(AND(M49&gt;10,M49&lt;=20),M49*2%,IF(AND(M49&gt;1,M49&lt;=10),M49*2.5%)))))))))</f>
        <v>144.155</v>
      </c>
      <c r="M64" s="23">
        <f t="shared" ref="M64:M65" ca="1" si="1">ROUND(L64,1)</f>
        <v>144.19999999999999</v>
      </c>
      <c r="N64" s="137" t="s">
        <v>2237</v>
      </c>
      <c r="Z64" s="2420"/>
      <c r="AI64" s="2421"/>
    </row>
    <row r="65" spans="1:35" ht="14.25" hidden="1" customHeight="1">
      <c r="A65" s="196" t="s">
        <v>771</v>
      </c>
      <c r="B65" s="197" t="s">
        <v>2238</v>
      </c>
      <c r="C65" s="201"/>
      <c r="D65" s="199"/>
      <c r="E65" s="200"/>
      <c r="F65" s="2486"/>
      <c r="G65" s="2486"/>
      <c r="H65" s="2494"/>
      <c r="I65" s="137"/>
      <c r="J65" s="3081"/>
      <c r="K65" s="2496" t="s">
        <v>2239</v>
      </c>
      <c r="L65" s="1747">
        <f ca="1">IF(M49&gt;1000,M49*0.1%,IF(AND(M49&gt;500,M49&lt;=1000),M49*0.5%,IF(AND(M49&gt;50,M49&lt;=500),M49*1%,IF(AND(M49&gt;1,M49&lt;=50),M49*1.5%))))</f>
        <v>28.831</v>
      </c>
      <c r="M65" s="23">
        <f t="shared" ca="1" si="1"/>
        <v>28.8</v>
      </c>
      <c r="N65" s="137" t="s">
        <v>2237</v>
      </c>
      <c r="Z65" s="2420"/>
      <c r="AI65" s="2421"/>
    </row>
    <row r="66" spans="1:35" ht="14.25" hidden="1" customHeight="1">
      <c r="A66" s="202" t="s">
        <v>772</v>
      </c>
      <c r="B66" s="203" t="s">
        <v>2240</v>
      </c>
      <c r="C66" s="204"/>
      <c r="D66" s="205" t="s">
        <v>32</v>
      </c>
      <c r="E66" s="1771" t="s">
        <v>1371</v>
      </c>
      <c r="F66" s="2486"/>
      <c r="G66" s="2486"/>
      <c r="H66" s="2494"/>
      <c r="I66" s="137"/>
      <c r="J66" s="3081"/>
      <c r="K66" s="2496" t="s">
        <v>2241</v>
      </c>
      <c r="L66" s="1747">
        <f ca="1">M49*0.5%</f>
        <v>144.155</v>
      </c>
      <c r="M66" s="23">
        <f ca="1">IF(L66&gt;0.5,0.5,ROUND(L66,0))</f>
        <v>0.5</v>
      </c>
      <c r="N66" s="137" t="s">
        <v>2242</v>
      </c>
      <c r="Z66" s="2420"/>
      <c r="AI66" s="2421"/>
    </row>
    <row r="67" spans="1:35" ht="14.25" hidden="1" customHeight="1">
      <c r="A67" s="202" t="s">
        <v>773</v>
      </c>
      <c r="B67" s="203" t="s">
        <v>2243</v>
      </c>
      <c r="C67" s="206">
        <f ca="1">C63-C66</f>
        <v>27458</v>
      </c>
      <c r="D67" s="199" t="s">
        <v>32</v>
      </c>
      <c r="E67" s="200"/>
      <c r="F67" s="2486"/>
      <c r="G67" s="2486"/>
      <c r="H67" s="2494"/>
      <c r="I67" s="137"/>
      <c r="J67" s="3081"/>
      <c r="K67" s="2496" t="s">
        <v>2244</v>
      </c>
      <c r="L67" s="1747">
        <f ca="1">IF(M49&gt;=10000,(8.25+(M49-10000)*0.01%),IF(AND(M49&gt;=8000,M49&lt;10000),(7.85+(M49-8000)*0.02%),IF(AND(M49&gt;=5000,M49&lt;8000),(6.65+(M49-5000)*0.04%),IF(AND(M49&gt;=2000,M49&lt;5000),(4.25+(PM49-2000)*0.08%),IF(AND(M49&gt;=1000,M49&lt;2000),(2.75+(M49-1000)*0.15%),IF(AND(M49&gt;=100,M49&lt;1000),(0.5+(M49-100)*0.25%),IF(AND(M49&gt;0,M49&lt;100),M49*0.5%)))))))</f>
        <v>10.133100000000001</v>
      </c>
      <c r="M67" s="23">
        <f ca="1">ROUND(L67*0.9,1)</f>
        <v>9.1</v>
      </c>
      <c r="Z67" s="2420"/>
      <c r="AI67" s="2421"/>
    </row>
    <row r="68" spans="1:35" ht="14.25" hidden="1" customHeight="1" thickBot="1">
      <c r="A68" s="207" t="s">
        <v>774</v>
      </c>
      <c r="B68" s="208" t="s">
        <v>2245</v>
      </c>
      <c r="C68" s="209">
        <f ca="1">IF(C67&lt;=0,0,ROUND(C67*D68,0))</f>
        <v>1538</v>
      </c>
      <c r="D68" s="210">
        <f>'数据-取费表'!B41</f>
        <v>5.6000000000000001E-2</v>
      </c>
      <c r="E68" s="211"/>
      <c r="F68" s="2486"/>
      <c r="G68" s="2486"/>
      <c r="H68" s="2494"/>
      <c r="I68" s="137"/>
      <c r="J68" s="3081"/>
      <c r="K68" s="2496" t="s">
        <v>2246</v>
      </c>
      <c r="L68" s="1747">
        <f ca="1">IF(M49&gt;10000,M49*0.5%,IF(AND(M49&gt;5000,M49&lt;=10000),M49*1%,IF(AND(M49&gt;1000,M49&lt;=5000),M49*2%,IF(AND(M49&gt;200,M49&lt;=1000),M49*3%,M49*5%))))</f>
        <v>144.155</v>
      </c>
      <c r="M68" s="23">
        <f ca="1">ROUND(L68,1)</f>
        <v>144.19999999999999</v>
      </c>
      <c r="Z68" s="2420"/>
      <c r="AI68" s="2421"/>
    </row>
    <row r="69" spans="1:35" s="2443" customFormat="1" ht="16.5" hidden="1" customHeight="1">
      <c r="A69" s="2497"/>
      <c r="B69" s="2498"/>
      <c r="C69" s="2499"/>
      <c r="D69" s="2500"/>
      <c r="E69" s="2501"/>
      <c r="F69" s="2162"/>
      <c r="G69" s="2162"/>
      <c r="H69" s="2161"/>
      <c r="I69" s="2415"/>
      <c r="J69" s="3081"/>
      <c r="K69" s="2496" t="s">
        <v>2247</v>
      </c>
      <c r="L69" s="2502"/>
      <c r="M69" s="23">
        <f ca="1">ROUND(SUM(M63:M68),0)</f>
        <v>471</v>
      </c>
      <c r="N69" s="1748">
        <f ca="1">M69/M49</f>
        <v>1.6336582151156742E-2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hidden="1" thickBot="1">
      <c r="A70" s="3125" t="s">
        <v>2248</v>
      </c>
      <c r="B70" s="3126"/>
      <c r="C70" s="3126"/>
      <c r="D70" s="3126"/>
      <c r="E70" s="3126"/>
      <c r="F70" s="3126"/>
      <c r="G70" s="3126"/>
      <c r="H70" s="312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16" t="s">
        <v>2229</v>
      </c>
      <c r="B71" s="3117"/>
      <c r="C71" s="1799"/>
      <c r="D71" s="1799" t="s">
        <v>2230</v>
      </c>
      <c r="E71" s="212" t="s">
        <v>2231</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2" t="s">
        <v>775</v>
      </c>
      <c r="B72" s="203" t="s">
        <v>2249</v>
      </c>
      <c r="C72" s="206">
        <f ca="1">ROUND(D45/(1+'数据-取费表'!C42),0)</f>
        <v>27458</v>
      </c>
      <c r="D72" s="199" t="s">
        <v>32</v>
      </c>
      <c r="E72" s="1798"/>
      <c r="F72" s="1792"/>
      <c r="G72" s="1792"/>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2" t="s">
        <v>772</v>
      </c>
      <c r="B73" s="172" t="s">
        <v>2250</v>
      </c>
      <c r="C73" s="206">
        <f ca="1">C74+C78</f>
        <v>165</v>
      </c>
      <c r="D73" s="199" t="s">
        <v>32</v>
      </c>
      <c r="E73" s="1798"/>
      <c r="F73" s="1792"/>
      <c r="G73" s="1792"/>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6" t="s">
        <v>770</v>
      </c>
      <c r="B74" s="197" t="s">
        <v>2251</v>
      </c>
      <c r="C74" s="199">
        <f>ROUND(IF(G77="2016年5月1日后购买",C75/(1+'数据-取费表'!C42)+C76+C77,C75+C76+C77),0)</f>
        <v>0</v>
      </c>
      <c r="D74" s="199" t="s">
        <v>32</v>
      </c>
      <c r="E74" s="1798"/>
      <c r="F74" s="1792"/>
      <c r="G74" s="1792"/>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6" t="s">
        <v>776</v>
      </c>
      <c r="B75" s="197" t="s">
        <v>2252</v>
      </c>
      <c r="C75" s="217"/>
      <c r="D75" s="199" t="s">
        <v>32</v>
      </c>
      <c r="E75" s="218" t="s">
        <v>2253</v>
      </c>
      <c r="F75" s="2508" t="s">
        <v>2254</v>
      </c>
      <c r="G75" s="218" t="s">
        <v>2255</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6" t="s">
        <v>777</v>
      </c>
      <c r="B76" s="220" t="s">
        <v>2256</v>
      </c>
      <c r="C76" s="199">
        <f>IF(F75="购房发票",ROUND(C75*H75*D76,0),0)</f>
        <v>0</v>
      </c>
      <c r="D76" s="221">
        <v>0.05</v>
      </c>
      <c r="E76" s="3122" t="s">
        <v>2257</v>
      </c>
      <c r="F76" s="3121"/>
      <c r="G76" s="3121"/>
      <c r="H76" s="312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6" t="s">
        <v>778</v>
      </c>
      <c r="B77" s="197" t="s">
        <v>2258</v>
      </c>
      <c r="C77" s="199">
        <f>ROUND(IF(G77="个人住宅",0,IF(G77="2016年5月1日前购买",C75*D77,C75*D77/(1+'数据-取费表'!C42))),0)</f>
        <v>0</v>
      </c>
      <c r="D77" s="222">
        <f>'数据-取费表'!B48+'数据-取费表'!B49</f>
        <v>3.0499999999999999E-2</v>
      </c>
      <c r="E77" s="14" t="s">
        <v>2259</v>
      </c>
      <c r="F77" s="223"/>
      <c r="G77" s="2510" t="s">
        <v>2260</v>
      </c>
      <c r="H77" s="1803"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6" t="s">
        <v>771</v>
      </c>
      <c r="B78" s="197" t="s">
        <v>2261</v>
      </c>
      <c r="C78" s="224">
        <f ca="1">ROUND(D45*D78/(1+'数据-取费表'!C42),0)</f>
        <v>165</v>
      </c>
      <c r="D78" s="225">
        <f>'数据-取费表'!B43</f>
        <v>6.000000000000001E-3</v>
      </c>
      <c r="E78" s="3113" t="s">
        <v>2262</v>
      </c>
      <c r="F78" s="3114"/>
      <c r="G78" s="3114"/>
      <c r="H78" s="311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3" t="s">
        <v>2263</v>
      </c>
      <c r="C79" s="206">
        <f ca="1">C72-C73</f>
        <v>27293</v>
      </c>
      <c r="D79" s="199" t="s">
        <v>32</v>
      </c>
      <c r="E79" s="1798"/>
      <c r="F79" s="1792"/>
      <c r="G79" s="1792"/>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3" t="s">
        <v>2264</v>
      </c>
      <c r="C80" s="226">
        <f ca="1">IF(C79&lt;=0,0,C79/C73)</f>
        <v>165.41212121212121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8" t="s">
        <v>2265</v>
      </c>
      <c r="C81" s="227">
        <f ca="1">ROUND(IF(C79&lt;=0,0,IF(C80&gt;=200%,C79*60%-C73*35%,IF(C80&gt;=100%,C79*50%-C73*15%,IF(C80&gt;=50%,C79*40%-C73*5%,IF(C80&lt;50%,C79*30%,0))))),0)</f>
        <v>16318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hidden="1" thickBot="1">
      <c r="A83" s="3125" t="s">
        <v>2266</v>
      </c>
      <c r="B83" s="3126"/>
      <c r="C83" s="3126"/>
      <c r="D83" s="3126"/>
      <c r="E83" s="3126"/>
      <c r="F83" s="3126"/>
      <c r="G83" s="3126"/>
      <c r="H83" s="312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hidden="1">
      <c r="A84" s="3116" t="s">
        <v>2229</v>
      </c>
      <c r="B84" s="3117"/>
      <c r="C84" s="1799"/>
      <c r="D84" s="1799" t="s">
        <v>2230</v>
      </c>
      <c r="E84" s="212" t="s">
        <v>2231</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hidden="1">
      <c r="A85" s="202" t="s">
        <v>775</v>
      </c>
      <c r="B85" s="203" t="s">
        <v>2249</v>
      </c>
      <c r="C85" s="206">
        <f ca="1">ROUND(D45/(1+'数据-取费表'!C42),0)</f>
        <v>27458</v>
      </c>
      <c r="D85" s="199" t="s">
        <v>32</v>
      </c>
      <c r="E85" s="1798"/>
      <c r="F85" s="1792"/>
      <c r="G85" s="1792"/>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hidden="1">
      <c r="A86" s="202" t="s">
        <v>772</v>
      </c>
      <c r="B86" s="172" t="s">
        <v>2250</v>
      </c>
      <c r="C86" s="206">
        <f ca="1">IF(H88="仅含出让金",C87+C90+C91+C92+C93+C94,C87+C91+C92+C93+C94)</f>
        <v>165</v>
      </c>
      <c r="D86" s="234"/>
      <c r="E86" s="1798"/>
      <c r="F86" s="1792"/>
      <c r="G86" s="1792"/>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hidden="1">
      <c r="A87" s="216" t="s">
        <v>770</v>
      </c>
      <c r="B87" s="197" t="s">
        <v>2267</v>
      </c>
      <c r="C87" s="224">
        <f>C88+C89</f>
        <v>0</v>
      </c>
      <c r="D87" s="225"/>
      <c r="E87" s="1794"/>
      <c r="F87" s="1795"/>
      <c r="G87" s="1795"/>
      <c r="H87" s="1797"/>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hidden="1">
      <c r="A88" s="216" t="s">
        <v>776</v>
      </c>
      <c r="B88" s="197" t="s">
        <v>2268</v>
      </c>
      <c r="C88" s="235"/>
      <c r="D88" s="225"/>
      <c r="E88" s="236" t="s">
        <v>2269</v>
      </c>
      <c r="F88" s="1795"/>
      <c r="G88" s="237" t="s">
        <v>2270</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hidden="1">
      <c r="A89" s="216" t="s">
        <v>777</v>
      </c>
      <c r="B89" s="197" t="s">
        <v>2258</v>
      </c>
      <c r="C89" s="224">
        <f>ROUND(C88*D89,0)</f>
        <v>0</v>
      </c>
      <c r="D89" s="225">
        <f>'数据-取费表'!B48+'数据-取费表'!B49</f>
        <v>3.0499999999999999E-2</v>
      </c>
      <c r="E89" s="236" t="s">
        <v>2271</v>
      </c>
      <c r="F89" s="1795"/>
      <c r="G89" s="1795"/>
      <c r="H89" s="1797"/>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hidden="1">
      <c r="A90" s="216" t="s">
        <v>771</v>
      </c>
      <c r="B90" s="197" t="s">
        <v>2272</v>
      </c>
      <c r="C90" s="235"/>
      <c r="D90" s="225"/>
      <c r="E90" s="236" t="str">
        <f>IF(H88="-","土地取得成本中已包含该笔费用"," ")</f>
        <v xml:space="preserve"> </v>
      </c>
      <c r="F90" s="1795"/>
      <c r="G90" s="1795"/>
      <c r="H90" s="1797"/>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6" t="s">
        <v>2273</v>
      </c>
      <c r="B91" s="197" t="s">
        <v>2274</v>
      </c>
      <c r="C91" s="224">
        <f>IF(H91="——",成本法!C33,I91)</f>
        <v>0</v>
      </c>
      <c r="D91" s="225"/>
      <c r="E91" s="3113" t="s">
        <v>2275</v>
      </c>
      <c r="F91" s="3114"/>
      <c r="G91" s="3114"/>
      <c r="H91" s="2515" t="s">
        <v>2276</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6" t="s">
        <v>2277</v>
      </c>
      <c r="B92" s="197" t="s">
        <v>2278</v>
      </c>
      <c r="C92" s="224">
        <f>ROUND((C87+C90+C91)*D92,0)</f>
        <v>0</v>
      </c>
      <c r="D92" s="225">
        <v>0.1</v>
      </c>
      <c r="E92" s="3113" t="s">
        <v>2279</v>
      </c>
      <c r="F92" s="3114"/>
      <c r="G92" s="3114"/>
      <c r="H92" s="311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6" t="s">
        <v>2280</v>
      </c>
      <c r="B93" s="197" t="s">
        <v>2261</v>
      </c>
      <c r="C93" s="224">
        <f ca="1">ROUND(D45*D93/(1+'数据-取费表'!C42),0)</f>
        <v>165</v>
      </c>
      <c r="D93" s="225">
        <f>'数据-取费表'!B43</f>
        <v>6.000000000000001E-3</v>
      </c>
      <c r="E93" s="3113" t="s">
        <v>2262</v>
      </c>
      <c r="F93" s="3114"/>
      <c r="G93" s="3114"/>
      <c r="H93" s="311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6" t="s">
        <v>2281</v>
      </c>
      <c r="B94" s="197" t="s">
        <v>2282</v>
      </c>
      <c r="C94" s="235">
        <f>ROUND((C87+C90+C91)*D94,0)</f>
        <v>0</v>
      </c>
      <c r="D94" s="225">
        <v>0.2</v>
      </c>
      <c r="E94" s="3161" t="s">
        <v>2283</v>
      </c>
      <c r="F94" s="3162"/>
      <c r="G94" s="3162"/>
      <c r="H94" s="316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hidden="1">
      <c r="A95" s="2512" t="s">
        <v>779</v>
      </c>
      <c r="B95" s="203" t="s">
        <v>2263</v>
      </c>
      <c r="C95" s="206">
        <f ca="1">ROUND(C85-C86,0)</f>
        <v>27293</v>
      </c>
      <c r="D95" s="199" t="s">
        <v>32</v>
      </c>
      <c r="E95" s="1798"/>
      <c r="F95" s="1792"/>
      <c r="G95" s="1792"/>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780</v>
      </c>
      <c r="B96" s="203" t="s">
        <v>2264</v>
      </c>
      <c r="C96" s="226">
        <f ca="1">IF(C95&lt;=0,0,C95/C86)</f>
        <v>165.41212121212121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hidden="1" thickBot="1">
      <c r="A97" s="2513" t="s">
        <v>781</v>
      </c>
      <c r="B97" s="208" t="s">
        <v>2265</v>
      </c>
      <c r="C97" s="227">
        <f ca="1">ROUND(IF(C95&lt;=0,0,IF(C96&gt;=200%,C95*60%-C86*35%,IF(C96&gt;=100%,C95*50%-C86*15%,IF(C96&gt;=50%,C95*40%-C86*5%,IF(C96&lt;50%,C95*30%,0))))),0)</f>
        <v>16318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hidden="1" customHeight="1">
      <c r="A98" s="2493"/>
      <c r="B98" s="2415"/>
      <c r="C98" s="2415"/>
      <c r="D98" s="2415"/>
      <c r="E98" s="2162"/>
      <c r="F98" s="2162"/>
      <c r="G98" s="2162"/>
      <c r="H98" s="2161"/>
      <c r="I98" s="137"/>
    </row>
    <row r="99" spans="1:35" ht="21.75" customHeight="1" thickBot="1">
      <c r="A99" s="2471" t="s">
        <v>2284</v>
      </c>
      <c r="B99" s="2415"/>
      <c r="C99" s="2415"/>
      <c r="D99" s="2415"/>
      <c r="E99" s="2162"/>
      <c r="F99" s="2162"/>
      <c r="G99" s="2162"/>
      <c r="H99" s="2161"/>
      <c r="I99" s="137"/>
    </row>
    <row r="100" spans="1:35" ht="18.75" customHeight="1">
      <c r="A100" s="3065" t="s">
        <v>2285</v>
      </c>
      <c r="B100" s="3066"/>
      <c r="C100" s="3066"/>
      <c r="D100" s="3097"/>
      <c r="E100" s="3066" t="s">
        <v>2286</v>
      </c>
      <c r="F100" s="3066"/>
      <c r="G100" s="3066"/>
      <c r="H100" s="3097"/>
      <c r="I100" s="137"/>
    </row>
    <row r="101" spans="1:35" ht="18.75" customHeight="1">
      <c r="A101" s="3105" t="s">
        <v>2287</v>
      </c>
      <c r="B101" s="3106"/>
      <c r="C101" s="735" t="str">
        <f>C4</f>
        <v>成本法</v>
      </c>
      <c r="D101" s="736" t="str">
        <f>D4</f>
        <v>收益法</v>
      </c>
      <c r="E101" s="3077" t="s">
        <v>2288</v>
      </c>
      <c r="F101" s="3078"/>
      <c r="G101" s="2517" t="s">
        <v>2289</v>
      </c>
      <c r="H101" s="1046">
        <f ca="1">H118</f>
        <v>28831</v>
      </c>
      <c r="I101" s="137"/>
    </row>
    <row r="102" spans="1:35" ht="18.75" customHeight="1">
      <c r="A102" s="3107" t="s">
        <v>2290</v>
      </c>
      <c r="B102" s="2517" t="s">
        <v>2289</v>
      </c>
      <c r="C102" s="735">
        <f ca="1">C19</f>
        <v>33293</v>
      </c>
      <c r="D102" s="736">
        <f ca="1">D19</f>
        <v>25181</v>
      </c>
      <c r="E102" s="3077"/>
      <c r="F102" s="3078"/>
      <c r="G102" s="2517" t="s">
        <v>2291</v>
      </c>
      <c r="H102" s="370">
        <f ca="1">I118</f>
        <v>34834</v>
      </c>
      <c r="I102" s="137"/>
    </row>
    <row r="103" spans="1:35" ht="42.75" customHeight="1">
      <c r="A103" s="3107"/>
      <c r="B103" s="2517" t="s">
        <v>2291</v>
      </c>
      <c r="C103" s="737">
        <f ca="1">C20</f>
        <v>40225</v>
      </c>
      <c r="D103" s="738">
        <f ca="1">D20</f>
        <v>30424</v>
      </c>
      <c r="E103" s="3071" t="s">
        <v>2292</v>
      </c>
      <c r="F103" s="3072"/>
      <c r="G103" s="2518" t="s">
        <v>2293</v>
      </c>
      <c r="H103" s="1046">
        <f>IF(D36="正常操作",H104+H105+H106,H105+H106)</f>
        <v>0</v>
      </c>
      <c r="I103" s="137"/>
    </row>
    <row r="104" spans="1:35" ht="18.75" customHeight="1">
      <c r="A104" s="3107" t="s">
        <v>2294</v>
      </c>
      <c r="B104" s="2519" t="s">
        <v>2289</v>
      </c>
      <c r="C104" s="739">
        <f ca="1">H118</f>
        <v>28831</v>
      </c>
      <c r="D104" s="740"/>
      <c r="E104" s="2263" t="s">
        <v>2295</v>
      </c>
      <c r="F104" s="2254"/>
      <c r="G104" s="2518" t="s">
        <v>2293</v>
      </c>
      <c r="H104" s="1047">
        <f>IF(D36="同一抵押权人同一抵押物续贷",C36&amp;"（未扣减，详见特别提示）",C36)</f>
        <v>0</v>
      </c>
      <c r="I104" s="137"/>
    </row>
    <row r="105" spans="1:35" ht="18.75" customHeight="1" thickBot="1">
      <c r="A105" s="3119"/>
      <c r="B105" s="2520" t="s">
        <v>2291</v>
      </c>
      <c r="C105" s="741">
        <f ca="1">I118</f>
        <v>34834</v>
      </c>
      <c r="D105" s="742"/>
      <c r="E105" s="2263" t="s">
        <v>2296</v>
      </c>
      <c r="F105" s="2254"/>
      <c r="G105" s="2518" t="s">
        <v>2293</v>
      </c>
      <c r="H105" s="1047">
        <f>C37</f>
        <v>0</v>
      </c>
      <c r="I105" s="137"/>
    </row>
    <row r="106" spans="1:35" ht="18.75" customHeight="1">
      <c r="A106" s="2415" t="s">
        <v>2297</v>
      </c>
      <c r="B106" s="2415"/>
      <c r="C106" s="2415"/>
      <c r="D106" s="2415"/>
      <c r="E106" s="2521" t="s">
        <v>2298</v>
      </c>
      <c r="F106" s="2254"/>
      <c r="G106" s="2518" t="s">
        <v>2293</v>
      </c>
      <c r="H106" s="1047">
        <f>C38</f>
        <v>0</v>
      </c>
      <c r="I106" s="137"/>
    </row>
    <row r="107" spans="1:35" ht="18.75" customHeight="1">
      <c r="A107" s="137"/>
      <c r="B107" s="137"/>
      <c r="C107" s="137"/>
      <c r="D107" s="137"/>
      <c r="E107" s="3108" t="str">
        <f>IF(项目基本情况!E8="已注销","——","3.房地产抵押价值")</f>
        <v>3.房地产抵押价值</v>
      </c>
      <c r="F107" s="3078"/>
      <c r="G107" s="2517" t="s">
        <v>2289</v>
      </c>
      <c r="H107" s="1046">
        <f ca="1">IF(E107="——","——",H101-H103)</f>
        <v>28831</v>
      </c>
      <c r="I107" s="137"/>
    </row>
    <row r="108" spans="1:35" ht="18.75" customHeight="1">
      <c r="A108" s="137"/>
      <c r="B108" s="137"/>
      <c r="C108" s="137"/>
      <c r="D108" s="137"/>
      <c r="E108" s="3108"/>
      <c r="F108" s="3078"/>
      <c r="G108" s="2517" t="s">
        <v>2291</v>
      </c>
      <c r="H108" s="370">
        <f ca="1">ROUND(H107*10000/'数据-汇总表'!E3,0)</f>
        <v>34834</v>
      </c>
      <c r="I108" s="137"/>
    </row>
    <row r="109" spans="1:35" ht="18.75" customHeight="1">
      <c r="A109" s="137"/>
      <c r="B109" s="137"/>
      <c r="C109" s="137"/>
      <c r="D109" s="137"/>
      <c r="E109" s="3108" t="str">
        <f>IF(项目基本情况!E8="已注销及未注销","4.抵押担保权已注销时的房地产抵押价值",IF(项目基本情况!E8="已注销","3.抵押担保权已注销时的房地产抵押价值","——"))</f>
        <v>——</v>
      </c>
      <c r="F109" s="3078"/>
      <c r="G109" s="2517" t="s">
        <v>2289</v>
      </c>
      <c r="H109" s="347" t="str">
        <f>IF(E109="——","——",H101-H105-H106)</f>
        <v>——</v>
      </c>
      <c r="I109" s="137"/>
    </row>
    <row r="110" spans="1:35" ht="18.75" customHeight="1">
      <c r="A110" s="137"/>
      <c r="B110" s="137"/>
      <c r="C110" s="137"/>
      <c r="D110" s="137"/>
      <c r="E110" s="3108"/>
      <c r="F110" s="3078"/>
      <c r="G110" s="2517" t="s">
        <v>2291</v>
      </c>
      <c r="H110" s="370" t="str">
        <f>IF(H109="——","——",ROUND(H109*10000/'数据-汇总表'!E3,0))</f>
        <v>——</v>
      </c>
      <c r="I110" s="137"/>
    </row>
    <row r="111" spans="1:35" ht="18.75" customHeight="1">
      <c r="A111" s="137"/>
      <c r="B111" s="137"/>
      <c r="C111" s="137"/>
      <c r="D111" s="137"/>
      <c r="E111" s="3109" t="str">
        <f>IF(项目基本情况!E9="抵押净值",IF(OR(项目基本情况!E8="已注销",项目基本情况!E8="房地产抵押价值"),"4.抵押净值","5.抵押净值"),"——")</f>
        <v>——</v>
      </c>
      <c r="F111" s="3110"/>
      <c r="G111" s="2517" t="s">
        <v>2289</v>
      </c>
      <c r="H111" s="1046" t="str">
        <f>IF(E111="——","——",N59)</f>
        <v>——</v>
      </c>
      <c r="I111" s="137"/>
    </row>
    <row r="112" spans="1:35" ht="18.75" customHeight="1" thickBot="1">
      <c r="A112" s="137"/>
      <c r="B112" s="137"/>
      <c r="C112" s="137"/>
      <c r="D112" s="137"/>
      <c r="E112" s="3111"/>
      <c r="F112" s="3112"/>
      <c r="G112" s="2522" t="s">
        <v>2291</v>
      </c>
      <c r="H112" s="789" t="str">
        <f>IF(E111="——","——",N61)</f>
        <v>——</v>
      </c>
      <c r="I112" s="137"/>
    </row>
    <row r="113" spans="1:11" ht="18.75" customHeight="1">
      <c r="A113" s="137"/>
      <c r="B113" s="137"/>
      <c r="C113" s="137"/>
      <c r="D113" s="137"/>
      <c r="E113" s="3120" t="s">
        <v>2297</v>
      </c>
      <c r="F113" s="3120"/>
      <c r="G113" s="3120"/>
      <c r="H113" s="3120"/>
      <c r="I113" s="137"/>
    </row>
    <row r="114" spans="1:11" ht="3.75" customHeight="1">
      <c r="A114" s="2415"/>
      <c r="B114" s="2415"/>
      <c r="C114" s="2415"/>
      <c r="D114" s="2415"/>
      <c r="E114" s="2493"/>
      <c r="F114" s="2493"/>
      <c r="G114" s="2493"/>
      <c r="H114" s="2493"/>
      <c r="I114" s="2415"/>
    </row>
    <row r="115" spans="1:11" ht="18.75" customHeight="1">
      <c r="A115" s="3133" t="s">
        <v>2299</v>
      </c>
      <c r="B115" s="3134"/>
      <c r="C115" s="3134"/>
      <c r="D115" s="3134"/>
      <c r="E115" s="3134"/>
      <c r="F115" s="3134"/>
      <c r="G115" s="3134"/>
      <c r="H115" s="3134"/>
      <c r="I115" s="3135"/>
    </row>
    <row r="116" spans="1:11" ht="27" customHeight="1">
      <c r="A116" s="3044" t="s">
        <v>2300</v>
      </c>
      <c r="B116" s="3087" t="s">
        <v>3137</v>
      </c>
      <c r="C116" s="3087" t="s">
        <v>3138</v>
      </c>
      <c r="D116" s="3093" t="s">
        <v>2301</v>
      </c>
      <c r="E116" s="3094"/>
      <c r="F116" s="3129" t="s">
        <v>3139</v>
      </c>
      <c r="G116" s="3129"/>
      <c r="H116" s="3044" t="s">
        <v>2302</v>
      </c>
      <c r="I116" s="3044"/>
    </row>
    <row r="117" spans="1:11" ht="18.75" customHeight="1">
      <c r="A117" s="3044"/>
      <c r="B117" s="3088"/>
      <c r="C117" s="3088"/>
      <c r="D117" s="1793" t="s">
        <v>2303</v>
      </c>
      <c r="E117" s="1793" t="s">
        <v>2304</v>
      </c>
      <c r="F117" s="1793" t="s">
        <v>2303</v>
      </c>
      <c r="G117" s="1793" t="s">
        <v>2305</v>
      </c>
      <c r="H117" s="1793" t="s">
        <v>2303</v>
      </c>
      <c r="I117" s="1793" t="s">
        <v>2305</v>
      </c>
    </row>
    <row r="118" spans="1:11" ht="24.75" customHeight="1">
      <c r="A118" s="2523" t="str">
        <f>项目基本情况!S2</f>
        <v>北京市北京市海淀区中关村大街18号房地产</v>
      </c>
      <c r="B118" s="1793">
        <f>M18</f>
        <v>8276.64</v>
      </c>
      <c r="C118" s="1793">
        <f>M19</f>
        <v>927.85</v>
      </c>
      <c r="D118" s="1793">
        <f ca="1">ROUND(IF(D32="总价",C34,E118*B118/10000),0)</f>
        <v>25458</v>
      </c>
      <c r="E118" s="1793">
        <f ca="1">ROUND(IF(C33="自定义",IF(D32="楼面单价",C34,D118*10000/B118),I118-G118),0)</f>
        <v>30759</v>
      </c>
      <c r="F118" s="1793">
        <f ca="1">ROUND(IF(D32="总价",C35,G118*B118/10000),0)</f>
        <v>3373</v>
      </c>
      <c r="G118" s="1793">
        <f ca="1">ROUND(IF(D32="楼面单价",C35,F118*10000/B118),0)</f>
        <v>4075</v>
      </c>
      <c r="H118" s="1793">
        <f ca="1">ROUND(IF(D32="总价",C32,I118*B118/10000),0)</f>
        <v>28831</v>
      </c>
      <c r="I118" s="1793">
        <f ca="1">ROUND(IF(D32="楼面单价",C32,H118*10000/B118),0)</f>
        <v>34834</v>
      </c>
    </row>
    <row r="119" spans="1:11" ht="18.75" customHeight="1">
      <c r="A119" s="3044" t="s">
        <v>2306</v>
      </c>
      <c r="B119" s="3044"/>
      <c r="C119" s="3044"/>
      <c r="D119" s="3089" t="str">
        <f ca="1">NUMBERSTRING(INT(D118*10000),2)&amp;"元整"</f>
        <v>贰亿伍仟肆佰伍拾捌万元整</v>
      </c>
      <c r="E119" s="3090"/>
      <c r="F119" s="3089" t="str">
        <f ca="1">NUMBERSTRING(INT(F118*10000),2)&amp;"元整"</f>
        <v>叁仟叁佰柒拾叁万元整</v>
      </c>
      <c r="G119" s="3090"/>
      <c r="H119" s="3089" t="str">
        <f ca="1">NUMBERSTRING(INT(H118*10000),2)&amp;"元整"</f>
        <v>贰亿捌仟捌佰叁拾壹万元整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20" t="str">
        <f>IF(D120=0,"故，本次评估不存在"&amp;A120,"故，本次评估"&amp;A120&amp;"为人民币"&amp;D120&amp;"万元整。")</f>
        <v>故，本次评估不存在估价师知悉的法定优先受偿款</v>
      </c>
    </row>
    <row r="121" spans="1:11" ht="18.75" customHeight="1">
      <c r="A121" s="3130" t="s">
        <v>2306</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28831</v>
      </c>
      <c r="E122" s="3085"/>
      <c r="F122" s="3085"/>
      <c r="G122" s="3085"/>
      <c r="H122" s="3085"/>
      <c r="I122" s="3086"/>
    </row>
    <row r="123" spans="1:11" ht="18.75" customHeight="1">
      <c r="A123" s="3044" t="s">
        <v>2306</v>
      </c>
      <c r="B123" s="3044"/>
      <c r="C123" s="3044"/>
      <c r="D123" s="3089" t="str">
        <f ca="1">NUMBERSTRING(INT(D122*10000),2)&amp;"元整"</f>
        <v>贰亿捌仟捌佰叁拾壹万元整</v>
      </c>
      <c r="E123" s="3091"/>
      <c r="F123" s="3091"/>
      <c r="G123" s="3091"/>
      <c r="H123" s="3091"/>
      <c r="I123" s="3090"/>
    </row>
    <row r="124" spans="1:11" ht="18.75" customHeight="1">
      <c r="A124" s="3095" t="str">
        <f>IF(项目基本情况!B9="房地产市场价值","",MID(E109,3,LEN(E109)-2))</f>
        <v/>
      </c>
      <c r="B124" s="3095"/>
      <c r="C124" s="3095"/>
      <c r="D124" s="3084" t="str">
        <f>H109</f>
        <v>——</v>
      </c>
      <c r="E124" s="3085"/>
      <c r="F124" s="3085"/>
      <c r="G124" s="3085"/>
      <c r="H124" s="3085"/>
      <c r="I124" s="3086"/>
    </row>
    <row r="125" spans="1:11" ht="18.75" customHeight="1">
      <c r="A125" s="3044" t="s">
        <v>2306</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2306</v>
      </c>
      <c r="B127" s="3044"/>
      <c r="C127" s="3044"/>
      <c r="D127" s="3089" t="e">
        <f>NUMBERSTRING(INT(D126*10000),2)&amp;"元整"</f>
        <v>#VALUE!</v>
      </c>
      <c r="E127" s="3091"/>
      <c r="F127" s="3091"/>
      <c r="G127" s="3091"/>
      <c r="H127" s="3091"/>
      <c r="I127" s="3090"/>
    </row>
    <row r="128" spans="1:11" ht="21.75" customHeight="1">
      <c r="A128" s="3092" t="s">
        <v>2307</v>
      </c>
      <c r="B128" s="3092"/>
      <c r="C128" s="3092"/>
      <c r="D128" s="3092"/>
      <c r="E128" s="3092"/>
      <c r="F128" s="3092"/>
      <c r="G128" s="3092"/>
      <c r="H128" s="3092"/>
      <c r="I128" s="3092"/>
    </row>
    <row r="129" spans="1:35" ht="21.75" customHeight="1">
      <c r="A129" s="2524" t="s">
        <v>2308</v>
      </c>
      <c r="B129" s="2525"/>
      <c r="C129" s="2526" t="s">
        <v>2309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2310</v>
      </c>
      <c r="G135" s="2541"/>
      <c r="H135" s="2541"/>
      <c r="I135" s="2542" t="s">
        <v>2311</v>
      </c>
    </row>
    <row r="136" spans="1:35" ht="21.75" customHeight="1">
      <c r="A136" s="794"/>
      <c r="B136" s="2543"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2313</v>
      </c>
    </row>
    <row r="139" spans="1:35" ht="21.75" customHeight="1">
      <c r="A139" s="794"/>
      <c r="B139" s="2543" t="s">
        <v>2314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2313</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31" workbookViewId="0">
      <selection activeCell="D25" sqref="D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35" t="s">
        <v>3117</v>
      </c>
      <c r="C1" s="241"/>
      <c r="D1" s="241"/>
      <c r="E1" s="241"/>
      <c r="F1" s="241"/>
      <c r="G1" s="1379">
        <f>MATCH(B1,'数据-取费表'!A6:A16,0)+5</f>
        <v>6</v>
      </c>
    </row>
    <row r="2" spans="1:9" s="243" customFormat="1" ht="18" customHeight="1">
      <c r="A2" s="244" t="s">
        <v>2316</v>
      </c>
      <c r="B2" s="245">
        <f ca="1">IF(D2="——",C52,C52-E2)</f>
        <v>33293</v>
      </c>
      <c r="C2" s="242" t="s">
        <v>2317</v>
      </c>
      <c r="D2" s="2546" t="s">
        <v>70</v>
      </c>
      <c r="E2" s="1439" t="e">
        <f ca="1">SUMIF(INDIRECT("'"&amp;G2&amp;"'"&amp;"!A:A"),"承租人权益价值",INDIRECT("'"&amp;G2&amp;"'"&amp;"!c:c"))</f>
        <v>#REF!</v>
      </c>
      <c r="F2" s="2547" t="s">
        <v>2317</v>
      </c>
      <c r="G2" s="2548"/>
    </row>
    <row r="3" spans="1:9" s="243" customFormat="1" ht="18" customHeight="1" thickBot="1">
      <c r="A3" s="246" t="s">
        <v>2318</v>
      </c>
      <c r="B3" s="247">
        <f ca="1">ROUND(B2*10000/(IF(B1="",'数据-汇总表'!E3,INDIRECT("'数据-取费表'!k"&amp;$G$1))),0)</f>
        <v>40225</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 ca="1">C6+C7+C8</f>
        <v>20504</v>
      </c>
      <c r="D5" s="254" t="s">
        <v>2323</v>
      </c>
      <c r="E5" s="255" t="s">
        <v>2324</v>
      </c>
      <c r="F5" s="255" t="s">
        <v>2325</v>
      </c>
      <c r="G5" s="256"/>
    </row>
    <row r="6" spans="1:9" s="257" customFormat="1" ht="13.5" customHeight="1">
      <c r="A6" s="951" t="s">
        <v>2326</v>
      </c>
      <c r="B6" s="258" t="s">
        <v>2327</v>
      </c>
      <c r="C6" s="259">
        <f ca="1">基准地价修正!B2</f>
        <v>19736</v>
      </c>
      <c r="D6" s="260"/>
      <c r="E6" s="261"/>
      <c r="F6" s="261"/>
      <c r="G6" s="262"/>
    </row>
    <row r="7" spans="1:9" s="257" customFormat="1" ht="13.5" customHeight="1">
      <c r="A7" s="951" t="s">
        <v>2328</v>
      </c>
      <c r="B7" s="258" t="s">
        <v>2329</v>
      </c>
      <c r="C7" s="263">
        <f ca="1">ROUND(C6*F7,0)</f>
        <v>602</v>
      </c>
      <c r="D7" s="263"/>
      <c r="E7" s="261"/>
      <c r="F7" s="264">
        <f>'数据-取费表'!B48+'数据-取费表'!B49</f>
        <v>3.0499999999999999E-2</v>
      </c>
      <c r="G7" s="262"/>
    </row>
    <row r="8" spans="1:9" s="266" customFormat="1">
      <c r="A8" s="951" t="s">
        <v>2330</v>
      </c>
      <c r="B8" s="258" t="s">
        <v>2331</v>
      </c>
      <c r="C8" s="263">
        <f ca="1">IF(G8="已包含在土地购买价格中","0",IF(B1="",'数据-取费表'!B29,IF(G9="全部缴纳",C9+C10,H9)))</f>
        <v>166</v>
      </c>
      <c r="D8" s="265"/>
      <c r="E8" s="263"/>
      <c r="F8" s="264"/>
      <c r="G8" s="2549" t="s">
        <v>3081</v>
      </c>
    </row>
    <row r="9" spans="1:9" s="257" customFormat="1" ht="13.5" customHeight="1">
      <c r="A9" s="952" t="s">
        <v>800</v>
      </c>
      <c r="B9" s="267" t="s">
        <v>2332</v>
      </c>
      <c r="C9" s="268">
        <f ca="1">ROUND(D9*E9/10000,0)</f>
        <v>0</v>
      </c>
      <c r="D9" s="1034">
        <f ca="1">IF(B1="",'数据-汇总表'!E5,IF(INDIRECT("'数据-取费表'!c"&amp;$G$1)="住宅",INDIRECT("'数据-取费表'!k"&amp;$G$1),0))</f>
        <v>0</v>
      </c>
      <c r="E9" s="268">
        <f>'数据-取费表'!B27</f>
        <v>0</v>
      </c>
      <c r="F9" s="264"/>
      <c r="G9" s="2550" t="s">
        <v>3144</v>
      </c>
      <c r="H9" s="2964">
        <f ca="1">C10</f>
        <v>166</v>
      </c>
      <c r="I9" s="2551" t="s">
        <v>2333</v>
      </c>
    </row>
    <row r="10" spans="1:9" s="257" customFormat="1" ht="13.5" customHeight="1">
      <c r="A10" s="952" t="s">
        <v>801</v>
      </c>
      <c r="B10" s="267" t="s">
        <v>2334</v>
      </c>
      <c r="C10" s="268">
        <f ca="1">ROUND(D10*E10/10000,0)</f>
        <v>166</v>
      </c>
      <c r="D10" s="1034">
        <f ca="1">IF(B1="",'数据-汇总表'!E6,IF(INDIRECT("'数据-取费表'!c"&amp;$G$1)="住宅",INDIRECT("'数据-取费表'!s"&amp;$G$1),INDIRECT("'数据-取费表'!k"&amp;$G$1)+INDIRECT("'数据-取费表'!s"&amp;$G$1)))</f>
        <v>8276.64</v>
      </c>
      <c r="E10" s="268">
        <f>'数据-取费表'!B28</f>
        <v>200</v>
      </c>
      <c r="F10" s="264"/>
      <c r="G10" s="269"/>
    </row>
    <row r="11" spans="1:9" s="257" customFormat="1" ht="13.5" hidden="1" customHeight="1">
      <c r="A11" s="270" t="s">
        <v>7</v>
      </c>
      <c r="B11" s="258" t="s">
        <v>2335</v>
      </c>
      <c r="C11" s="254"/>
      <c r="D11" s="1036"/>
      <c r="E11" s="261"/>
      <c r="F11" s="261"/>
      <c r="G11" s="262"/>
    </row>
    <row r="12" spans="1:9" s="257" customFormat="1" ht="13.5" hidden="1" customHeight="1">
      <c r="A12" s="270" t="s">
        <v>8</v>
      </c>
      <c r="B12" s="258" t="s">
        <v>2336</v>
      </c>
      <c r="C12" s="254">
        <v>0</v>
      </c>
      <c r="D12" s="1036"/>
      <c r="E12" s="271"/>
      <c r="F12" s="264">
        <v>3.0499999999999999E-2</v>
      </c>
      <c r="G12" s="262"/>
    </row>
    <row r="13" spans="1:9" s="257" customFormat="1" ht="13.5" hidden="1" customHeight="1">
      <c r="A13" s="270" t="s">
        <v>9</v>
      </c>
      <c r="B13" s="258" t="s">
        <v>2337</v>
      </c>
      <c r="C13" s="254"/>
      <c r="D13" s="1036"/>
      <c r="E13" s="261"/>
      <c r="F13" s="261"/>
      <c r="G13" s="262"/>
    </row>
    <row r="14" spans="1:9" s="257" customFormat="1" ht="13.5" hidden="1" customHeight="1">
      <c r="A14" s="270" t="s">
        <v>10</v>
      </c>
      <c r="B14" s="258" t="s">
        <v>2338</v>
      </c>
      <c r="C14" s="254"/>
      <c r="D14" s="1036"/>
      <c r="E14" s="261"/>
      <c r="F14" s="261"/>
      <c r="G14" s="262" t="s">
        <v>2339</v>
      </c>
    </row>
    <row r="15" spans="1:9" s="257" customFormat="1" ht="13.5" hidden="1" customHeight="1">
      <c r="A15" s="270" t="s">
        <v>11</v>
      </c>
      <c r="B15" s="258" t="s">
        <v>2340</v>
      </c>
      <c r="C15" s="263"/>
      <c r="D15" s="1036"/>
      <c r="E15" s="261"/>
      <c r="F15" s="261"/>
      <c r="G15" s="262" t="s">
        <v>2341</v>
      </c>
    </row>
    <row r="16" spans="1:9" s="257" customFormat="1" ht="13.5" hidden="1" customHeight="1">
      <c r="A16" s="270" t="s">
        <v>12</v>
      </c>
      <c r="B16" s="258" t="s">
        <v>2338</v>
      </c>
      <c r="C16" s="263"/>
      <c r="D16" s="1036"/>
      <c r="E16" s="261"/>
      <c r="F16" s="261"/>
      <c r="G16" s="262"/>
    </row>
    <row r="17" spans="1:7" s="257" customFormat="1" ht="13.5" hidden="1" customHeight="1">
      <c r="A17" s="270" t="s">
        <v>13</v>
      </c>
      <c r="B17" s="258" t="s">
        <v>2342</v>
      </c>
      <c r="C17" s="272"/>
      <c r="D17" s="1037"/>
      <c r="E17" s="272"/>
      <c r="F17" s="272"/>
      <c r="G17" s="262" t="s">
        <v>2341</v>
      </c>
    </row>
    <row r="18" spans="1:7" s="257" customFormat="1" ht="13.5" hidden="1" customHeight="1">
      <c r="A18" s="270" t="s">
        <v>14</v>
      </c>
      <c r="B18" s="258" t="s">
        <v>2343</v>
      </c>
      <c r="C18" s="263">
        <v>0</v>
      </c>
      <c r="D18" s="1036"/>
      <c r="E18" s="261"/>
      <c r="F18" s="264">
        <v>3.0499999999999999E-2</v>
      </c>
      <c r="G18" s="262" t="s">
        <v>2344</v>
      </c>
    </row>
    <row r="19" spans="1:7" s="266" customFormat="1" ht="13.5" customHeight="1">
      <c r="A19" s="298" t="s">
        <v>2345</v>
      </c>
      <c r="B19" s="253" t="s">
        <v>2346</v>
      </c>
      <c r="C19" s="254" t="str">
        <f>IF(G19="已包含在土地取得成本中","0",ROUND(D19*E19/10000,0))</f>
        <v>0</v>
      </c>
      <c r="D19" s="1038">
        <f ca="1">D9+D10</f>
        <v>8276.64</v>
      </c>
      <c r="E19" s="254">
        <f>'数据-取费表'!B31</f>
        <v>200</v>
      </c>
      <c r="F19" s="274"/>
      <c r="G19" s="2549" t="s">
        <v>3082</v>
      </c>
    </row>
    <row r="20" spans="1:7" s="257" customFormat="1" ht="13.5" customHeight="1">
      <c r="A20" s="298" t="s">
        <v>2347</v>
      </c>
      <c r="B20" s="253" t="s">
        <v>2348</v>
      </c>
      <c r="C20" s="275">
        <f ca="1">ROUND((C5+C19)*F20,0)</f>
        <v>410</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54">
        <f ca="1">ROUND(SUM(C23:C25),0)</f>
        <v>2013</v>
      </c>
      <c r="D22" s="278">
        <f ca="1">C26</f>
        <v>1E-3</v>
      </c>
      <c r="E22" s="279" t="s">
        <v>2352</v>
      </c>
      <c r="F22" s="280">
        <f ca="1">'数据-取费表'!B40</f>
        <v>4.7500000000000001E-2</v>
      </c>
      <c r="G22" s="277" t="str">
        <f>IF('数据-取费表'!B22&lt;=1,"单利计息","复利计息")</f>
        <v>复利计息</v>
      </c>
    </row>
    <row r="23" spans="1:7" s="257" customFormat="1" ht="13.5" customHeight="1">
      <c r="A23" s="953" t="s">
        <v>2356</v>
      </c>
      <c r="B23" s="258" t="s">
        <v>2357</v>
      </c>
      <c r="C23" s="1355">
        <f ca="1">ROUND(IF('数据-取费表'!B22&lt;=1,C5*F22*'数据-取费表'!B23,C5*(POWER((1+F22),'数据-取费表'!B23)-1)),0)</f>
        <v>1994</v>
      </c>
      <c r="D23" s="281"/>
      <c r="E23" s="281"/>
      <c r="F23" s="282"/>
      <c r="G23" s="283" t="s">
        <v>2358</v>
      </c>
    </row>
    <row r="24" spans="1:7" s="257" customFormat="1" ht="13.5" customHeight="1">
      <c r="A24" s="953" t="s">
        <v>2359</v>
      </c>
      <c r="B24" s="258" t="s">
        <v>2360</v>
      </c>
      <c r="C24" s="1355">
        <f ca="1">ROUND(IF('数据-取费表'!B22&lt;=1,C19*F22*('数据-取费表'!B19/2+'数据-取费表'!B21),C19*(POWER((1+F22),('数据-取费表'!B19/2+'数据-取费表'!B21))-1)),0)</f>
        <v>0</v>
      </c>
      <c r="D24" s="281"/>
      <c r="E24" s="281"/>
      <c r="F24" s="282"/>
      <c r="G24" s="283" t="s">
        <v>2361</v>
      </c>
    </row>
    <row r="25" spans="1:7" s="257" customFormat="1" ht="24">
      <c r="A25" s="953" t="s">
        <v>2362</v>
      </c>
      <c r="B25" s="258" t="s">
        <v>2363</v>
      </c>
      <c r="C25" s="1355">
        <f ca="1">ROUND(IF('数据-取费表'!B22&lt;=1,C20*F22*'数据-取费表'!B23/2,C20*(POWER((1+F22),'数据-取费表'!B23/2)-1)),0)</f>
        <v>19</v>
      </c>
      <c r="D25" s="281"/>
      <c r="E25" s="284"/>
      <c r="F25" s="282"/>
      <c r="G25" s="285" t="s">
        <v>2364</v>
      </c>
    </row>
    <row r="26" spans="1:7" s="257" customFormat="1">
      <c r="A26" s="953" t="s">
        <v>795</v>
      </c>
      <c r="B26" s="258" t="s">
        <v>2365</v>
      </c>
      <c r="C26" s="281">
        <f ca="1">ROUND(IF('数据-取费表'!B22&lt;=1,F21*F22*'数据-取费表'!B23/2,F21*(POWER((1+F22),'数据-取费表'!B23/2)-1)),4)</f>
        <v>1E-3</v>
      </c>
      <c r="D26" s="281"/>
      <c r="E26" s="284"/>
      <c r="F26" s="282"/>
      <c r="G26" s="286"/>
    </row>
    <row r="27" spans="1:7" s="257" customFormat="1" ht="24.75">
      <c r="A27" s="298" t="s">
        <v>2366</v>
      </c>
      <c r="B27" s="287" t="s">
        <v>2367</v>
      </c>
      <c r="C27" s="288">
        <f ca="1">C28</f>
        <v>4183</v>
      </c>
      <c r="D27" s="278">
        <f ca="1">C29</f>
        <v>4.0000000000000001E-3</v>
      </c>
      <c r="E27" s="279" t="s">
        <v>2368</v>
      </c>
      <c r="F27" s="289">
        <f ca="1">IF(B1="",'数据-取费表'!Q16,INDIRECT("'数据-取费表'!q"&amp;$G$1))</f>
        <v>0.2</v>
      </c>
      <c r="G27" s="290" t="s">
        <v>2369</v>
      </c>
    </row>
    <row r="28" spans="1:7" s="257" customFormat="1" ht="13.5" customHeight="1">
      <c r="A28" s="953" t="s">
        <v>791</v>
      </c>
      <c r="B28" s="291" t="s">
        <v>2370</v>
      </c>
      <c r="C28" s="292">
        <f ca="1">ROUND((C5+C19+C20)*F27*'数据-取费表'!B21/'数据-取费表'!B20,0)</f>
        <v>4183</v>
      </c>
      <c r="D28" s="278"/>
      <c r="E28" s="279"/>
      <c r="F28" s="289"/>
      <c r="G28" s="290"/>
    </row>
    <row r="29" spans="1:7" s="257" customFormat="1" ht="13.5" customHeight="1">
      <c r="A29" s="953" t="s">
        <v>792</v>
      </c>
      <c r="B29" s="291" t="s">
        <v>2371</v>
      </c>
      <c r="C29" s="281">
        <f ca="1">ROUND(C21*F27*'数据-取费表'!B21/'数据-取费表'!B20,4)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29413</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3626</v>
      </c>
      <c r="D33" s="275"/>
      <c r="E33" s="255"/>
      <c r="F33" s="284"/>
      <c r="G33" s="277"/>
    </row>
    <row r="34" spans="1:7" s="301" customFormat="1" ht="13.5" customHeight="1">
      <c r="A34" s="953" t="s">
        <v>791</v>
      </c>
      <c r="B34" s="258" t="s">
        <v>2379</v>
      </c>
      <c r="C34" s="263">
        <f ca="1">IF(B1="",IF(F34=100%,'数据-取费表'!M16,'数据-取费表'!O16),IF(F34=100%,INDIRECT("'数据-取费表'!m"&amp;$G$1)+INDIRECT("'数据-取费表'!t"&amp;$G$1),INDIRECT("'数据-取费表'!o"&amp;$G$1)+INDIRECT("'数据-取费表'!aq"&amp;$G$1)))</f>
        <v>3311</v>
      </c>
      <c r="D34" s="260"/>
      <c r="E34" s="263"/>
      <c r="F34" s="300">
        <f ca="1">IF('数据-取费表'!B24=0,1,IF(B1="",'数据-取费表'!N16,INDIRECT("'数据-取费表'!n"&amp;$G$1)))</f>
        <v>1</v>
      </c>
      <c r="G34" s="262" t="s">
        <v>2380</v>
      </c>
    </row>
    <row r="35" spans="1:7" ht="13.5" customHeight="1">
      <c r="A35" s="953" t="s">
        <v>796</v>
      </c>
      <c r="B35" s="258" t="s">
        <v>2381</v>
      </c>
      <c r="C35" s="263">
        <f ca="1">ROUND(C34*F35,0)</f>
        <v>99</v>
      </c>
      <c r="D35" s="263"/>
      <c r="E35" s="263"/>
      <c r="F35" s="302">
        <f>'数据-取费表'!B33</f>
        <v>0.03</v>
      </c>
      <c r="G35" s="262" t="s">
        <v>2382</v>
      </c>
    </row>
    <row r="36" spans="1:7" ht="24">
      <c r="A36" s="953"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53" t="s">
        <v>798</v>
      </c>
      <c r="B37" s="258" t="s">
        <v>2385</v>
      </c>
      <c r="C37" s="292">
        <f ca="1">ROUND(E37*D37*F34/10000,0)</f>
        <v>166</v>
      </c>
      <c r="D37" s="260">
        <f ca="1">D19</f>
        <v>8276.64</v>
      </c>
      <c r="E37" s="292">
        <f>'数据-取费表'!B35</f>
        <v>200</v>
      </c>
      <c r="F37" s="302"/>
      <c r="G37" s="304" t="s">
        <v>2386</v>
      </c>
    </row>
    <row r="38" spans="1:7" ht="13.5" customHeight="1">
      <c r="A38" s="953" t="s">
        <v>799</v>
      </c>
      <c r="B38" s="258" t="s">
        <v>2387</v>
      </c>
      <c r="C38" s="263">
        <f ca="1">ROUND(C34*F38,0)</f>
        <v>50</v>
      </c>
      <c r="D38" s="263"/>
      <c r="E38" s="263"/>
      <c r="F38" s="302">
        <f>'数据-取费表'!B36</f>
        <v>1.4999999999999999E-2</v>
      </c>
      <c r="G38" s="262" t="s">
        <v>2382</v>
      </c>
    </row>
    <row r="39" spans="1:7" s="257" customFormat="1" ht="13.5" customHeight="1">
      <c r="A39" s="298" t="s">
        <v>2388</v>
      </c>
      <c r="B39" s="253" t="s">
        <v>2389</v>
      </c>
      <c r="C39" s="275">
        <f ca="1">ROUND(C33*F20,0)</f>
        <v>73</v>
      </c>
      <c r="D39" s="275"/>
      <c r="E39" s="275"/>
      <c r="F39" s="276"/>
      <c r="G39" s="277" t="s">
        <v>2390</v>
      </c>
    </row>
    <row r="40" spans="1:7" s="257" customFormat="1" ht="13.5" customHeight="1">
      <c r="A40" s="298" t="s">
        <v>2391</v>
      </c>
      <c r="B40" s="253" t="s">
        <v>2392</v>
      </c>
      <c r="C40" s="1726">
        <f>F21</f>
        <v>0.02</v>
      </c>
      <c r="D40" s="279" t="s">
        <v>2393</v>
      </c>
      <c r="E40" s="275"/>
      <c r="F40" s="276"/>
      <c r="G40" s="277" t="s">
        <v>2394</v>
      </c>
    </row>
    <row r="41" spans="1:7" s="257" customFormat="1" ht="13.5" customHeight="1">
      <c r="A41" s="298" t="s">
        <v>2395</v>
      </c>
      <c r="B41" s="253" t="s">
        <v>2396</v>
      </c>
      <c r="C41" s="275">
        <f ca="1">ROUND(SUM(C42:C43),0)</f>
        <v>175</v>
      </c>
      <c r="D41" s="278">
        <f ca="1">C44</f>
        <v>1E-3</v>
      </c>
      <c r="E41" s="279" t="s">
        <v>2393</v>
      </c>
      <c r="F41" s="280"/>
      <c r="G41" s="277" t="str">
        <f>IF('数据-取费表'!B22&lt;=1,"单利计息","复利计息")</f>
        <v>复利计息</v>
      </c>
    </row>
    <row r="42" spans="1:7" ht="13.5" customHeight="1">
      <c r="A42" s="953" t="s">
        <v>791</v>
      </c>
      <c r="B42" s="258" t="s">
        <v>2397</v>
      </c>
      <c r="C42" s="281">
        <f ca="1">ROUND(IF('数据-取费表'!B22&lt;=1,C33*F22*'数据-取费表'!B21/2,C33*(POWER((1+F22),'数据-取费表'!B21/2)-1)),0)</f>
        <v>172</v>
      </c>
      <c r="D42" s="281"/>
      <c r="E42" s="281"/>
      <c r="F42" s="282"/>
      <c r="G42" s="3164" t="s">
        <v>2398</v>
      </c>
    </row>
    <row r="43" spans="1:7" ht="13.5" customHeight="1">
      <c r="A43" s="953" t="s">
        <v>792</v>
      </c>
      <c r="B43" s="258" t="s">
        <v>2399</v>
      </c>
      <c r="C43" s="281">
        <f ca="1">ROUND(IF('数据-取费表'!B22&lt;=1,C39*F22*'数据-取费表'!B21/2,C39*(POWER((1+F22),'数据-取费表'!B21/2)-1)),0)</f>
        <v>3</v>
      </c>
      <c r="D43" s="281"/>
      <c r="E43" s="281"/>
      <c r="F43" s="282"/>
      <c r="G43" s="3165"/>
    </row>
    <row r="44" spans="1:7" ht="13.5" customHeight="1">
      <c r="A44" s="953" t="s">
        <v>793</v>
      </c>
      <c r="B44" s="258" t="s">
        <v>2400</v>
      </c>
      <c r="C44" s="281">
        <f ca="1">ROUND(IF('数据-取费表'!B22&lt;=1,C40*F22*'数据-取费表'!B21/2,C40*(POWER((1+F22),'数据-取费表'!B21/2)-1)),4)</f>
        <v>1E-3</v>
      </c>
      <c r="D44" s="281"/>
      <c r="E44" s="281"/>
      <c r="F44" s="282"/>
      <c r="G44" s="3166"/>
    </row>
    <row r="45" spans="1:7" s="257" customFormat="1" ht="13.5" customHeight="1">
      <c r="A45" s="298" t="s">
        <v>2401</v>
      </c>
      <c r="B45" s="287" t="s">
        <v>2367</v>
      </c>
      <c r="C45" s="288">
        <f ca="1">C46</f>
        <v>740</v>
      </c>
      <c r="D45" s="278">
        <f ca="1">C47</f>
        <v>4.0000000000000001E-3</v>
      </c>
      <c r="E45" s="279" t="s">
        <v>2393</v>
      </c>
      <c r="F45" s="289"/>
      <c r="G45" s="290" t="s">
        <v>2402</v>
      </c>
    </row>
    <row r="46" spans="1:7" s="257" customFormat="1" ht="13.5" customHeight="1">
      <c r="A46" s="953" t="s">
        <v>791</v>
      </c>
      <c r="B46" s="291" t="s">
        <v>2403</v>
      </c>
      <c r="C46" s="292">
        <f ca="1">ROUND((C33+C39)*F27,0)</f>
        <v>740</v>
      </c>
      <c r="D46" s="306"/>
      <c r="E46" s="279"/>
      <c r="F46" s="289"/>
      <c r="G46" s="290"/>
    </row>
    <row r="47" spans="1:7" s="257" customFormat="1" ht="13.5" customHeight="1">
      <c r="A47" s="953" t="s">
        <v>792</v>
      </c>
      <c r="B47" s="291" t="s">
        <v>2404</v>
      </c>
      <c r="C47" s="281">
        <f ca="1">ROUND(C40*F27,4)</f>
        <v>4.0000000000000001E-3</v>
      </c>
      <c r="D47" s="306"/>
      <c r="E47" s="279"/>
      <c r="F47" s="289"/>
      <c r="G47" s="290"/>
    </row>
    <row r="48" spans="1:7" s="257" customFormat="1" ht="13.5" customHeight="1">
      <c r="A48" s="298" t="s">
        <v>2366</v>
      </c>
      <c r="B48" s="253" t="s">
        <v>2405</v>
      </c>
      <c r="C48" s="1726">
        <f>ROUND(F30/(1+'数据-取费表'!C42),4)</f>
        <v>5.33E-2</v>
      </c>
      <c r="D48" s="279" t="s">
        <v>2393</v>
      </c>
      <c r="E48" s="275"/>
      <c r="F48" s="280"/>
      <c r="G48" s="277" t="s">
        <v>2406</v>
      </c>
    </row>
    <row r="49" spans="1:7" ht="16.5" customHeight="1">
      <c r="A49" s="298" t="s">
        <v>2372</v>
      </c>
      <c r="B49" s="253" t="s">
        <v>2407</v>
      </c>
      <c r="C49" s="275">
        <f ca="1">ROUND((C33+C39+C41+C45)/(1-C40-D41-D45-C48),0)</f>
        <v>5006</v>
      </c>
      <c r="D49" s="275"/>
      <c r="E49" s="275"/>
      <c r="F49" s="307"/>
      <c r="G49" s="277" t="s">
        <v>2408</v>
      </c>
    </row>
    <row r="50" spans="1:7" s="301" customFormat="1" ht="24">
      <c r="A50" s="298" t="s">
        <v>2409</v>
      </c>
      <c r="B50" s="253" t="s">
        <v>2410</v>
      </c>
      <c r="C50" s="275"/>
      <c r="D50" s="275"/>
      <c r="E50" s="275"/>
      <c r="F50" s="307">
        <f>IF('数据-取费表'!B24=0,'数据-取费表'!N16,1)</f>
        <v>0.77500000000000002</v>
      </c>
      <c r="G50" s="290" t="s">
        <v>2411</v>
      </c>
    </row>
    <row r="51" spans="1:7" ht="16.5" customHeight="1">
      <c r="A51" s="298" t="s">
        <v>2412</v>
      </c>
      <c r="B51" s="253" t="s">
        <v>2413</v>
      </c>
      <c r="C51" s="275">
        <f ca="1">ROUND(C49*F50,0)</f>
        <v>3880</v>
      </c>
      <c r="D51" s="275"/>
      <c r="E51" s="275"/>
      <c r="F51" s="307"/>
      <c r="G51" s="277" t="s">
        <v>2414</v>
      </c>
    </row>
    <row r="52" spans="1:7" s="251" customFormat="1" ht="16.5" thickBot="1">
      <c r="A52" s="308" t="s">
        <v>2415</v>
      </c>
      <c r="B52" s="309"/>
      <c r="C52" s="310">
        <f ca="1">C31+C51</f>
        <v>33293</v>
      </c>
      <c r="D52" s="309"/>
      <c r="E52" s="309"/>
      <c r="F52" s="309"/>
      <c r="G52" s="311"/>
    </row>
    <row r="55" spans="1:7" ht="15">
      <c r="B55" s="313" t="s">
        <v>2416</v>
      </c>
      <c r="C55" s="314"/>
    </row>
    <row r="56" spans="1:7">
      <c r="B56" s="316" t="s">
        <v>1513</v>
      </c>
      <c r="C56" s="318">
        <f ca="1">1-C57</f>
        <v>0.88300000000000001</v>
      </c>
    </row>
    <row r="57" spans="1:7">
      <c r="B57" s="316" t="s">
        <v>1514</v>
      </c>
      <c r="C57" s="317">
        <f ca="1">ROUND(C51/C52,3)</f>
        <v>0.11700000000000001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5" sqref="C5:C10"/>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8" t="str">
        <f>项目基本情况!B1</f>
        <v>北京市北京市海淀区中关村大街18号房地产抵押价值预评估</v>
      </c>
      <c r="C37" s="2978"/>
      <c r="D37" s="2978"/>
      <c r="E37" s="2978"/>
      <c r="F37" s="2978"/>
      <c r="G37" s="2978"/>
      <c r="H37" s="2978"/>
      <c r="I37" s="2978"/>
    </row>
    <row r="38" spans="1:9">
      <c r="A38" s="1018"/>
      <c r="B38" s="1018"/>
    </row>
    <row r="39" spans="1:9">
      <c r="A39" s="1016" t="s">
        <v>818</v>
      </c>
      <c r="B39" s="1016" t="s">
        <v>820</v>
      </c>
    </row>
    <row r="40" spans="1:9">
      <c r="A40" s="1016"/>
      <c r="B40" s="1940" t="str">
        <f>项目基本情况!B5</f>
        <v>大连国美电器有限公司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崔锴（注册号：1120100036)、吴薇（注册号：1419970001)</v>
      </c>
    </row>
    <row r="47" spans="1:9">
      <c r="A47" s="1016"/>
      <c r="B47" s="1016" t="str">
        <f>项目基本情况!K5</f>
        <v/>
      </c>
    </row>
    <row r="48" spans="1:9">
      <c r="A48" s="1016" t="s">
        <v>818</v>
      </c>
      <c r="B48" s="1016" t="s">
        <v>824</v>
      </c>
    </row>
    <row r="49" spans="2:2">
      <c r="B49" s="1940" t="str">
        <f>"康正预评字"&amp;项目基本情况!B2&amp;"号"</f>
        <v>康正预评字2018-1-0877-P01DYGJ1号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5" sqref="C5:C1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35"/>
      <c r="C1" s="2552" t="s">
        <v>2417</v>
      </c>
      <c r="D1" s="241"/>
      <c r="E1" s="241"/>
      <c r="F1" s="241"/>
      <c r="G1" s="1379">
        <f>MATCH(B1,'数据-取费表'!A6:A16,0)+5</f>
        <v>7</v>
      </c>
      <c r="H1" s="1282" t="str">
        <f>IF(ISERROR(FIND("住宅",B1)),"非住宅","住宅")</f>
        <v>非住宅</v>
      </c>
    </row>
    <row r="2" spans="1:8" s="243" customFormat="1" ht="18" customHeight="1">
      <c r="A2" s="244" t="s">
        <v>2316</v>
      </c>
      <c r="B2" s="245">
        <f ca="1">ROUND(IF(D2="——",C52/10000,C52/10000-E2),0)</f>
        <v>4354</v>
      </c>
      <c r="C2" s="242" t="s">
        <v>2317</v>
      </c>
      <c r="D2" s="2546" t="s">
        <v>70</v>
      </c>
      <c r="E2" s="1439" t="e">
        <f ca="1">SUMIF(INDIRECT("'"&amp;G2&amp;"'"&amp;"!A:A"),"承租人权益价值",INDIRECT("'"&amp;G2&amp;"'"&amp;"!c:c"))</f>
        <v>#REF!</v>
      </c>
      <c r="F2" s="2547" t="s">
        <v>2317</v>
      </c>
      <c r="G2" s="2548"/>
    </row>
    <row r="3" spans="1:8" s="243" customFormat="1" ht="18" customHeight="1" thickBot="1">
      <c r="A3" s="246" t="s">
        <v>2318</v>
      </c>
      <c r="B3" s="247">
        <f ca="1">ROUND(B2*10000/(IF(B1="",'数据-汇总表'!E3,INDIRECT("'数据-取费表'!k"&amp;$G$1))),0)</f>
        <v>5261</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1655328</v>
      </c>
      <c r="D5" s="254" t="s">
        <v>2323</v>
      </c>
      <c r="E5" s="255" t="s">
        <v>2324</v>
      </c>
      <c r="F5" s="255" t="s">
        <v>2325</v>
      </c>
      <c r="G5" s="256"/>
    </row>
    <row r="6" spans="1:8" s="257" customFormat="1" ht="13.5" customHeight="1">
      <c r="A6" s="951" t="s">
        <v>2326</v>
      </c>
      <c r="B6" s="258" t="s">
        <v>2327</v>
      </c>
      <c r="C6" s="259"/>
      <c r="D6" s="260"/>
      <c r="E6" s="261"/>
      <c r="F6" s="261"/>
      <c r="G6" s="262"/>
    </row>
    <row r="7" spans="1:8" s="257" customFormat="1" ht="13.5" customHeight="1">
      <c r="A7" s="951" t="s">
        <v>2328</v>
      </c>
      <c r="B7" s="258" t="s">
        <v>2329</v>
      </c>
      <c r="C7" s="263">
        <f>ROUND(C6*F7,0)</f>
        <v>0</v>
      </c>
      <c r="D7" s="263"/>
      <c r="E7" s="261"/>
      <c r="F7" s="264">
        <f>'数据-取费表'!B48+'数据-取费表'!B49</f>
        <v>3.0499999999999999E-2</v>
      </c>
      <c r="G7" s="262"/>
    </row>
    <row r="8" spans="1:8" s="266" customFormat="1">
      <c r="A8" s="951" t="s">
        <v>2330</v>
      </c>
      <c r="B8" s="258" t="s">
        <v>2331</v>
      </c>
      <c r="C8" s="263">
        <f ca="1">IF(G8="已包含在土地购买价格中",0,C9+C10)</f>
        <v>1655328</v>
      </c>
      <c r="D8" s="265"/>
      <c r="E8" s="263"/>
      <c r="F8" s="264"/>
      <c r="G8" s="2549"/>
    </row>
    <row r="9" spans="1:8" s="257" customFormat="1" ht="13.5" customHeight="1">
      <c r="A9" s="952" t="s">
        <v>800</v>
      </c>
      <c r="B9" s="267" t="s">
        <v>2332</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2334</v>
      </c>
      <c r="C10" s="268">
        <f ca="1">ROUND(D10*E10,0)</f>
        <v>1655328</v>
      </c>
      <c r="D10" s="1034">
        <f ca="1">IF(B1="",'数据-汇总表'!E6,IF(INDIRECT("'数据-取费表'!c"&amp;$G$1)="住宅",INDIRECT("'数据-取费表'!s"&amp;$G$1),INDIRECT("'数据-取费表'!k"&amp;$G$1)+INDIRECT("'数据-取费表'!s"&amp;$G$1)))</f>
        <v>8276.64</v>
      </c>
      <c r="E10" s="268">
        <f>'数据-取费表'!B28</f>
        <v>200</v>
      </c>
      <c r="F10" s="264"/>
      <c r="G10" s="269"/>
    </row>
    <row r="11" spans="1:8" s="257" customFormat="1" ht="13.5" hidden="1" customHeight="1">
      <c r="A11" s="270" t="s">
        <v>7</v>
      </c>
      <c r="B11" s="258" t="s">
        <v>2335</v>
      </c>
      <c r="C11" s="254"/>
      <c r="D11" s="1036"/>
      <c r="E11" s="261"/>
      <c r="F11" s="261"/>
      <c r="G11" s="262"/>
    </row>
    <row r="12" spans="1:8" s="257" customFormat="1" ht="13.5" hidden="1" customHeight="1">
      <c r="A12" s="270" t="s">
        <v>8</v>
      </c>
      <c r="B12" s="258" t="s">
        <v>2418</v>
      </c>
      <c r="C12" s="254">
        <v>0</v>
      </c>
      <c r="D12" s="1036"/>
      <c r="E12" s="271"/>
      <c r="F12" s="264">
        <v>3.0499999999999999E-2</v>
      </c>
      <c r="G12" s="262"/>
    </row>
    <row r="13" spans="1:8" s="257" customFormat="1" ht="13.5" hidden="1" customHeight="1">
      <c r="A13" s="270" t="s">
        <v>9</v>
      </c>
      <c r="B13" s="258" t="s">
        <v>2419</v>
      </c>
      <c r="C13" s="254"/>
      <c r="D13" s="1036"/>
      <c r="E13" s="261"/>
      <c r="F13" s="261"/>
      <c r="G13" s="262"/>
    </row>
    <row r="14" spans="1:8" s="257" customFormat="1" ht="13.5" hidden="1" customHeight="1">
      <c r="A14" s="270" t="s">
        <v>10</v>
      </c>
      <c r="B14" s="258" t="s">
        <v>2331</v>
      </c>
      <c r="C14" s="254"/>
      <c r="D14" s="1036"/>
      <c r="E14" s="261"/>
      <c r="F14" s="261"/>
      <c r="G14" s="262" t="s">
        <v>2420</v>
      </c>
    </row>
    <row r="15" spans="1:8" s="257" customFormat="1" ht="13.5" hidden="1" customHeight="1">
      <c r="A15" s="270" t="s">
        <v>11</v>
      </c>
      <c r="B15" s="258" t="s">
        <v>2421</v>
      </c>
      <c r="C15" s="263"/>
      <c r="D15" s="1036"/>
      <c r="E15" s="261"/>
      <c r="F15" s="261"/>
      <c r="G15" s="262" t="s">
        <v>2422</v>
      </c>
    </row>
    <row r="16" spans="1:8" s="257" customFormat="1" ht="13.5" hidden="1" customHeight="1">
      <c r="A16" s="270" t="s">
        <v>12</v>
      </c>
      <c r="B16" s="258" t="s">
        <v>2331</v>
      </c>
      <c r="C16" s="263"/>
      <c r="D16" s="1036"/>
      <c r="E16" s="261"/>
      <c r="F16" s="261"/>
      <c r="G16" s="262"/>
    </row>
    <row r="17" spans="1:7" s="257" customFormat="1" ht="13.5" hidden="1" customHeight="1">
      <c r="A17" s="270" t="s">
        <v>13</v>
      </c>
      <c r="B17" s="258" t="s">
        <v>2423</v>
      </c>
      <c r="C17" s="272"/>
      <c r="D17" s="1037"/>
      <c r="E17" s="272"/>
      <c r="F17" s="272"/>
      <c r="G17" s="262" t="s">
        <v>2422</v>
      </c>
    </row>
    <row r="18" spans="1:7" s="257" customFormat="1" ht="13.5" hidden="1" customHeight="1">
      <c r="A18" s="270" t="s">
        <v>14</v>
      </c>
      <c r="B18" s="258" t="s">
        <v>2424</v>
      </c>
      <c r="C18" s="263">
        <v>0</v>
      </c>
      <c r="D18" s="1036"/>
      <c r="E18" s="261"/>
      <c r="F18" s="264">
        <v>3.0499999999999999E-2</v>
      </c>
      <c r="G18" s="262" t="s">
        <v>2425</v>
      </c>
    </row>
    <row r="19" spans="1:7" s="266" customFormat="1" ht="13.5" customHeight="1">
      <c r="A19" s="298" t="s">
        <v>2426</v>
      </c>
      <c r="B19" s="253" t="s">
        <v>2427</v>
      </c>
      <c r="C19" s="254">
        <f ca="1">IF(G19="已包含在土地取得成本中","0",ROUND(D19*E19,0))</f>
        <v>1655328</v>
      </c>
      <c r="D19" s="1038">
        <f ca="1">D9+D10</f>
        <v>8276.64</v>
      </c>
      <c r="E19" s="254">
        <f>'数据-取费表'!B31</f>
        <v>200</v>
      </c>
      <c r="F19" s="274"/>
      <c r="G19" s="2549"/>
    </row>
    <row r="20" spans="1:7" s="257" customFormat="1" ht="13.5" customHeight="1">
      <c r="A20" s="298" t="s">
        <v>2428</v>
      </c>
      <c r="B20" s="253" t="s">
        <v>2429</v>
      </c>
      <c r="C20" s="275">
        <f ca="1">ROUND((C5+C19)*F20,0)</f>
        <v>66213</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80">
        <f ca="1">ROUND(SUM(C23:C25),0)</f>
        <v>325127</v>
      </c>
      <c r="D22" s="278">
        <f ca="1">C26</f>
        <v>1E-3</v>
      </c>
      <c r="E22" s="279" t="s">
        <v>2433</v>
      </c>
      <c r="F22" s="280">
        <f ca="1">'数据-取费表'!B40</f>
        <v>4.7500000000000001E-2</v>
      </c>
      <c r="G22" s="277" t="str">
        <f>IF('数据-取费表'!B22&lt;=1,"单利计息","复利计息")</f>
        <v>复利计息</v>
      </c>
    </row>
    <row r="23" spans="1:7" s="257" customFormat="1" ht="13.5" customHeight="1">
      <c r="A23" s="953" t="s">
        <v>2326</v>
      </c>
      <c r="B23" s="258" t="s">
        <v>2437</v>
      </c>
      <c r="C23" s="1381">
        <f ca="1">ROUND(IF('数据-取费表'!B22&lt;=1,C5*F22*'数据-取费表'!B22,C5*(POWER((1+F22),'数据-取费表'!B22)-1)),0)</f>
        <v>160991</v>
      </c>
      <c r="D23" s="281"/>
      <c r="E23" s="281"/>
      <c r="F23" s="282"/>
      <c r="G23" s="283" t="s">
        <v>2438</v>
      </c>
    </row>
    <row r="24" spans="1:7" s="257" customFormat="1" ht="13.5" customHeight="1">
      <c r="A24" s="953" t="s">
        <v>2328</v>
      </c>
      <c r="B24" s="258" t="s">
        <v>2439</v>
      </c>
      <c r="C24" s="1381">
        <f ca="1">ROUND(IF('数据-取费表'!B22&lt;=1,C19*F22*('数据-取费表'!B19/2+'数据-取费表'!B20),C19*(POWER((1+F22),('数据-取费表'!B19/2+'数据-取费表'!B20))-1)),0)</f>
        <v>160991</v>
      </c>
      <c r="D24" s="281"/>
      <c r="E24" s="281"/>
      <c r="F24" s="282"/>
      <c r="G24" s="283" t="s">
        <v>2440</v>
      </c>
    </row>
    <row r="25" spans="1:7" s="257" customFormat="1" ht="24">
      <c r="A25" s="953" t="s">
        <v>2330</v>
      </c>
      <c r="B25" s="258" t="s">
        <v>2441</v>
      </c>
      <c r="C25" s="1381">
        <f ca="1">ROUND(IF('数据-取费表'!B22&lt;=1,C20*F22*'数据-取费表'!B22/2,C20*(POWER((1+F22),'数据-取费表'!B22/2)-1)),0)</f>
        <v>3145</v>
      </c>
      <c r="D25" s="281"/>
      <c r="E25" s="284"/>
      <c r="F25" s="282"/>
      <c r="G25" s="285" t="s">
        <v>2442</v>
      </c>
    </row>
    <row r="26" spans="1:7" s="257" customFormat="1">
      <c r="A26" s="953" t="s">
        <v>795</v>
      </c>
      <c r="B26" s="258" t="s">
        <v>2365</v>
      </c>
      <c r="C26" s="281">
        <f ca="1">ROUND(IF('数据-取费表'!B22&lt;=1,F21*F22*'数据-取费表'!B22/2,F21*(POWER((1+F22),'数据-取费表'!B22/2)-1)),4)</f>
        <v>1E-3</v>
      </c>
      <c r="D26" s="281"/>
      <c r="E26" s="284"/>
      <c r="F26" s="282"/>
      <c r="G26" s="286"/>
    </row>
    <row r="27" spans="1:7" s="257" customFormat="1" ht="24.75">
      <c r="A27" s="298" t="s">
        <v>2366</v>
      </c>
      <c r="B27" s="287" t="s">
        <v>2367</v>
      </c>
      <c r="C27" s="288">
        <f ca="1">C28</f>
        <v>675374</v>
      </c>
      <c r="D27" s="278">
        <f ca="1">C29</f>
        <v>4.0000000000000001E-3</v>
      </c>
      <c r="E27" s="279" t="s">
        <v>2368</v>
      </c>
      <c r="F27" s="289">
        <f ca="1">IF(B1="",'数据-取费表'!Q16,INDIRECT("'数据-取费表'!q"&amp;$G$1))</f>
        <v>0.2</v>
      </c>
      <c r="G27" s="290" t="s">
        <v>2369</v>
      </c>
    </row>
    <row r="28" spans="1:7" s="257" customFormat="1" ht="13.5" customHeight="1">
      <c r="A28" s="953" t="s">
        <v>791</v>
      </c>
      <c r="B28" s="291" t="s">
        <v>2370</v>
      </c>
      <c r="C28" s="292">
        <f ca="1">ROUND((C5+C19+C20)*F27,0)</f>
        <v>675374</v>
      </c>
      <c r="D28" s="278"/>
      <c r="E28" s="279"/>
      <c r="F28" s="289"/>
      <c r="G28" s="290"/>
    </row>
    <row r="29" spans="1:7" s="257" customFormat="1" ht="13.5" customHeight="1">
      <c r="A29" s="953" t="s">
        <v>792</v>
      </c>
      <c r="B29" s="291" t="s">
        <v>2371</v>
      </c>
      <c r="C29" s="281">
        <f ca="1">ROUND(C21*F27,4)</f>
        <v>4.0000000000000001E-3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4749235</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36251683</v>
      </c>
      <c r="D33" s="275"/>
      <c r="E33" s="255"/>
      <c r="F33" s="284"/>
      <c r="G33" s="277"/>
    </row>
    <row r="34" spans="1:7" s="301" customFormat="1" ht="13.5" customHeight="1">
      <c r="A34" s="953" t="s">
        <v>791</v>
      </c>
      <c r="B34" s="258" t="s">
        <v>2379</v>
      </c>
      <c r="C34" s="263">
        <f ca="1">ROUND(IF(B1="",SUMPRODUCT('数据-取费表'!K6:K14,'数据-取费表'!L6:L14),INDIRECT("'数据-取费表'!l"&amp;$G$1)*INDIRECT("'数据-取费表'!k"&amp;$G$1)+'数据-取费表'!L14*INDIRECT("'数据-取费表'!S"&amp;$G$1)),0)</f>
        <v>33106560</v>
      </c>
      <c r="D34" s="260"/>
      <c r="E34" s="263"/>
      <c r="F34" s="300"/>
      <c r="G34" s="262"/>
    </row>
    <row r="35" spans="1:7" ht="13.5" customHeight="1">
      <c r="A35" s="953" t="s">
        <v>796</v>
      </c>
      <c r="B35" s="258" t="s">
        <v>2381</v>
      </c>
      <c r="C35" s="263">
        <f ca="1">ROUND(C34*F35,0)</f>
        <v>993197</v>
      </c>
      <c r="D35" s="263"/>
      <c r="E35" s="263"/>
      <c r="F35" s="302">
        <f>'数据-取费表'!B33</f>
        <v>0.03</v>
      </c>
      <c r="G35" s="262" t="s">
        <v>2382</v>
      </c>
    </row>
    <row r="36" spans="1:7" ht="24">
      <c r="A36" s="953"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53" t="s">
        <v>798</v>
      </c>
      <c r="B37" s="258" t="s">
        <v>2385</v>
      </c>
      <c r="C37" s="292">
        <f ca="1">ROUND(E37*D37,0)</f>
        <v>1655328</v>
      </c>
      <c r="D37" s="260">
        <f ca="1">D19</f>
        <v>8276.64</v>
      </c>
      <c r="E37" s="292">
        <f>'数据-取费表'!B35</f>
        <v>200</v>
      </c>
      <c r="F37" s="302"/>
      <c r="G37" s="304"/>
    </row>
    <row r="38" spans="1:7" ht="13.5" customHeight="1">
      <c r="A38" s="953" t="s">
        <v>799</v>
      </c>
      <c r="B38" s="258" t="s">
        <v>2387</v>
      </c>
      <c r="C38" s="263">
        <f ca="1">ROUND(C34*F38,0)</f>
        <v>496598</v>
      </c>
      <c r="D38" s="263"/>
      <c r="E38" s="263"/>
      <c r="F38" s="302">
        <f>'数据-取费表'!B36</f>
        <v>1.4999999999999999E-2</v>
      </c>
      <c r="G38" s="262" t="s">
        <v>2382</v>
      </c>
    </row>
    <row r="39" spans="1:7" s="257" customFormat="1" ht="13.5" customHeight="1">
      <c r="A39" s="298" t="s">
        <v>2388</v>
      </c>
      <c r="B39" s="253" t="s">
        <v>2389</v>
      </c>
      <c r="C39" s="275">
        <f ca="1">ROUND(C33*F20,0)</f>
        <v>725034</v>
      </c>
      <c r="D39" s="275"/>
      <c r="E39" s="275"/>
      <c r="F39" s="276"/>
      <c r="G39" s="277" t="s">
        <v>2390</v>
      </c>
    </row>
    <row r="40" spans="1:7" s="257" customFormat="1" ht="13.5" customHeight="1">
      <c r="A40" s="298" t="s">
        <v>2391</v>
      </c>
      <c r="B40" s="253" t="s">
        <v>2392</v>
      </c>
      <c r="C40" s="1726">
        <f>F21</f>
        <v>0.02</v>
      </c>
      <c r="D40" s="279" t="s">
        <v>2393</v>
      </c>
      <c r="E40" s="275"/>
      <c r="F40" s="276"/>
      <c r="G40" s="277" t="s">
        <v>2394</v>
      </c>
    </row>
    <row r="41" spans="1:7" s="257" customFormat="1" ht="13.5" customHeight="1">
      <c r="A41" s="298" t="s">
        <v>2395</v>
      </c>
      <c r="B41" s="253" t="s">
        <v>2396</v>
      </c>
      <c r="C41" s="275">
        <f ca="1">ROUND(SUM(C42:C43),0)</f>
        <v>1756394</v>
      </c>
      <c r="D41" s="278">
        <f ca="1">C44</f>
        <v>1E-3</v>
      </c>
      <c r="E41" s="279" t="s">
        <v>2393</v>
      </c>
      <c r="F41" s="280"/>
      <c r="G41" s="277" t="str">
        <f>IF('数据-取费表'!B22&lt;=1,"单利计息","复利计息")</f>
        <v>复利计息</v>
      </c>
    </row>
    <row r="42" spans="1:7" ht="13.5" customHeight="1">
      <c r="A42" s="953" t="s">
        <v>791</v>
      </c>
      <c r="B42" s="258" t="s">
        <v>2397</v>
      </c>
      <c r="C42" s="281">
        <f ca="1">ROUND(IF('数据-取费表'!B22&lt;=1,C33*F22*'数据-取费表'!B20/2,C33*(POWER((1+F22),'数据-取费表'!B20/2)-1)),0)</f>
        <v>1721955</v>
      </c>
      <c r="D42" s="281"/>
      <c r="E42" s="281"/>
      <c r="F42" s="282"/>
      <c r="G42" s="3164" t="s">
        <v>2445</v>
      </c>
    </row>
    <row r="43" spans="1:7" ht="13.5" customHeight="1">
      <c r="A43" s="953" t="s">
        <v>792</v>
      </c>
      <c r="B43" s="258" t="s">
        <v>2399</v>
      </c>
      <c r="C43" s="281">
        <f ca="1">ROUND(IF('数据-取费表'!B22&lt;=1,C39*F22*'数据-取费表'!B20/2,C39*(POWER((1+F22),'数据-取费表'!B20/2)-1)),0)</f>
        <v>34439</v>
      </c>
      <c r="D43" s="281"/>
      <c r="E43" s="281"/>
      <c r="F43" s="282"/>
      <c r="G43" s="3165"/>
    </row>
    <row r="44" spans="1:7" ht="13.5" customHeight="1">
      <c r="A44" s="953" t="s">
        <v>793</v>
      </c>
      <c r="B44" s="258" t="s">
        <v>2400</v>
      </c>
      <c r="C44" s="281">
        <f ca="1">ROUND(IF('数据-取费表'!B22&lt;=1,C40*F22*'数据-取费表'!B20/2,C40*(POWER((1+F22),'数据-取费表'!B20/2)-1)),4)</f>
        <v>1E-3</v>
      </c>
      <c r="D44" s="281"/>
      <c r="E44" s="281"/>
      <c r="F44" s="282"/>
      <c r="G44" s="3166"/>
    </row>
    <row r="45" spans="1:7" s="257" customFormat="1" ht="13.5" customHeight="1">
      <c r="A45" s="298" t="s">
        <v>2401</v>
      </c>
      <c r="B45" s="287" t="s">
        <v>2367</v>
      </c>
      <c r="C45" s="288">
        <f ca="1">C46</f>
        <v>7395343</v>
      </c>
      <c r="D45" s="278">
        <f ca="1">C47</f>
        <v>4.0000000000000001E-3</v>
      </c>
      <c r="E45" s="279" t="s">
        <v>2393</v>
      </c>
      <c r="F45" s="289"/>
      <c r="G45" s="290" t="s">
        <v>2402</v>
      </c>
    </row>
    <row r="46" spans="1:7" s="257" customFormat="1" ht="13.5" customHeight="1">
      <c r="A46" s="953" t="s">
        <v>791</v>
      </c>
      <c r="B46" s="291" t="s">
        <v>2403</v>
      </c>
      <c r="C46" s="292">
        <f ca="1">ROUND((C33+C39)*F27,0)</f>
        <v>7395343</v>
      </c>
      <c r="D46" s="306"/>
      <c r="E46" s="279"/>
      <c r="F46" s="289"/>
      <c r="G46" s="290"/>
    </row>
    <row r="47" spans="1:7" s="257" customFormat="1" ht="13.5" customHeight="1">
      <c r="A47" s="953" t="s">
        <v>792</v>
      </c>
      <c r="B47" s="291" t="s">
        <v>2404</v>
      </c>
      <c r="C47" s="281">
        <f ca="1">ROUND(C40*F27,4)</f>
        <v>4.0000000000000001E-3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50047145</v>
      </c>
      <c r="D49" s="275"/>
      <c r="E49" s="275"/>
      <c r="F49" s="307"/>
      <c r="G49" s="277" t="s">
        <v>2408</v>
      </c>
    </row>
    <row r="50" spans="1:7" s="301" customFormat="1">
      <c r="A50" s="298" t="s">
        <v>2409</v>
      </c>
      <c r="B50" s="253" t="s">
        <v>2410</v>
      </c>
      <c r="C50" s="275"/>
      <c r="D50" s="275"/>
      <c r="E50" s="275"/>
      <c r="F50" s="307">
        <f>IF('数据-取费表'!B24=0,'数据-取费表'!N16,1)</f>
        <v>0.77500000000000002</v>
      </c>
      <c r="G50" s="290"/>
    </row>
    <row r="51" spans="1:7" ht="16.5" customHeight="1">
      <c r="A51" s="298" t="s">
        <v>2412</v>
      </c>
      <c r="B51" s="253" t="s">
        <v>2447</v>
      </c>
      <c r="C51" s="275">
        <f ca="1">ROUND(C49*F50,0)</f>
        <v>38786537</v>
      </c>
      <c r="D51" s="275"/>
      <c r="E51" s="275"/>
      <c r="F51" s="307"/>
      <c r="G51" s="277" t="s">
        <v>2414</v>
      </c>
    </row>
    <row r="52" spans="1:7" s="251" customFormat="1" ht="16.5" thickBot="1">
      <c r="A52" s="308" t="s">
        <v>2415</v>
      </c>
      <c r="B52" s="309"/>
      <c r="C52" s="310">
        <f ca="1">C31+C51</f>
        <v>43535772</v>
      </c>
      <c r="D52" s="309"/>
      <c r="E52" s="309"/>
      <c r="F52" s="309"/>
      <c r="G52" s="311"/>
    </row>
    <row r="55" spans="1:7" ht="15">
      <c r="B55" s="313" t="s">
        <v>2416</v>
      </c>
      <c r="C55" s="314"/>
    </row>
    <row r="56" spans="1:7">
      <c r="B56" s="316" t="s">
        <v>1513</v>
      </c>
      <c r="C56" s="318">
        <f ca="1">1-C57</f>
        <v>0.10899999999999999</v>
      </c>
    </row>
    <row r="57" spans="1:7">
      <c r="B57" s="316" t="s">
        <v>1514</v>
      </c>
      <c r="C57" s="317">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5" sqref="C5:C1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2448</v>
      </c>
      <c r="B1" s="1579"/>
      <c r="C1" s="1580"/>
      <c r="D1" s="1578"/>
      <c r="E1" s="319"/>
      <c r="F1" s="319"/>
      <c r="G1" s="1579"/>
      <c r="H1" s="319"/>
      <c r="I1" s="319"/>
      <c r="J1" s="319"/>
      <c r="K1" s="319">
        <f>MATCH(C1,'数据-取费表'!A6:A16,0)+5</f>
        <v>7</v>
      </c>
    </row>
    <row r="2" spans="1:33" ht="18" customHeight="1">
      <c r="A2" s="244" t="s">
        <v>2316</v>
      </c>
      <c r="B2" s="247">
        <f ca="1">C32</f>
        <v>0</v>
      </c>
      <c r="C2" s="319" t="s">
        <v>2449</v>
      </c>
      <c r="D2" s="319"/>
      <c r="E2" s="319"/>
      <c r="F2" s="319"/>
      <c r="G2" s="319"/>
      <c r="H2" s="319"/>
      <c r="I2" s="319"/>
      <c r="J2" s="319"/>
      <c r="K2" s="319"/>
    </row>
    <row r="3" spans="1:33" ht="18" customHeight="1" thickBot="1">
      <c r="A3" s="246" t="s">
        <v>2318</v>
      </c>
      <c r="B3" s="247">
        <f ca="1">ROUND(B2*10000/IF(C1="",'数据-汇总表'!E3,INDIRECT("'数据-取费表'!K"&amp;$K$1)),0)</f>
        <v>0</v>
      </c>
      <c r="C3" s="319" t="s">
        <v>2450</v>
      </c>
      <c r="D3" s="319"/>
      <c r="E3" s="319"/>
      <c r="F3" s="319"/>
      <c r="G3" s="319"/>
      <c r="H3" s="319"/>
      <c r="I3" s="319"/>
      <c r="J3" s="319"/>
      <c r="K3" s="319"/>
    </row>
    <row r="4" spans="1:33" s="958" customFormat="1" ht="16.5" customHeight="1">
      <c r="A4" s="955" t="s">
        <v>2451</v>
      </c>
      <c r="B4" s="956"/>
      <c r="C4" s="998">
        <f>SUM(C8:K8)</f>
        <v>0</v>
      </c>
      <c r="D4" s="956"/>
      <c r="E4" s="956"/>
      <c r="F4" s="956"/>
      <c r="G4" s="956"/>
      <c r="H4" s="956"/>
      <c r="I4" s="956"/>
      <c r="J4" s="956"/>
      <c r="K4" s="957"/>
    </row>
    <row r="5" spans="1:33" s="962" customFormat="1" ht="24.75">
      <c r="A5" s="959" t="s">
        <v>2452</v>
      </c>
      <c r="B5" s="960" t="s">
        <v>2453</v>
      </c>
      <c r="C5" s="2553" t="s">
        <v>2454</v>
      </c>
      <c r="D5" s="2553" t="s">
        <v>2455</v>
      </c>
      <c r="E5" s="2553" t="s">
        <v>2456</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2457</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2458</v>
      </c>
      <c r="B7" s="139"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2460</v>
      </c>
      <c r="B8" s="176" t="s">
        <v>2461</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2462</v>
      </c>
      <c r="B9" s="956"/>
      <c r="C9" s="956"/>
      <c r="D9" s="956"/>
      <c r="E9" s="956"/>
      <c r="F9" s="956"/>
      <c r="G9" s="956"/>
      <c r="H9" s="956"/>
      <c r="I9" s="956"/>
      <c r="J9" s="956"/>
      <c r="K9" s="957"/>
    </row>
    <row r="10" spans="1:33" s="972" customFormat="1" ht="13.5" customHeight="1">
      <c r="A10" s="959" t="s">
        <v>2463</v>
      </c>
      <c r="B10" s="8" t="s">
        <v>2464</v>
      </c>
      <c r="C10" s="968" t="s">
        <v>2465</v>
      </c>
      <c r="D10" s="969" t="s">
        <v>2466</v>
      </c>
      <c r="E10" s="969" t="s">
        <v>2467</v>
      </c>
      <c r="F10" s="969" t="s">
        <v>2468</v>
      </c>
      <c r="G10" s="8"/>
      <c r="H10" s="970"/>
      <c r="I10" s="970"/>
      <c r="J10" s="970"/>
      <c r="K10" s="971"/>
    </row>
    <row r="11" spans="1:33" s="977" customFormat="1" ht="13.5" customHeight="1">
      <c r="A11" s="973" t="s">
        <v>1334</v>
      </c>
      <c r="B11" s="974" t="s">
        <v>2469</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2470</v>
      </c>
      <c r="C12" s="23">
        <f ca="1">ROUND(C11*F12,0)</f>
        <v>0</v>
      </c>
      <c r="D12" s="975"/>
      <c r="E12" s="374"/>
      <c r="F12" s="978">
        <f>'数据-取费表'!B33</f>
        <v>0.03</v>
      </c>
      <c r="G12" s="8" t="s">
        <v>2471</v>
      </c>
      <c r="H12" s="970"/>
      <c r="I12" s="970"/>
      <c r="J12" s="970"/>
      <c r="K12" s="971"/>
    </row>
    <row r="13" spans="1:33" s="977" customFormat="1" ht="13.5" customHeight="1">
      <c r="A13" s="973" t="s">
        <v>1336</v>
      </c>
      <c r="B13" s="974" t="s">
        <v>2472</v>
      </c>
      <c r="C13" s="23">
        <f ca="1">ROUND(IF(C1="",SUMIF('数据-取费表'!C:C,"住宅",'数据-取费表'!P:P)*F13,IF(INDIRECT("'数据-取费表'!c"&amp;$K$1)="住宅",INDIRECT("'数据-取费表'!P"&amp;$K$1)*F13,0)),0)</f>
        <v>0</v>
      </c>
      <c r="D13" s="1035"/>
      <c r="E13" s="374"/>
      <c r="F13" s="978">
        <f>'数据-取费表'!B34</f>
        <v>0</v>
      </c>
      <c r="G13" s="8" t="s">
        <v>2473</v>
      </c>
      <c r="H13" s="970"/>
      <c r="I13" s="970"/>
      <c r="J13" s="970"/>
      <c r="K13" s="971"/>
    </row>
    <row r="14" spans="1:33" s="979" customFormat="1" ht="13.5" customHeight="1">
      <c r="A14" s="973" t="s">
        <v>1337</v>
      </c>
      <c r="B14" s="974" t="s">
        <v>2474</v>
      </c>
      <c r="C14" s="23">
        <f ca="1">ROUND(D14*E14*F11/10000,0)</f>
        <v>0</v>
      </c>
      <c r="D14" s="1035">
        <f ca="1">IF(C1="",'数据-汇总表'!E3,INDIRECT("'数据-取费表'!K"&amp;$K$1)+INDIRECT("'数据-取费表'!S"&amp;$K$1))</f>
        <v>8276.64</v>
      </c>
      <c r="E14" s="23">
        <f>'数据-取费表'!B35</f>
        <v>200</v>
      </c>
      <c r="F14" s="978"/>
      <c r="G14" s="8" t="s">
        <v>2475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2476</v>
      </c>
      <c r="C15" s="985">
        <f ca="1">ROUND(C11*F15,0)</f>
        <v>0</v>
      </c>
      <c r="D15" s="980"/>
      <c r="E15" s="985"/>
      <c r="F15" s="986">
        <f>'数据-取费表'!B36</f>
        <v>1.4999999999999999E-2</v>
      </c>
      <c r="G15" s="139" t="s">
        <v>2477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2478</v>
      </c>
      <c r="C16" s="985">
        <f ca="1">SUM(C11:C15)</f>
        <v>0</v>
      </c>
      <c r="D16" s="980"/>
      <c r="E16" s="985"/>
      <c r="F16" s="986"/>
      <c r="G16" s="139"/>
      <c r="H16" s="1576"/>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2479</v>
      </c>
      <c r="C17" s="23">
        <f ca="1">ROUND(D17*E17/10000,0)</f>
        <v>0</v>
      </c>
      <c r="D17" s="1035">
        <f ca="1">D14</f>
        <v>8276.64</v>
      </c>
      <c r="E17" s="23">
        <f>'数据-取费表'!B32</f>
        <v>0</v>
      </c>
      <c r="F17" s="980"/>
      <c r="G17" s="139" t="s">
        <v>2480</v>
      </c>
      <c r="H17" s="1576"/>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2481</v>
      </c>
      <c r="C18" s="23">
        <f ca="1">C19+C20-IF(C1="",'数据-取费表'!B29,IF(G18="已全部缴纳",C19+C20,H18))</f>
        <v>0</v>
      </c>
      <c r="D18" s="1035"/>
      <c r="E18" s="23"/>
      <c r="F18" s="978"/>
      <c r="G18" s="2555"/>
      <c r="H18" s="1575"/>
      <c r="I18" s="2556" t="s">
        <v>2482</v>
      </c>
      <c r="J18" s="981"/>
      <c r="K18" s="982"/>
    </row>
    <row r="19" spans="1:33" s="977" customFormat="1" ht="13.5" customHeight="1">
      <c r="A19" s="973" t="s">
        <v>805</v>
      </c>
      <c r="B19" s="974" t="s">
        <v>2483</v>
      </c>
      <c r="C19" s="23">
        <f ca="1">ROUND(D19*E19/10000,0)</f>
        <v>0</v>
      </c>
      <c r="D19" s="1035">
        <f ca="1">IF(C1="",'数据-汇总表'!E5,IF(INDIRECT("'数据-取费表'!c"&amp;$K$1)="住宅",INDIRECT("'数据-取费表'!k"&amp;$K$1),0))</f>
        <v>0</v>
      </c>
      <c r="E19" s="23">
        <f>'数据-取费表'!B27</f>
        <v>0</v>
      </c>
      <c r="F19" s="978"/>
      <c r="G19" s="14"/>
      <c r="H19" s="1577"/>
      <c r="I19" s="983"/>
      <c r="J19" s="983"/>
      <c r="K19" s="984"/>
    </row>
    <row r="20" spans="1:33" s="977" customFormat="1" ht="13.5" customHeight="1">
      <c r="A20" s="973" t="s">
        <v>806</v>
      </c>
      <c r="B20" s="974" t="s">
        <v>2484</v>
      </c>
      <c r="C20" s="23">
        <f ca="1">ROUND(D20*E20/10000,0)</f>
        <v>166</v>
      </c>
      <c r="D20" s="1035">
        <f ca="1">IF(C1="",'数据-汇总表'!E6,IF(INDIRECT("'数据-取费表'!c"&amp;$K$1)="住宅",INDIRECT("'数据-取费表'!s"&amp;$K$1),INDIRECT("'数据-取费表'!k"&amp;$K$1)+INDIRECT("'数据-取费表'!s"&amp;$K$1)))</f>
        <v>8276.64</v>
      </c>
      <c r="E20" s="23">
        <f>'数据-取费表'!B28</f>
        <v>200</v>
      </c>
      <c r="F20" s="978"/>
      <c r="G20" s="14"/>
      <c r="H20" s="983"/>
      <c r="I20" s="983"/>
      <c r="J20" s="983"/>
      <c r="K20" s="984"/>
    </row>
    <row r="21" spans="1:33" s="977" customFormat="1" ht="13.5" customHeight="1">
      <c r="A21" s="963" t="s">
        <v>802</v>
      </c>
      <c r="B21" s="987" t="s">
        <v>2485</v>
      </c>
      <c r="C21" s="988">
        <f ca="1">C16+C17+C18</f>
        <v>0</v>
      </c>
      <c r="D21" s="989"/>
      <c r="E21" s="324"/>
      <c r="F21" s="324"/>
      <c r="G21" s="139" t="s">
        <v>2486</v>
      </c>
      <c r="H21" s="981"/>
      <c r="I21" s="981"/>
      <c r="J21" s="981"/>
      <c r="K21" s="982"/>
    </row>
    <row r="22" spans="1:33" s="977" customFormat="1" ht="13.5" customHeight="1">
      <c r="A22" s="963" t="s">
        <v>2458</v>
      </c>
      <c r="B22" s="987" t="s">
        <v>2487</v>
      </c>
      <c r="C22" s="988">
        <f ca="1">ROUND(C21*F22,0)</f>
        <v>0</v>
      </c>
      <c r="D22" s="324"/>
      <c r="E22" s="324"/>
      <c r="F22" s="990">
        <f>'数据-取费表'!B37</f>
        <v>0.02</v>
      </c>
      <c r="G22" s="8" t="s">
        <v>2488</v>
      </c>
      <c r="H22" s="970"/>
      <c r="I22" s="970"/>
      <c r="J22" s="970"/>
      <c r="K22" s="971"/>
    </row>
    <row r="23" spans="1:33" s="977" customFormat="1" ht="13.5" customHeight="1">
      <c r="A23" s="963" t="s">
        <v>2460</v>
      </c>
      <c r="B23" s="987" t="s">
        <v>2489</v>
      </c>
      <c r="C23" s="988">
        <f ca="1">ROUND(C4*F23*F11,0)</f>
        <v>0</v>
      </c>
      <c r="D23" s="324"/>
      <c r="E23" s="324"/>
      <c r="F23" s="990">
        <f>'数据-取费表'!B38</f>
        <v>0.02</v>
      </c>
      <c r="G23" s="8" t="s">
        <v>2490</v>
      </c>
      <c r="H23" s="970"/>
      <c r="I23" s="970"/>
      <c r="J23" s="970"/>
      <c r="K23" s="971"/>
    </row>
    <row r="24" spans="1:33" s="977" customFormat="1" ht="13.5" customHeight="1">
      <c r="A24" s="963" t="s">
        <v>2491</v>
      </c>
      <c r="B24" s="987" t="s">
        <v>2492</v>
      </c>
      <c r="C24" s="323">
        <f>ROUND(F24/(1+'数据-取费表'!C42),4)</f>
        <v>2.9000000000000001E-2</v>
      </c>
      <c r="D24" s="324" t="s">
        <v>15</v>
      </c>
      <c r="E24" s="324"/>
      <c r="F24" s="990">
        <f>'数据-取费表'!B48+'数据-取费表'!B49</f>
        <v>3.0499999999999999E-2</v>
      </c>
      <c r="G24" s="8" t="s">
        <v>2493</v>
      </c>
      <c r="H24" s="992"/>
      <c r="I24" s="992"/>
      <c r="J24" s="992"/>
      <c r="K24" s="993"/>
    </row>
    <row r="25" spans="1:33" s="977" customFormat="1" ht="13.5" customHeight="1">
      <c r="A25" s="963" t="s">
        <v>2494</v>
      </c>
      <c r="B25" s="989" t="s">
        <v>2495</v>
      </c>
      <c r="C25" s="1356">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2496</v>
      </c>
      <c r="C26" s="1357">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2497</v>
      </c>
      <c r="C27" s="1358">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1"/>
      <c r="I27" s="981"/>
      <c r="J27" s="981"/>
      <c r="K27" s="982"/>
    </row>
    <row r="28" spans="1:33" s="332" customFormat="1" ht="13.5" customHeight="1">
      <c r="A28" s="963" t="s">
        <v>2498</v>
      </c>
      <c r="B28" s="2558" t="s">
        <v>2499</v>
      </c>
      <c r="C28" s="330">
        <f ca="1">C30</f>
        <v>0</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2500</v>
      </c>
      <c r="C29" s="327">
        <f ca="1">ROUND((1+C24)*F28*'数据-取费表'!B24/'数据-取费表'!B20,4)</f>
        <v>0</v>
      </c>
      <c r="D29" s="327"/>
      <c r="E29" s="328"/>
      <c r="F29" s="333"/>
      <c r="G29" s="139" t="s">
        <v>2501</v>
      </c>
      <c r="H29" s="981"/>
      <c r="I29" s="981"/>
      <c r="J29" s="981"/>
      <c r="K29" s="982"/>
    </row>
    <row r="30" spans="1:33" s="334" customFormat="1" ht="13.5" customHeight="1">
      <c r="A30" s="973" t="s">
        <v>804</v>
      </c>
      <c r="B30" s="996" t="s">
        <v>2502</v>
      </c>
      <c r="C30" s="335">
        <f ca="1">ROUND((C21+C22+C23)*F28,0)</f>
        <v>0</v>
      </c>
      <c r="D30" s="327"/>
      <c r="E30" s="328"/>
      <c r="F30" s="333"/>
      <c r="G30" s="139"/>
      <c r="H30" s="981"/>
      <c r="I30" s="981"/>
      <c r="J30" s="981"/>
      <c r="K30" s="982"/>
    </row>
    <row r="31" spans="1:33" s="977" customFormat="1" ht="13.5" customHeight="1" thickBot="1">
      <c r="A31" s="2559" t="s">
        <v>2503</v>
      </c>
      <c r="B31" s="1007" t="s">
        <v>2504</v>
      </c>
      <c r="C31" s="1008">
        <f>ROUND(C4*F31/(1+'数据-取费表'!C42),0)</f>
        <v>0</v>
      </c>
      <c r="D31" s="1009"/>
      <c r="E31" s="1010"/>
      <c r="F31" s="1011">
        <f>'数据-取费表'!B41</f>
        <v>5.6000000000000001E-2</v>
      </c>
      <c r="G31" s="1012" t="s">
        <v>2505</v>
      </c>
      <c r="H31" s="1013"/>
      <c r="I31" s="1013"/>
      <c r="J31" s="1013"/>
      <c r="K31" s="1014"/>
    </row>
    <row r="32" spans="1:33" s="972" customFormat="1" ht="13.5" customHeight="1" thickBot="1">
      <c r="A32" s="1002" t="s">
        <v>2506</v>
      </c>
      <c r="B32" s="1003"/>
      <c r="C32" s="1004">
        <f ca="1">ROUND((C4-C21-C22-C23-C25-C28-C31)/(1+C24+D25+D28),0)</f>
        <v>0</v>
      </c>
      <c r="D32" s="1003"/>
      <c r="E32" s="1003"/>
      <c r="F32" s="1003"/>
      <c r="G32" s="1005" t="s">
        <v>2507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E29" sqref="E29"/>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2" customWidth="1"/>
    <col min="33" max="36" width="9.375" style="2795" customWidth="1"/>
    <col min="37" max="38" width="9.375" style="2719" customWidth="1"/>
    <col min="39" max="16384" width="12" style="2719"/>
  </cols>
  <sheetData>
    <row r="1" spans="1:36" ht="28.5">
      <c r="A1" s="239" t="s">
        <v>2793</v>
      </c>
      <c r="B1" s="240"/>
      <c r="C1" s="244" t="s">
        <v>2794</v>
      </c>
      <c r="D1" s="387">
        <f>SUM(D29:D30,D33:D39)</f>
        <v>8276.64</v>
      </c>
      <c r="E1" s="2716"/>
      <c r="F1" s="2716"/>
      <c r="G1" s="2716"/>
      <c r="H1" s="2716"/>
      <c r="I1" s="2716"/>
      <c r="J1" s="2716"/>
      <c r="K1" s="1370"/>
      <c r="L1" s="2717" t="s">
        <v>2795</v>
      </c>
      <c r="M1" s="1080">
        <f>SUMPRODUCT((区片价!B5:B9=I2)*(区片价!C3:F3=E2)*(区片价!C5:F9))</f>
        <v>0</v>
      </c>
      <c r="N1" s="1083">
        <f>SUMPRODUCT((因素修正幅度!B5:B9=I2)*(因素修正幅度!C3:F3=E2)*(因素修正幅度!C5:F9))</f>
        <v>0</v>
      </c>
      <c r="O1" s="2718"/>
      <c r="P1" s="2718"/>
      <c r="Q1" s="1370"/>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4" t="s">
        <v>2801</v>
      </c>
      <c r="B2" s="247">
        <f ca="1">C26</f>
        <v>19736</v>
      </c>
      <c r="C2" s="2720" t="s">
        <v>2802</v>
      </c>
      <c r="D2" s="2721" t="s">
        <v>2803</v>
      </c>
      <c r="E2" s="2722" t="s">
        <v>27</v>
      </c>
      <c r="F2" s="2721" t="s">
        <v>2804</v>
      </c>
      <c r="G2" s="2723" t="str">
        <f>IF(E2="商业",项目基本情况!B37,IF(E2="办公",项目基本情况!C37,IF(E2="住宅",项目基本情况!D37,项目基本情况!E37)))</f>
        <v>二级</v>
      </c>
      <c r="H2" s="2721" t="s">
        <v>2805</v>
      </c>
      <c r="I2" s="2723" t="str">
        <f>IF(E2="商业",项目基本情况!B38,IF(E2="办公",项目基本情况!C38,IF(E2="住宅",项目基本情况!D38,项目基本情况!E38)))</f>
        <v>Ⅱ—03</v>
      </c>
      <c r="J2" s="2724"/>
      <c r="K2" s="1370"/>
      <c r="L2" s="2725" t="s">
        <v>2806</v>
      </c>
      <c r="M2" s="1081">
        <f>SUMPRODUCT((区片价!B10:B28=I2)*(区片价!C3:F3=E2)*(区片价!C10:F28))</f>
        <v>23180</v>
      </c>
      <c r="N2" s="1083">
        <f>SUMPRODUCT((因素修正幅度!B10:B28=I2)*(因素修正幅度!C3:F3=E2)*(因素修正幅度!C10:F28))</f>
        <v>7.0999999999999994E-2</v>
      </c>
      <c r="O2" s="1370"/>
      <c r="P2" s="1370"/>
      <c r="Q2" s="1370"/>
      <c r="R2" s="1600">
        <v>1</v>
      </c>
      <c r="S2" s="1600">
        <f>ROUND(IF(G3&gt;1,IF(R2&lt;7,SUMPRODUCT((B93:B98=R2)*(C92:N92=G2)*(C93:N98)),SUMIF(C92:N92,G2,C100:N100)),IF(R2&lt;7,SUMPRODUCT((B102:B107=R2)*(C92:N92=G2)*(C102:N107)),SUMIF(C92:N92,G2,C109:N109))),4)</f>
        <v>1.9361999999999999</v>
      </c>
      <c r="T2" s="1600">
        <f ca="1">ROUND($C$5*$C$18*$C$19*$C$20*S2*$C$24,0)</f>
        <v>54803</v>
      </c>
      <c r="U2" s="1601"/>
      <c r="V2" s="1600">
        <f ca="1">ROUND(T2*U2/10000,0)</f>
        <v>0</v>
      </c>
      <c r="W2" s="1604"/>
      <c r="X2" s="1604"/>
      <c r="Y2" s="1604"/>
      <c r="Z2" s="1604"/>
      <c r="AA2" s="1604"/>
      <c r="AB2" s="1604"/>
      <c r="AC2" s="1605"/>
      <c r="AD2" s="1606"/>
      <c r="AE2" s="1606"/>
      <c r="AF2" s="1606"/>
      <c r="AG2" s="1606"/>
      <c r="AH2" s="1606"/>
      <c r="AI2" s="1606"/>
      <c r="AJ2" s="1607"/>
    </row>
    <row r="3" spans="1:36" ht="25.5">
      <c r="A3" s="246" t="s">
        <v>2807</v>
      </c>
      <c r="B3" s="247">
        <f ca="1">ROUND(B2*10000/D1,0)</f>
        <v>23845</v>
      </c>
      <c r="C3" s="2720" t="s">
        <v>2808</v>
      </c>
      <c r="D3" s="2721" t="s">
        <v>2809</v>
      </c>
      <c r="E3" s="2726" t="s">
        <v>3071</v>
      </c>
      <c r="F3" s="2727" t="s">
        <v>3135</v>
      </c>
      <c r="G3" s="915">
        <f>IF(F3="宗地容积率",'数据-汇总表'!I4,IF(F3="估价对象容积率",'数据-汇总表'!I6,'数据-汇总表'!I7))</f>
        <v>8.92</v>
      </c>
      <c r="H3" s="197" t="s">
        <v>2810</v>
      </c>
      <c r="I3" s="946"/>
      <c r="J3" s="2724" t="s">
        <v>2811</v>
      </c>
      <c r="K3" s="1370"/>
      <c r="L3" s="2725" t="s">
        <v>2812</v>
      </c>
      <c r="M3" s="1081">
        <f>SUMPRODUCT((区片价!B29:B48=I2)*(区片价!C3:F3=E2)*(区片价!C29:F48))</f>
        <v>0</v>
      </c>
      <c r="N3" s="1083">
        <f>SUMPRODUCT((因素修正幅度!B29:B48=I2)*(因素修正幅度!C3:F3=E2)*(因素修正幅度!C29:F48))</f>
        <v>0</v>
      </c>
      <c r="O3" s="1370"/>
      <c r="P3" s="1370"/>
      <c r="Q3" s="1370"/>
      <c r="R3" s="1600">
        <v>2</v>
      </c>
      <c r="S3" s="1600">
        <f>ROUND(IF(G3&gt;1,IF(R3&lt;7,SUMPRODUCT((B93:B98=R3)*(C92:N92=G2)*(C93:N98)),SUMIF(C92:N92,G2,C100:N100)),IF(R3&lt;7,SUMPRODUCT((B102:B107=R3)*(C92:N92=G2)*(C102:N107)),SUMIF(C92:N92,G2,C109:N109))),4)</f>
        <v>1.4198</v>
      </c>
      <c r="T3" s="1600">
        <f t="shared" ref="T3:T16" ca="1" si="0">ROUND($C$5*$C$18*$C$19*$C$20*S3*$C$24,0)</f>
        <v>40187</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81"/>
      <c r="B4" s="3182"/>
      <c r="C4" s="3182"/>
      <c r="D4" s="3183"/>
      <c r="E4" s="3183"/>
      <c r="F4" s="3183"/>
      <c r="G4" s="3183"/>
      <c r="H4" s="3183"/>
      <c r="I4" s="3183"/>
      <c r="J4" s="3184"/>
      <c r="K4" s="1370"/>
      <c r="L4" s="2725" t="s">
        <v>2813</v>
      </c>
      <c r="M4" s="1081">
        <f>SUMPRODUCT((区片价!B49:B75=I2)*(区片价!C3:F3=E2)*(区片价!C49:F75))</f>
        <v>0</v>
      </c>
      <c r="N4" s="1083">
        <f>SUMPRODUCT((因素修正幅度!B49:B75=I2)*(因素修正幅度!C3:F3=E2)*(因素修正幅度!C49:F75))</f>
        <v>0</v>
      </c>
      <c r="O4" s="1370"/>
      <c r="P4" s="1370"/>
      <c r="Q4" s="1370"/>
      <c r="R4" s="1600">
        <v>3</v>
      </c>
      <c r="S4" s="1600">
        <f>ROUND(IF(G3&gt;1,IF(R4&lt;7,SUMPRODUCT((B93:B98=R4)*(C92:N92=G2)*(C93:N98)),SUMIF(C92:N92,G2,C100:N100)),IF(R4&lt;7,SUMPRODUCT((B102:B107=R4)*(C92:N92=G2)*(C102:N107)),SUMIF(C92:N92,G2,C109:N109))),4)</f>
        <v>1.1594</v>
      </c>
      <c r="T4" s="1600">
        <f t="shared" ca="1" si="0"/>
        <v>32816</v>
      </c>
      <c r="U4" s="1601"/>
      <c r="V4" s="1600">
        <f t="shared" ca="1" si="1"/>
        <v>0</v>
      </c>
      <c r="W4" s="1604"/>
      <c r="X4" s="1604"/>
      <c r="Y4" s="1604"/>
      <c r="Z4" s="1604"/>
      <c r="AA4" s="1604"/>
      <c r="AB4" s="1604"/>
      <c r="AC4" s="1605"/>
      <c r="AD4" s="1606"/>
      <c r="AE4" s="1606"/>
      <c r="AF4" s="1606"/>
      <c r="AG4" s="1606"/>
      <c r="AH4" s="1606"/>
      <c r="AI4" s="1606"/>
      <c r="AJ4" s="1607"/>
    </row>
    <row r="5" spans="1:36" s="2737" customFormat="1" ht="15.75" thickBot="1">
      <c r="A5" s="2728" t="s">
        <v>807</v>
      </c>
      <c r="B5" s="2729" t="s">
        <v>2814</v>
      </c>
      <c r="C5" s="916">
        <f>ROUND(IF(E2="商业",IF(F16="增加",C6*C7+C16,C6*C7-C16),IF(E2="住宅",IF(F16="增加",C6*C12+C16,C6*C12-C16),IF(F16="增加",C6+C16,C6-C16))),0)</f>
        <v>23166</v>
      </c>
      <c r="D5" s="1785">
        <f>ROUND(IF(E2="商业",IF(F16="增加",C6+C16,C6-C16)),0)</f>
        <v>0</v>
      </c>
      <c r="E5" s="2730"/>
      <c r="F5" s="2730"/>
      <c r="G5" s="2731"/>
      <c r="H5" s="2731"/>
      <c r="I5" s="2731"/>
      <c r="J5" s="2732"/>
      <c r="K5" s="2733"/>
      <c r="L5" s="2725" t="s">
        <v>2815</v>
      </c>
      <c r="M5" s="1081">
        <f>SUMPRODUCT((区片价!B76:B109=I2)*(区片价!C3:F3=E2)*(区片价!C76:F109))</f>
        <v>0</v>
      </c>
      <c r="N5" s="1083">
        <f>SUMPRODUCT((因素修正幅度!B76:B109=I2)*(因素修正幅度!C3:F3=E2)*(因素修正幅度!C76:F109))</f>
        <v>0</v>
      </c>
      <c r="O5" s="1370"/>
      <c r="P5" s="1370"/>
      <c r="Q5" s="1370"/>
      <c r="R5" s="1600">
        <v>4</v>
      </c>
      <c r="S5" s="1600">
        <f>ROUND(IF(G3&gt;1,IF(R5&lt;7,SUMPRODUCT((B93:B98=R5)*(C92:N92=G2)*(C93:N98)),SUMIF(C92:N92,G2,C100:N100)),IF(R5&lt;7,SUMPRODUCT((B102:B107=R5)*(C92:N92=G2)*(C102:N107)),SUMIF(C92:N92,G2,C109:N109))),4)</f>
        <v>0.96220000000000006</v>
      </c>
      <c r="T5" s="1600">
        <f t="shared" ca="1" si="0"/>
        <v>27234</v>
      </c>
      <c r="U5" s="1601"/>
      <c r="V5" s="1600">
        <f t="shared" ca="1" si="1"/>
        <v>0</v>
      </c>
      <c r="W5" s="1604"/>
      <c r="X5" s="1604"/>
      <c r="Y5" s="1604"/>
      <c r="Z5" s="1604"/>
      <c r="AA5" s="1604"/>
      <c r="AB5" s="1604"/>
      <c r="AC5" s="2734"/>
      <c r="AD5" s="2735"/>
      <c r="AE5" s="2735"/>
      <c r="AF5" s="2735"/>
      <c r="AG5" s="2735"/>
      <c r="AH5" s="2735"/>
      <c r="AI5" s="2735"/>
      <c r="AJ5" s="2736"/>
    </row>
    <row r="6" spans="1:36" ht="15.75" thickBot="1">
      <c r="A6" s="2738" t="s">
        <v>2816</v>
      </c>
      <c r="B6" s="2739" t="s">
        <v>2817</v>
      </c>
      <c r="C6" s="917">
        <f>SUMIF(L1:L12,G2,M1:M12)</f>
        <v>23180</v>
      </c>
      <c r="D6" s="2740" t="s">
        <v>2818</v>
      </c>
      <c r="E6" s="2741"/>
      <c r="F6" s="2741"/>
      <c r="G6" s="2742"/>
      <c r="H6" s="2742"/>
      <c r="I6" s="2742"/>
      <c r="J6" s="2743"/>
      <c r="K6" s="1840"/>
      <c r="L6" s="2725" t="s">
        <v>2819</v>
      </c>
      <c r="M6" s="1081">
        <f>SUMPRODUCT((区片价!B110:B157=I2)*(区片价!C3:F3=E2)*(区片价!C110:F157))</f>
        <v>0</v>
      </c>
      <c r="N6" s="1083">
        <f>SUMPRODUCT((因素修正幅度!B110:B157=I2)*(因素修正幅度!C3:F3=E2)*(因素修正幅度!C110:F157))</f>
        <v>0</v>
      </c>
      <c r="O6" s="1370"/>
      <c r="P6" s="1370"/>
      <c r="Q6" s="1370"/>
      <c r="R6" s="1600">
        <v>5</v>
      </c>
      <c r="S6" s="1600">
        <f>ROUND(IF(G3&gt;1,IF(R6&lt;7,SUMPRODUCT((B93:B98=R6)*(C92:N92=G2)*(C93:N98)),SUMIF(C92:N92,G2,C100:N100)),IF(R6&lt;7,SUMPRODUCT((B102:B107=R6)*(C92:N92=G2)*(C102:N107)),SUMIF(C92:N92,G2,C109:N109))),4)</f>
        <v>0.8417</v>
      </c>
      <c r="T6" s="1600">
        <f t="shared" ca="1" si="0"/>
        <v>23824</v>
      </c>
      <c r="U6" s="1601"/>
      <c r="V6" s="1600">
        <f t="shared" ca="1" si="1"/>
        <v>0</v>
      </c>
      <c r="W6" s="1604"/>
      <c r="X6" s="1604"/>
      <c r="Y6" s="1604"/>
      <c r="Z6" s="1604"/>
      <c r="AA6" s="1604"/>
      <c r="AB6" s="1604"/>
      <c r="AC6" s="2734"/>
      <c r="AD6" s="2735"/>
      <c r="AE6" s="2735"/>
      <c r="AF6" s="2735"/>
      <c r="AG6" s="2735"/>
      <c r="AH6" s="2735"/>
      <c r="AI6" s="2735"/>
      <c r="AJ6" s="2736"/>
    </row>
    <row r="7" spans="1:36" ht="24">
      <c r="A7" s="3167" t="str">
        <f>IF(E2="商业",IF(C8="不临58条商业街","",2),"")</f>
        <v/>
      </c>
      <c r="B7" s="2744" t="s">
        <v>2820</v>
      </c>
      <c r="C7" s="918">
        <f>IF(C8="不临58条商业街",1,ROUND(1+(1.6*E8+1.2*E9+0.8*E10+0.4*E11)*C9,4))</f>
        <v>1</v>
      </c>
      <c r="D7" s="2745" t="s">
        <v>2821</v>
      </c>
      <c r="E7" s="947"/>
      <c r="F7" s="2746"/>
      <c r="G7" s="2747"/>
      <c r="H7" s="2747"/>
      <c r="I7" s="2747"/>
      <c r="J7" s="2748"/>
      <c r="K7" s="1840"/>
      <c r="L7" s="2725" t="s">
        <v>2822</v>
      </c>
      <c r="M7" s="1081">
        <f>SUMPRODUCT((区片价!B158:B205=I2)*(区片价!C3:F3=E2)*(区片价!C158:F205))</f>
        <v>0</v>
      </c>
      <c r="N7" s="1083">
        <f>SUMPRODUCT((因素修正幅度!B158:B205=I2)*(因素修正幅度!C3:F3=E2)*(因素修正幅度!C158:F205))</f>
        <v>0</v>
      </c>
      <c r="O7" s="1370"/>
      <c r="P7" s="1370"/>
      <c r="Q7" s="1370"/>
      <c r="R7" s="1600">
        <v>6</v>
      </c>
      <c r="S7" s="1600">
        <f>ROUND(IF(G3&gt;1,IF(R7&lt;7,SUMPRODUCT((B93:B98=R7)*(C92:N92=G2)*(C93:N98)),SUMIF(C92:N92,G2,C100:N100)),IF(R7&lt;7,SUMPRODUCT((B102:B107=R7)*(C92:N92=G2)*(C102:N107)),SUMIF(C92:N92,G2,C109:N109))),4)</f>
        <v>0.76080000000000003</v>
      </c>
      <c r="T7" s="1600">
        <f t="shared" ca="1" si="0"/>
        <v>21534</v>
      </c>
      <c r="U7" s="1601"/>
      <c r="V7" s="1600">
        <f t="shared" ca="1" si="1"/>
        <v>0</v>
      </c>
      <c r="W7" s="1814" t="s">
        <v>2823</v>
      </c>
      <c r="X7" s="1602" t="str">
        <f>G2</f>
        <v>二级</v>
      </c>
      <c r="Y7" s="1602" t="s">
        <v>2824</v>
      </c>
      <c r="Z7" s="1603">
        <f>G3</f>
        <v>8.92</v>
      </c>
      <c r="AA7" s="1604"/>
      <c r="AB7" s="1604"/>
      <c r="AC7" s="1605"/>
      <c r="AD7" s="1606"/>
      <c r="AE7" s="1606"/>
      <c r="AF7" s="1606"/>
      <c r="AG7" s="1606"/>
      <c r="AH7" s="1606"/>
      <c r="AI7" s="1606"/>
      <c r="AJ7" s="1607"/>
    </row>
    <row r="8" spans="1:36" ht="25.5">
      <c r="A8" s="3168"/>
      <c r="B8" s="197" t="s">
        <v>2825</v>
      </c>
      <c r="C8" s="2749" t="s">
        <v>3136</v>
      </c>
      <c r="D8" s="919" t="s">
        <v>139</v>
      </c>
      <c r="E8" s="920" t="e">
        <f>ROUND(C11/E7,4)</f>
        <v>#DIV/0!</v>
      </c>
      <c r="F8" s="2750" t="s">
        <v>2826</v>
      </c>
      <c r="G8" s="2751"/>
      <c r="H8" s="2751"/>
      <c r="I8" s="2751"/>
      <c r="J8" s="2752"/>
      <c r="K8" s="1370"/>
      <c r="L8" s="2725" t="s">
        <v>2827</v>
      </c>
      <c r="M8" s="1081">
        <f>SUMPRODUCT((区片价!B206:B244=I2)*(区片价!C3:F3=E2)*(区片价!C206:F244))</f>
        <v>0</v>
      </c>
      <c r="N8" s="1083">
        <f>SUMPRODUCT((因素修正幅度!B206:B244=I2)*(因素修正幅度!C3:F3=E2)*(因素修正幅度!C206:F244))</f>
        <v>0</v>
      </c>
      <c r="O8" s="1370"/>
      <c r="P8" s="1370"/>
      <c r="Q8" s="1370"/>
      <c r="R8" s="1600">
        <v>7</v>
      </c>
      <c r="S8" s="1601"/>
      <c r="T8" s="1600">
        <f t="shared" ca="1" si="0"/>
        <v>0</v>
      </c>
      <c r="U8" s="1601"/>
      <c r="V8" s="1600">
        <f t="shared" ca="1" si="1"/>
        <v>0</v>
      </c>
      <c r="W8" s="3178" t="s">
        <v>2828</v>
      </c>
      <c r="X8" s="3179"/>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168"/>
      <c r="B9" s="197" t="s">
        <v>2841</v>
      </c>
      <c r="C9" s="921">
        <f>SUMIF(修正!C59:C119,C8,修正!E59:E119)</f>
        <v>0</v>
      </c>
      <c r="D9" s="199" t="s">
        <v>140</v>
      </c>
      <c r="E9" s="199" t="e">
        <f>ROUND(C11/E7,4)</f>
        <v>#DIV/0!</v>
      </c>
      <c r="F9" s="2750" t="s">
        <v>2842</v>
      </c>
      <c r="G9" s="2751"/>
      <c r="H9" s="2751"/>
      <c r="I9" s="2751"/>
      <c r="J9" s="2752"/>
      <c r="K9" s="1370"/>
      <c r="L9" s="2725" t="s">
        <v>2843</v>
      </c>
      <c r="M9" s="1081">
        <f>SUMPRODUCT((区片价!B245:B289=I2)*(区片价!C3:F3=E2)*(区片价!C245:F289))</f>
        <v>0</v>
      </c>
      <c r="N9" s="1083">
        <f>SUMPRODUCT((因素修正幅度!B245:B289=I2)*(因素修正幅度!C3:F3=E2)*(因素修正幅度!C245:F289))</f>
        <v>0</v>
      </c>
      <c r="O9" s="1370"/>
      <c r="P9" s="1370"/>
      <c r="Q9" s="1370"/>
      <c r="R9" s="1600">
        <v>8</v>
      </c>
      <c r="S9" s="1601"/>
      <c r="T9" s="1600">
        <f t="shared" ca="1" si="0"/>
        <v>0</v>
      </c>
      <c r="U9" s="1601"/>
      <c r="V9" s="1600">
        <f t="shared" ca="1" si="1"/>
        <v>0</v>
      </c>
      <c r="W9" s="3180"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168"/>
      <c r="B10" s="197" t="s">
        <v>2846</v>
      </c>
      <c r="C10" s="199">
        <f>SUMIF(修正!C59:C119,C8,修正!F59:F119)</f>
        <v>0</v>
      </c>
      <c r="D10" s="199" t="s">
        <v>141</v>
      </c>
      <c r="E10" s="199" t="e">
        <f>ROUND(C11/E7,4)</f>
        <v>#DIV/0!</v>
      </c>
      <c r="F10" s="2750" t="s">
        <v>2847</v>
      </c>
      <c r="G10" s="2751"/>
      <c r="H10" s="2751"/>
      <c r="I10" s="2751"/>
      <c r="J10" s="2752"/>
      <c r="K10" s="1370"/>
      <c r="L10" s="2725" t="s">
        <v>2848</v>
      </c>
      <c r="M10" s="1081">
        <f>SUMPRODUCT((区片价!B290:B316=I2)*(区片价!C3:F3=E2)*(区片价!C290:F316))</f>
        <v>0</v>
      </c>
      <c r="N10" s="1083">
        <f>SUMPRODUCT((因素修正幅度!B290:B316=I2)*(因素修正幅度!C3:F3=E2)*(因素修正幅度!C290:F316))</f>
        <v>0</v>
      </c>
      <c r="O10" s="1370"/>
      <c r="P10" s="1370"/>
      <c r="Q10" s="1370"/>
      <c r="R10" s="1600">
        <v>9</v>
      </c>
      <c r="S10" s="1601"/>
      <c r="T10" s="1600">
        <f t="shared" ca="1" si="0"/>
        <v>0</v>
      </c>
      <c r="U10" s="1601"/>
      <c r="V10" s="1600">
        <f t="shared" ca="1" si="1"/>
        <v>0</v>
      </c>
      <c r="W10" s="318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168"/>
      <c r="B11" s="2753" t="s">
        <v>2849</v>
      </c>
      <c r="C11" s="922">
        <f>C10/4</f>
        <v>0</v>
      </c>
      <c r="D11" s="922" t="s">
        <v>142</v>
      </c>
      <c r="E11" s="922" t="e">
        <f>ROUND(C11/E7,4)</f>
        <v>#DIV/0!</v>
      </c>
      <c r="F11" s="2754" t="s">
        <v>2850</v>
      </c>
      <c r="G11" s="2755"/>
      <c r="H11" s="2755"/>
      <c r="I11" s="2755"/>
      <c r="J11" s="2756"/>
      <c r="K11" s="1370"/>
      <c r="L11" s="2725" t="s">
        <v>2851</v>
      </c>
      <c r="M11" s="1081">
        <f>SUMPRODUCT((区片价!B317:B337=I2)*(区片价!C3:F3=E2)*(区片价!C317:F337))</f>
        <v>0</v>
      </c>
      <c r="N11" s="1083">
        <f>SUMPRODUCT((因素修正幅度!B317:B337=I2)*(因素修正幅度!C3:F3=E2)*(因素修正幅度!C317:F337))</f>
        <v>0</v>
      </c>
      <c r="O11" s="1370"/>
      <c r="P11" s="1370"/>
      <c r="Q11" s="1370"/>
      <c r="R11" s="1600">
        <v>10</v>
      </c>
      <c r="S11" s="1601"/>
      <c r="T11" s="1600">
        <f t="shared" ca="1" si="0"/>
        <v>0</v>
      </c>
      <c r="U11" s="1601"/>
      <c r="V11" s="1600">
        <f t="shared" ca="1" si="1"/>
        <v>0</v>
      </c>
      <c r="W11" s="3180" t="s">
        <v>2852</v>
      </c>
      <c r="X11" s="1612" t="s">
        <v>2853</v>
      </c>
      <c r="Y11" s="1613">
        <f>$G$3</f>
        <v>8.92</v>
      </c>
      <c r="Z11" s="1613">
        <f t="shared" ref="Z11:AJ11" si="3">$G$3</f>
        <v>8.92</v>
      </c>
      <c r="AA11" s="1613">
        <f t="shared" si="3"/>
        <v>8.92</v>
      </c>
      <c r="AB11" s="1613">
        <f t="shared" si="3"/>
        <v>8.92</v>
      </c>
      <c r="AC11" s="1613">
        <f t="shared" si="3"/>
        <v>8.92</v>
      </c>
      <c r="AD11" s="1613">
        <f t="shared" si="3"/>
        <v>8.92</v>
      </c>
      <c r="AE11" s="1613">
        <f t="shared" si="3"/>
        <v>8.92</v>
      </c>
      <c r="AF11" s="1613">
        <f t="shared" si="3"/>
        <v>8.92</v>
      </c>
      <c r="AG11" s="1613">
        <f t="shared" si="3"/>
        <v>8.92</v>
      </c>
      <c r="AH11" s="1613">
        <f t="shared" si="3"/>
        <v>8.92</v>
      </c>
      <c r="AI11" s="1613">
        <f t="shared" si="3"/>
        <v>8.92</v>
      </c>
      <c r="AJ11" s="1613">
        <f t="shared" si="3"/>
        <v>8.92</v>
      </c>
    </row>
    <row r="12" spans="1:36" ht="25.5" thickBot="1">
      <c r="A12" s="3167" t="s">
        <v>2854</v>
      </c>
      <c r="B12" s="2757" t="s">
        <v>2855</v>
      </c>
      <c r="C12" s="918">
        <f>ROUND(C15*D15*E15*F15*G15*H15*I15*J15,4)</f>
        <v>1</v>
      </c>
      <c r="D12" s="2758" t="s">
        <v>2856</v>
      </c>
      <c r="E12" s="2759"/>
      <c r="F12" s="2759"/>
      <c r="G12" s="2760"/>
      <c r="H12" s="2760"/>
      <c r="I12" s="2760"/>
      <c r="J12" s="2761"/>
      <c r="K12" s="1370"/>
      <c r="L12" s="2762" t="s">
        <v>2857</v>
      </c>
      <c r="M12" s="1082">
        <f>SUMPRODUCT((区片价!B338:B344=I2)*(区片价!C3:F3=E2)*(区片价!C338:F344))</f>
        <v>0</v>
      </c>
      <c r="N12" s="1083">
        <f>SUMPRODUCT((因素修正幅度!B338:B344=I2)*(因素修正幅度!C3:F3=E2)*(因素修正幅度!C338:F344))</f>
        <v>0</v>
      </c>
      <c r="O12" s="1370"/>
      <c r="P12" s="1370"/>
      <c r="Q12" s="1370"/>
      <c r="R12" s="1600">
        <v>11</v>
      </c>
      <c r="S12" s="1601"/>
      <c r="T12" s="1600">
        <f t="shared" ca="1" si="0"/>
        <v>0</v>
      </c>
      <c r="U12" s="1601"/>
      <c r="V12" s="1600">
        <f t="shared" ca="1" si="1"/>
        <v>0</v>
      </c>
      <c r="W12" s="3180"/>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185"/>
      <c r="B13" s="2763" t="s">
        <v>2859</v>
      </c>
      <c r="C13" s="2764" t="s">
        <v>2860</v>
      </c>
      <c r="D13" s="1806" t="s">
        <v>2861</v>
      </c>
      <c r="E13" s="1806" t="s">
        <v>2862</v>
      </c>
      <c r="F13" s="29" t="s">
        <v>2863</v>
      </c>
      <c r="G13" s="2765" t="s">
        <v>2864</v>
      </c>
      <c r="H13" s="2765" t="s">
        <v>2864</v>
      </c>
      <c r="I13" s="2765" t="s">
        <v>2864</v>
      </c>
      <c r="J13" s="2766" t="s">
        <v>2864</v>
      </c>
      <c r="K13" s="1370"/>
      <c r="L13" s="1370"/>
      <c r="M13" s="1370"/>
      <c r="N13" s="1370"/>
      <c r="O13" s="1370"/>
      <c r="P13" s="1370"/>
      <c r="Q13" s="1370"/>
      <c r="R13" s="1600">
        <v>12</v>
      </c>
      <c r="S13" s="1601"/>
      <c r="T13" s="1600">
        <f t="shared" ca="1" si="0"/>
        <v>0</v>
      </c>
      <c r="U13" s="1601"/>
      <c r="V13" s="1600">
        <f t="shared" ca="1" si="1"/>
        <v>0</v>
      </c>
      <c r="W13" s="3180"/>
      <c r="X13" s="1614"/>
      <c r="Y13" s="1611">
        <f>(-0.163*(Y12^2)-0.59*Y12+7617)*(10^(-4))/Y11</f>
        <v>8.5392376681614354E-2</v>
      </c>
      <c r="Z13" s="1611">
        <f t="shared" ref="Z13:AJ13" si="5">(-0.163*(Z12^2)-0.59*Z12+7617)*(10^(-4))/Z11</f>
        <v>8.5392376681614354E-2</v>
      </c>
      <c r="AA13" s="1611">
        <f t="shared" si="5"/>
        <v>8.5392376681614354E-2</v>
      </c>
      <c r="AB13" s="1611">
        <f t="shared" si="5"/>
        <v>8.5392376681614354E-2</v>
      </c>
      <c r="AC13" s="1611">
        <f t="shared" si="5"/>
        <v>8.5392376681614354E-2</v>
      </c>
      <c r="AD13" s="1611">
        <f t="shared" si="5"/>
        <v>8.5392376681614354E-2</v>
      </c>
      <c r="AE13" s="1611">
        <f t="shared" si="5"/>
        <v>8.5392376681614354E-2</v>
      </c>
      <c r="AF13" s="1611">
        <f t="shared" si="5"/>
        <v>8.5392376681614354E-2</v>
      </c>
      <c r="AG13" s="1611">
        <f t="shared" si="5"/>
        <v>8.5392376681614354E-2</v>
      </c>
      <c r="AH13" s="1611">
        <f t="shared" si="5"/>
        <v>8.5392376681614354E-2</v>
      </c>
      <c r="AI13" s="1611">
        <f t="shared" si="5"/>
        <v>8.5392376681614354E-2</v>
      </c>
      <c r="AJ13" s="1611">
        <f t="shared" si="5"/>
        <v>8.5392376681614354E-2</v>
      </c>
    </row>
    <row r="14" spans="1:36" ht="15">
      <c r="A14" s="3185"/>
      <c r="B14" s="2767"/>
      <c r="C14" s="2768"/>
      <c r="D14" s="2769"/>
      <c r="E14" s="2769"/>
      <c r="F14" s="2770"/>
      <c r="G14" s="2771" t="s">
        <v>2865</v>
      </c>
      <c r="H14" s="2772"/>
      <c r="I14" s="2773"/>
      <c r="J14" s="2774"/>
      <c r="K14" s="1370"/>
      <c r="L14" s="1370"/>
      <c r="M14" s="1370"/>
      <c r="N14" s="1370"/>
      <c r="O14" s="1370"/>
      <c r="P14" s="1370"/>
      <c r="Q14" s="1370"/>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186"/>
      <c r="B15" s="2775" t="s">
        <v>2866</v>
      </c>
      <c r="C15" s="228">
        <f>IF(C14="有",1.1,1)</f>
        <v>1</v>
      </c>
      <c r="D15" s="228">
        <f>IF(D14="有",1.1,1)</f>
        <v>1</v>
      </c>
      <c r="E15" s="228">
        <f>IF(E14="有",1.1,1)</f>
        <v>1</v>
      </c>
      <c r="F15" s="228">
        <f>IF(F14="500米范围内",1.2,IF(F14="500-1000米",1.1,1))</f>
        <v>1</v>
      </c>
      <c r="G15" s="948">
        <v>1</v>
      </c>
      <c r="H15" s="948">
        <v>1</v>
      </c>
      <c r="I15" s="948">
        <v>1</v>
      </c>
      <c r="J15" s="949">
        <v>1</v>
      </c>
      <c r="K15" s="1370"/>
      <c r="L15" s="2776" t="s">
        <v>2803</v>
      </c>
      <c r="M15" s="919" t="s">
        <v>2867</v>
      </c>
      <c r="N15" s="919" t="s">
        <v>2868</v>
      </c>
      <c r="O15" s="919" t="s">
        <v>2869</v>
      </c>
      <c r="P15" s="2777" t="s">
        <v>2870</v>
      </c>
      <c r="Q15" s="1370"/>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167" t="s">
        <v>2871</v>
      </c>
      <c r="B16" s="2744" t="s">
        <v>2872</v>
      </c>
      <c r="C16" s="1799">
        <f>ROUND(SUM(G17:J17)/C17,0)</f>
        <v>14</v>
      </c>
      <c r="D16" s="2778" t="s">
        <v>2873</v>
      </c>
      <c r="E16" s="2779" t="s">
        <v>3072</v>
      </c>
      <c r="F16" s="2780" t="s">
        <v>3073</v>
      </c>
      <c r="G16" s="2781" t="s">
        <v>3065</v>
      </c>
      <c r="H16" s="2781"/>
      <c r="I16" s="2781"/>
      <c r="J16" s="2782"/>
      <c r="K16" s="1370"/>
      <c r="L16" s="2783" t="s">
        <v>2874</v>
      </c>
      <c r="M16" s="921">
        <v>0.25</v>
      </c>
      <c r="N16" s="921">
        <v>0.2</v>
      </c>
      <c r="O16" s="921">
        <v>0.15</v>
      </c>
      <c r="P16" s="1369">
        <v>0.1</v>
      </c>
      <c r="Q16" s="1370"/>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168"/>
      <c r="B17" s="2784" t="s">
        <v>2875</v>
      </c>
      <c r="C17" s="923">
        <f>SUMPRODUCT((修正!A2:A5=E2)*(修正!B1:M1=G2)*(修正!B2:M5))</f>
        <v>3.5</v>
      </c>
      <c r="D17" s="2785" t="s">
        <v>2876</v>
      </c>
      <c r="E17" s="922" t="str">
        <f>IF(OR(G2="八级",G2="九级",G2="十级",G2="十一级",G2="十二级"),"五通一平","七通一平")</f>
        <v>七通一平</v>
      </c>
      <c r="F17" s="923" t="s">
        <v>2877</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6" t="s">
        <v>2878</v>
      </c>
      <c r="M17" s="210">
        <f ca="1">ROUND($E$20*(1+M16),3)</f>
        <v>5.3999999999999999E-2</v>
      </c>
      <c r="N17" s="210">
        <f ca="1">ROUND($E$20*(1+N16),3)</f>
        <v>5.1999999999999998E-2</v>
      </c>
      <c r="O17" s="210">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75" thickBot="1">
      <c r="A18" s="2788" t="s">
        <v>808</v>
      </c>
      <c r="B18" s="2789" t="s">
        <v>2879</v>
      </c>
      <c r="C18" s="925">
        <f>SUMIF(修正!C18:C39,E3,修正!E18:E39)</f>
        <v>1</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2880</v>
      </c>
      <c r="C19" s="926">
        <f>ROUND(IF(H19="按公示增长率计算",SUMPRODUCT((地价!A3:A24=YEAR(G19)&amp;"-"&amp;ROUNDUP(MONTH(G19)/3,0))*(地价!X2:AB2=E2)*(地价!X3:AB24)),IF(H19="地价指数",M20/M19,(1+I19)^O19)),4)</f>
        <v>1.3237000000000001</v>
      </c>
      <c r="D19" s="2796" t="s">
        <v>2881</v>
      </c>
      <c r="E19" s="927">
        <v>41640</v>
      </c>
      <c r="F19" s="2796" t="s">
        <v>2882</v>
      </c>
      <c r="G19" s="928">
        <f>'数据-取费表'!B2</f>
        <v>43452</v>
      </c>
      <c r="H19" s="2797" t="s">
        <v>3074</v>
      </c>
      <c r="I19" s="929" t="str">
        <f>IF(H19="季度增幅（自定义）",SUMIF(N21:N24,E2,O21:O24),"")</f>
        <v/>
      </c>
      <c r="J19" s="2794"/>
      <c r="K19" s="1377"/>
      <c r="L19" s="2798" t="s">
        <v>2883</v>
      </c>
      <c r="M19" s="1732">
        <f>ROUND(SUMIF(地价!B2:F2,E2,地价!B24:F24),0)</f>
        <v>258</v>
      </c>
      <c r="N19" s="2799" t="s">
        <v>2884</v>
      </c>
      <c r="O19" s="930">
        <f>ROUNDDOWN(DATEDIF(E19,G19,"M")/3,0)</f>
        <v>19</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2885</v>
      </c>
      <c r="C20" s="931">
        <f ca="1">ROUND(POWER(1+G20,J20-I20)*(POWER(1+G20,I20)-1)/(POWER(1+G20,J20)-1),4)</f>
        <v>0.87739999999999996</v>
      </c>
      <c r="D20" s="2805" t="s">
        <v>2886</v>
      </c>
      <c r="E20" s="1766">
        <f ca="1">存贷款利率!D4/100</f>
        <v>4.3499999999999997E-2</v>
      </c>
      <c r="F20" s="2805" t="s">
        <v>2878</v>
      </c>
      <c r="G20" s="936">
        <f ca="1">SUMIF(M15:P15,E2,M17:P17)</f>
        <v>5.1999999999999998E-2</v>
      </c>
      <c r="H20" s="2805" t="s">
        <v>2887</v>
      </c>
      <c r="I20" s="937">
        <f>SUMIF('数据-取费表'!C6:C15,E2,'数据-取费表'!F6:F15)/COUNTIF('数据-取费表'!C6:C15,E2)</f>
        <v>32.54</v>
      </c>
      <c r="J20" s="938">
        <f>IF(E2="住宅",70,IF(E2="商业",40,50))</f>
        <v>50</v>
      </c>
      <c r="K20" s="1377"/>
      <c r="L20" s="2806" t="s">
        <v>2888</v>
      </c>
      <c r="M20" s="1733">
        <f>ROUND(SUMPRODUCT((地价!A4:A24=YEAR(G19)&amp;"-"&amp;ROUNDUP(MONTH(G19)/3,0))*(地价!B2:F2=E2)*(地价!B4:F24)),0)</f>
        <v>341</v>
      </c>
      <c r="N20" s="2807" t="s">
        <v>2889</v>
      </c>
      <c r="O20" s="2808" t="s">
        <v>2890</v>
      </c>
      <c r="P20" s="2809" t="s">
        <v>2891</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3075</v>
      </c>
      <c r="C21" s="939">
        <f>IF(B21="容积率修正",IF(G3&lt;=10,D22,J22),C23)</f>
        <v>0.84250000000000003</v>
      </c>
      <c r="D21" s="2812"/>
      <c r="E21" s="2812"/>
      <c r="F21" s="2812"/>
      <c r="G21" s="2812"/>
      <c r="H21" s="2812"/>
      <c r="I21" s="2812"/>
      <c r="J21" s="2813"/>
      <c r="K21" s="1377"/>
      <c r="N21" s="2814" t="s">
        <v>2892</v>
      </c>
      <c r="O21" s="1559"/>
      <c r="P21" s="1560">
        <f>SUMPRODUCT((地价!A3:A24=YEAR(G19)&amp;"-"&amp;ROUNDUP(MONTH(G19)/3,0))*(地价!AD2:AH2=N21)*(地价!AD3:AH24))</f>
        <v>1.5299999999999999E-2</v>
      </c>
      <c r="R21" s="1376"/>
      <c r="S21" s="1376"/>
      <c r="T21" s="1371"/>
      <c r="U21" s="1371"/>
      <c r="V21" s="1371"/>
      <c r="W21" s="1370"/>
      <c r="X21" s="1370"/>
      <c r="Y21" s="1370"/>
      <c r="Z21" s="1377"/>
      <c r="AA21" s="1378"/>
      <c r="AB21" s="1378"/>
      <c r="AC21" s="1378"/>
      <c r="AD21" s="1378"/>
      <c r="AE21" s="1378"/>
      <c r="AF21" s="1378"/>
    </row>
    <row r="22" spans="1:37" s="2737" customFormat="1" ht="14.25">
      <c r="A22" s="2663" t="s">
        <v>2893</v>
      </c>
      <c r="B22" s="2815" t="s">
        <v>2894</v>
      </c>
      <c r="C22" s="1808" t="s">
        <v>2895</v>
      </c>
      <c r="D22" s="1808">
        <f>IF(E22=G22,F22,IF(G3&lt;=10,ROUND(F22+(H22-F22)*(G3-E22)/(G22-E22),4),"——"))</f>
        <v>0.84250000000000003</v>
      </c>
      <c r="E22" s="915">
        <f>ROUNDDOWN(G3,1)</f>
        <v>8.9</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5">
        <f>ROUNDUP(G3,1)</f>
        <v>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08" t="s">
        <v>155</v>
      </c>
      <c r="J22" s="940" t="str">
        <f>IF(G3&gt;10,D113,"——")</f>
        <v>——</v>
      </c>
      <c r="K22" s="1377"/>
      <c r="N22" s="2814" t="s">
        <v>2896</v>
      </c>
      <c r="O22" s="1559"/>
      <c r="P22" s="1560">
        <f>SUMPRODUCT((地价!A3:A24=YEAR(G19)&amp;"-"&amp;ROUNDUP(MONTH(G19)/3,0))*(地价!AD2:AH2=N22)*(地价!AD3:AH24))</f>
        <v>1.5299999999999999E-2</v>
      </c>
      <c r="R22" s="1376"/>
      <c r="S22" s="1376"/>
      <c r="T22" s="1371"/>
      <c r="U22" s="1371"/>
      <c r="V22" s="1371"/>
      <c r="W22" s="1370"/>
      <c r="X22" s="1370"/>
      <c r="Y22" s="1370"/>
      <c r="Z22" s="1377"/>
      <c r="AA22" s="1378"/>
      <c r="AB22" s="1378"/>
      <c r="AC22" s="1378"/>
      <c r="AD22" s="1378"/>
      <c r="AE22" s="1378"/>
      <c r="AF22" s="1378"/>
    </row>
    <row r="23" spans="1:37" ht="27.75" thickBot="1">
      <c r="A23" s="2663" t="s">
        <v>2897</v>
      </c>
      <c r="B23" s="2816" t="s">
        <v>2898</v>
      </c>
      <c r="C23" s="1015">
        <f>ROUND(IF(G3&gt;1,IF(I3&lt;7,SUMPRODUCT((B93:B98=I3)*(C92:N92=G2)*(C93:N98)),SUMIF(C92:N92,G2,C100:N100)),IF(I3&lt;7,SUMPRODUCT((B102:B107=I3)*(C92:N92=G2)*(C102:N107)),SUMIF(C92:N92,G2,C109:N109))),4)</f>
        <v>0</v>
      </c>
      <c r="D23" s="2772"/>
      <c r="E23" s="2772"/>
      <c r="F23" s="2817"/>
      <c r="G23" s="2818"/>
      <c r="H23" s="2819"/>
      <c r="I23" s="2820"/>
      <c r="J23" s="2821"/>
      <c r="K23" s="1370"/>
      <c r="N23" s="2814" t="s">
        <v>2899</v>
      </c>
      <c r="O23" s="1559"/>
      <c r="P23" s="1560">
        <f>SUMPRODUCT((地价!A3:A24=YEAR(G19)&amp;"-"&amp;ROUNDUP(MONTH(G19)/3,0))*(地价!AD2:AH2=N23)*(地价!AD3:AH24))</f>
        <v>2.41E-2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2900</v>
      </c>
      <c r="C24" s="926">
        <f>SUMIF(A45:A88,E2,B45:B88)</f>
        <v>1.052</v>
      </c>
      <c r="D24" s="2792"/>
      <c r="E24" s="2822"/>
      <c r="F24" s="2822"/>
      <c r="G24" s="2822"/>
      <c r="H24" s="2822"/>
      <c r="I24" s="2822"/>
      <c r="J24" s="2823"/>
      <c r="K24" s="1377"/>
      <c r="N24" s="2824" t="s">
        <v>2901</v>
      </c>
      <c r="O24" s="1561"/>
      <c r="P24" s="1562">
        <f>SUMPRODUCT((地价!A3:A24=YEAR(G19)&amp;"-"&amp;ROUNDUP(MONTH(G19)/3,0))*(地价!AD2:AH2=N24)*(地价!AD3:AH24))</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2902</v>
      </c>
      <c r="C25" s="932"/>
      <c r="D25" s="2747"/>
      <c r="E25" s="2747"/>
      <c r="F25" s="2826"/>
      <c r="G25" s="2747"/>
      <c r="H25" s="2747"/>
      <c r="I25" s="2747"/>
      <c r="J25" s="2748"/>
      <c r="K25" s="1370"/>
      <c r="N25" s="2827" t="s">
        <v>2903</v>
      </c>
      <c r="O25" s="1563"/>
      <c r="P25" s="1562">
        <f>SUMPRODUCT((地价!A3:A24=YEAR(G19)&amp;"-"&amp;ROUNDUP(MONTH(G19)/3,0))*(地价!AD2:AH2=N25)*(地价!AD3:AH24))</f>
        <v>2.1899999999999999E-2</v>
      </c>
      <c r="R25" s="1376"/>
      <c r="S25" s="1376"/>
      <c r="T25" s="1371"/>
      <c r="U25" s="1371"/>
      <c r="V25" s="1371"/>
      <c r="W25" s="1370"/>
      <c r="X25" s="1370"/>
      <c r="Y25" s="1370"/>
      <c r="Z25" s="1377"/>
      <c r="AA25" s="1378"/>
      <c r="AB25" s="1378"/>
      <c r="AC25" s="1378"/>
      <c r="AD25" s="1378"/>
    </row>
    <row r="26" spans="1:37" ht="15">
      <c r="A26" s="2828"/>
      <c r="B26" s="2815" t="s">
        <v>2904</v>
      </c>
      <c r="C26" s="205">
        <f ca="1">E29+SUM(E33:E39)</f>
        <v>19736</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2905</v>
      </c>
      <c r="C27" s="933">
        <f ca="1">E30+SUM(I33:I39)</f>
        <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2906</v>
      </c>
      <c r="C28" s="2839" t="s">
        <v>2907</v>
      </c>
      <c r="D28" s="2839" t="s">
        <v>2908</v>
      </c>
      <c r="E28" s="2840" t="s">
        <v>2909</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2910</v>
      </c>
      <c r="C29" s="205">
        <f ca="1">ROUND(C5*C18*C19*C20*C21*C24,0)</f>
        <v>23846</v>
      </c>
      <c r="D29" s="2844">
        <f>'数据-汇总表'!E19</f>
        <v>8276.64</v>
      </c>
      <c r="E29" s="944">
        <f ca="1">ROUND(C29*D29/10000,0)</f>
        <v>19736</v>
      </c>
      <c r="F29" s="2845" t="s">
        <v>2911</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5" thickBot="1">
      <c r="A30" s="2848"/>
      <c r="B30" s="2849" t="s">
        <v>2912</v>
      </c>
      <c r="C30" s="228">
        <f ca="1">ROUND(IF(E2="工业",C29*M39,C29*M38),0)</f>
        <v>5962</v>
      </c>
      <c r="D30" s="2850"/>
      <c r="E30" s="944">
        <f ca="1">ROUND(C30*D30/10000,0)</f>
        <v>0</v>
      </c>
      <c r="F30" s="2851" t="s">
        <v>2913</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4.25">
      <c r="A31" s="2854"/>
      <c r="B31" s="2855" t="s">
        <v>2914</v>
      </c>
      <c r="C31" s="2856" t="s">
        <v>2915</v>
      </c>
      <c r="D31" s="2760"/>
      <c r="E31" s="2856"/>
      <c r="F31" s="2856"/>
      <c r="G31" s="2758" t="s">
        <v>2916</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24">
      <c r="A32" s="2842"/>
      <c r="B32" s="2858"/>
      <c r="C32" s="500" t="s">
        <v>2907</v>
      </c>
      <c r="D32" s="497" t="s">
        <v>2908</v>
      </c>
      <c r="E32" s="497" t="s">
        <v>2909</v>
      </c>
      <c r="F32" s="387" t="s">
        <v>2917</v>
      </c>
      <c r="G32" s="2859" t="s">
        <v>2907</v>
      </c>
      <c r="H32" s="2859" t="s">
        <v>2908</v>
      </c>
      <c r="I32" s="2859" t="s">
        <v>2909</v>
      </c>
      <c r="J32" s="286"/>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175" t="s">
        <v>2918</v>
      </c>
      <c r="B33" s="2860" t="s">
        <v>2919</v>
      </c>
      <c r="C33" s="205">
        <f ca="1">ROUND(D5*C19*C20*C24*F33,0)</f>
        <v>0</v>
      </c>
      <c r="D33" s="2844"/>
      <c r="E33" s="199">
        <f ca="1">ROUND(C33*D33/10000,0)</f>
        <v>0</v>
      </c>
      <c r="F33" s="199">
        <f>SUMIF(修正!A45:A56,G2,修正!B45:B56)</f>
        <v>0.8</v>
      </c>
      <c r="G33" s="199">
        <f t="shared" ref="G33" ca="1" si="6">ROUND(IF(E2="工业",C33*$M$39,C33*$M$38),0)</f>
        <v>0</v>
      </c>
      <c r="H33" s="199">
        <f>D33</f>
        <v>0</v>
      </c>
      <c r="I33" s="199">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6"/>
      <c r="B34" s="2764" t="s">
        <v>2920</v>
      </c>
      <c r="C34" s="205">
        <f ca="1">ROUND(D5*C19*C20*C24*F34,0)</f>
        <v>0</v>
      </c>
      <c r="D34" s="2844"/>
      <c r="E34" s="199">
        <f t="shared" ref="E34:E39" ca="1" si="7">ROUND(C34*D34/10000,0)</f>
        <v>0</v>
      </c>
      <c r="F34" s="199">
        <f>SUMIF(修正!A45:A56,G2,修正!C45:C56)</f>
        <v>0.5</v>
      </c>
      <c r="G34" s="199">
        <f ca="1">ROUND(IF(E2="工业",C34*$M$39,C34*$M$38),0)</f>
        <v>0</v>
      </c>
      <c r="H34" s="199">
        <f t="shared" ref="H34:H39" si="8">D34</f>
        <v>0</v>
      </c>
      <c r="I34" s="199">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6"/>
      <c r="B35" s="2764" t="s">
        <v>2921</v>
      </c>
      <c r="C35" s="205">
        <f ca="1">ROUND(D5*C19*C20*C24*F35,0)</f>
        <v>0</v>
      </c>
      <c r="D35" s="2844"/>
      <c r="E35" s="199">
        <f t="shared" ca="1" si="7"/>
        <v>0</v>
      </c>
      <c r="F35" s="199">
        <f>SUMIF(修正!A45:A56,G2,修正!D45:D56)</f>
        <v>0.36</v>
      </c>
      <c r="G35" s="199">
        <f ca="1">ROUND(IF(E2="工业",C35*$M$39,C35*$M$38),0)</f>
        <v>0</v>
      </c>
      <c r="H35" s="199">
        <f t="shared" si="8"/>
        <v>0</v>
      </c>
      <c r="I35" s="199">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177"/>
      <c r="B36" s="2764" t="s">
        <v>2922</v>
      </c>
      <c r="C36" s="205">
        <f ca="1">ROUND(D5*C19*C20*C24*F36,0)</f>
        <v>0</v>
      </c>
      <c r="D36" s="2844"/>
      <c r="E36" s="199">
        <f t="shared" ca="1" si="7"/>
        <v>0</v>
      </c>
      <c r="F36" s="199">
        <f>SUMIF(修正!A45:A56,G2,修正!E45:E56)</f>
        <v>0.3</v>
      </c>
      <c r="G36" s="199">
        <f ca="1">ROUND(IF(E2="工业",C36*$M$39,C36*$M$38),0)</f>
        <v>0</v>
      </c>
      <c r="H36" s="199">
        <f t="shared" si="8"/>
        <v>0</v>
      </c>
      <c r="I36" s="199">
        <f t="shared" ca="1" si="9"/>
        <v>0</v>
      </c>
      <c r="J36" s="2861"/>
      <c r="K36" s="1370"/>
      <c r="L36" s="2718"/>
      <c r="M36" s="2718"/>
      <c r="N36" s="1370"/>
      <c r="O36" s="1370"/>
      <c r="P36" s="1370"/>
      <c r="Q36" s="1370"/>
      <c r="R36" s="1370"/>
      <c r="S36" s="1370"/>
      <c r="T36" s="1370"/>
      <c r="U36" s="1370"/>
      <c r="V36" s="1370"/>
      <c r="W36" s="1370"/>
      <c r="X36" s="1370"/>
      <c r="Y36" s="1370"/>
      <c r="Z36" s="1371"/>
    </row>
    <row r="37" spans="1:37">
      <c r="A37" s="2862"/>
      <c r="B37" s="2764" t="s">
        <v>2923</v>
      </c>
      <c r="C37" s="199">
        <f ca="1">ROUND(C5*C19*C20*C24*F37,0)</f>
        <v>8491</v>
      </c>
      <c r="D37" s="2844"/>
      <c r="E37" s="199">
        <f t="shared" ca="1" si="7"/>
        <v>0</v>
      </c>
      <c r="F37" s="205">
        <f>SUMIF(修正!A45:A56,G2,修正!F45:F56)</f>
        <v>0.3</v>
      </c>
      <c r="G37" s="199">
        <f ca="1">ROUND(IF(E2="工业",C37*$M$39,C37*$M$38),0)</f>
        <v>2123</v>
      </c>
      <c r="H37" s="199">
        <f t="shared" si="8"/>
        <v>0</v>
      </c>
      <c r="I37" s="199">
        <f t="shared" ca="1" si="9"/>
        <v>0</v>
      </c>
      <c r="J37" s="2861"/>
      <c r="K37" s="1370"/>
      <c r="L37" s="2863" t="s">
        <v>2924</v>
      </c>
      <c r="M37" s="2864"/>
      <c r="N37" s="1370"/>
      <c r="O37" s="1370"/>
      <c r="P37" s="1370"/>
      <c r="Q37" s="1370"/>
      <c r="R37" s="1370"/>
      <c r="S37" s="1370"/>
      <c r="T37" s="1370"/>
      <c r="U37" s="1370"/>
      <c r="V37" s="1370"/>
      <c r="W37" s="1370"/>
      <c r="X37" s="1370"/>
      <c r="Y37" s="1370"/>
      <c r="Z37" s="1371"/>
    </row>
    <row r="38" spans="1:37">
      <c r="A38" s="2862"/>
      <c r="B38" s="2764" t="s">
        <v>2925</v>
      </c>
      <c r="C38" s="199">
        <f ca="1">ROUND(C5*C19*C20*C24*F38,0)</f>
        <v>8491</v>
      </c>
      <c r="D38" s="2844"/>
      <c r="E38" s="199">
        <f t="shared" ca="1" si="7"/>
        <v>0</v>
      </c>
      <c r="F38" s="205">
        <f>SUMIF(修正!A45:A56,G2,修正!G45:G56)</f>
        <v>0.3</v>
      </c>
      <c r="G38" s="199">
        <f ca="1">ROUND(IF(E2="工业",C38*$M$39,C38*$M$38),0)</f>
        <v>2123</v>
      </c>
      <c r="H38" s="199">
        <f t="shared" si="8"/>
        <v>0</v>
      </c>
      <c r="I38" s="199">
        <f t="shared" ca="1" si="9"/>
        <v>0</v>
      </c>
      <c r="J38" s="2861"/>
      <c r="K38" s="1370"/>
      <c r="L38" s="1885" t="s">
        <v>2926</v>
      </c>
      <c r="M38" s="2865">
        <v>0.25</v>
      </c>
      <c r="N38" s="1370"/>
      <c r="O38" s="1370"/>
      <c r="P38" s="1370"/>
      <c r="Q38" s="1370"/>
      <c r="R38" s="1370"/>
      <c r="S38" s="1370"/>
      <c r="T38" s="1370"/>
      <c r="U38" s="1370"/>
      <c r="V38" s="1370"/>
      <c r="W38" s="1370"/>
      <c r="X38" s="1370"/>
      <c r="Y38" s="1370"/>
      <c r="Z38" s="1371"/>
    </row>
    <row r="39" spans="1:37" ht="13.5" thickBot="1">
      <c r="A39" s="2848"/>
      <c r="B39" s="2866" t="s">
        <v>2927</v>
      </c>
      <c r="C39" s="228">
        <f ca="1">ROUND(C5*C19*C20*C24*F39,0)</f>
        <v>7076</v>
      </c>
      <c r="D39" s="2850"/>
      <c r="E39" s="228">
        <f t="shared" ca="1" si="7"/>
        <v>0</v>
      </c>
      <c r="F39" s="934">
        <f>SUMIF(修正!A45:A56,G2,修正!H45:H56)</f>
        <v>0.25</v>
      </c>
      <c r="G39" s="228">
        <f ca="1">ROUND(IF(E2="工业",C39*$M$39,C39*$M$38),0)</f>
        <v>1769</v>
      </c>
      <c r="H39" s="228">
        <f t="shared" si="8"/>
        <v>0</v>
      </c>
      <c r="I39" s="228">
        <f t="shared" ca="1" si="9"/>
        <v>0</v>
      </c>
      <c r="J39" s="2867"/>
      <c r="K39" s="1370"/>
      <c r="L39" s="2868" t="s">
        <v>2870</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0"/>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75" thickBot="1">
      <c r="A45" s="2871" t="s">
        <v>2928</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hidden="1">
      <c r="A46" s="2873" t="s">
        <v>2929</v>
      </c>
      <c r="B46" s="2874">
        <f>1+E48</f>
        <v>1</v>
      </c>
      <c r="C46" s="2875"/>
      <c r="D46" s="813"/>
      <c r="E46" s="814"/>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hidden="1">
      <c r="A47" s="2877" t="s">
        <v>2930</v>
      </c>
      <c r="B47" s="1807" t="s">
        <v>2931</v>
      </c>
      <c r="C47" s="1807" t="s">
        <v>2932</v>
      </c>
      <c r="D47" s="1807" t="s">
        <v>2933</v>
      </c>
      <c r="E47" s="818" t="s">
        <v>2934</v>
      </c>
      <c r="F47" s="2878" t="s">
        <v>2935</v>
      </c>
      <c r="G47" s="1807" t="s">
        <v>754</v>
      </c>
      <c r="H47" s="2879" t="s">
        <v>2936</v>
      </c>
      <c r="I47" s="1807" t="s">
        <v>2937</v>
      </c>
      <c r="J47" s="602" t="s">
        <v>2586</v>
      </c>
      <c r="K47" s="602" t="s">
        <v>2587</v>
      </c>
      <c r="L47" s="602" t="s">
        <v>2588</v>
      </c>
      <c r="M47" s="602" t="s">
        <v>2589</v>
      </c>
      <c r="N47" s="602" t="s">
        <v>2590</v>
      </c>
      <c r="AA47" s="1371"/>
      <c r="AB47" s="1371"/>
      <c r="AC47" s="1371"/>
      <c r="AD47" s="1371"/>
      <c r="AE47" s="1371"/>
      <c r="AF47" s="1371"/>
      <c r="AG47" s="1371"/>
      <c r="AH47" s="1371"/>
      <c r="AI47" s="1371"/>
      <c r="AJ47" s="1371"/>
      <c r="AK47" s="1371"/>
    </row>
    <row r="48" spans="1:37" s="1370" customFormat="1" ht="24.75" hidden="1">
      <c r="A48" s="2877" t="s">
        <v>2938</v>
      </c>
      <c r="B48" s="2880">
        <f>估价对象房地状况!C4</f>
        <v>0</v>
      </c>
      <c r="C48" s="2769"/>
      <c r="D48" s="1286">
        <f t="shared" ref="D48:D56" si="10">SUMIF($J$47:$N$47,C48,J48:N48)</f>
        <v>0</v>
      </c>
      <c r="E48" s="820">
        <f>ROUND(SUM(D48:D56),4)</f>
        <v>0</v>
      </c>
      <c r="F48" s="2500" t="str">
        <f>IF(E2="商业",SUMIF(L1:L12,G2,N1:N12),"——")</f>
        <v>——</v>
      </c>
      <c r="G48" s="1284"/>
      <c r="H48" s="1288" t="str">
        <f t="shared" ref="H48:H56" si="11">IFERROR(ROUNDDOWN($F$48*I48/2,4),"——")</f>
        <v>——</v>
      </c>
      <c r="I48" s="819">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02" hidden="1">
      <c r="A49" s="2877" t="s">
        <v>2939</v>
      </c>
      <c r="B49" s="2881" t="str">
        <f>估价对象房地状况!C18</f>
        <v>好</v>
      </c>
      <c r="C49" s="2769"/>
      <c r="D49" s="1286">
        <f t="shared" si="10"/>
        <v>0</v>
      </c>
      <c r="E49" s="821"/>
      <c r="F49" s="2500"/>
      <c r="G49" s="1284"/>
      <c r="H49" s="1288" t="str">
        <f t="shared" si="11"/>
        <v>——</v>
      </c>
      <c r="I49" s="819">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7" t="s">
        <v>2940</v>
      </c>
      <c r="B50" s="2881">
        <f>估价对象房地状况!C19</f>
        <v>0</v>
      </c>
      <c r="C50" s="2769"/>
      <c r="D50" s="1286">
        <f t="shared" si="10"/>
        <v>0</v>
      </c>
      <c r="E50" s="821"/>
      <c r="F50" s="2500"/>
      <c r="G50" s="1284"/>
      <c r="H50" s="1288" t="str">
        <f t="shared" si="11"/>
        <v>——</v>
      </c>
      <c r="I50" s="819">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7" t="s">
        <v>2941</v>
      </c>
      <c r="B51" s="2882" t="s">
        <v>2942</v>
      </c>
      <c r="C51" s="2769"/>
      <c r="D51" s="1286">
        <f t="shared" si="10"/>
        <v>0</v>
      </c>
      <c r="E51" s="821"/>
      <c r="F51" s="2500"/>
      <c r="G51" s="1284"/>
      <c r="H51" s="1288" t="str">
        <f t="shared" si="11"/>
        <v>——</v>
      </c>
      <c r="I51" s="819">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7" t="s">
        <v>2943</v>
      </c>
      <c r="B52" s="2881" t="str">
        <f>估价对象房地状况!C24</f>
        <v>城市次干道-中关村大街</v>
      </c>
      <c r="C52" s="2769"/>
      <c r="D52" s="1286">
        <f t="shared" si="10"/>
        <v>0</v>
      </c>
      <c r="E52" s="821"/>
      <c r="F52" s="2500"/>
      <c r="G52" s="1284"/>
      <c r="H52" s="1288" t="str">
        <f t="shared" si="11"/>
        <v>——</v>
      </c>
      <c r="I52" s="819">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7" t="s">
        <v>2944</v>
      </c>
      <c r="B53" s="2883" t="s">
        <v>2945</v>
      </c>
      <c r="C53" s="2769"/>
      <c r="D53" s="1286">
        <f t="shared" si="10"/>
        <v>0</v>
      </c>
      <c r="E53" s="821"/>
      <c r="F53" s="2500"/>
      <c r="G53" s="1284"/>
      <c r="H53" s="1288" t="str">
        <f t="shared" si="11"/>
        <v>——</v>
      </c>
      <c r="I53" s="819">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51" hidden="1">
      <c r="A54" s="2884" t="s">
        <v>2946</v>
      </c>
      <c r="B54" s="1723" t="str">
        <f>估价对象房地状况!C21</f>
        <v>较好</v>
      </c>
      <c r="C54" s="2769"/>
      <c r="D54" s="1286">
        <f t="shared" si="10"/>
        <v>0</v>
      </c>
      <c r="E54" s="821"/>
      <c r="F54" s="2500"/>
      <c r="G54" s="1284"/>
      <c r="H54" s="1288" t="str">
        <f t="shared" si="11"/>
        <v>——</v>
      </c>
      <c r="I54" s="819">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84" t="s">
        <v>2947</v>
      </c>
      <c r="B55" s="2881" t="str">
        <f>估价对象房地状况!C22</f>
        <v>七通</v>
      </c>
      <c r="C55" s="2769"/>
      <c r="D55" s="1286">
        <f t="shared" si="10"/>
        <v>0</v>
      </c>
      <c r="E55" s="821"/>
      <c r="F55" s="2500"/>
      <c r="G55" s="1284"/>
      <c r="H55" s="1288" t="str">
        <f t="shared" si="11"/>
        <v>——</v>
      </c>
      <c r="I55" s="819">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77.25" hidden="1" thickBot="1">
      <c r="A56" s="2885" t="s">
        <v>2948</v>
      </c>
      <c r="B56" s="2886" t="str">
        <f>估价对象房地状况!C20</f>
        <v>较好</v>
      </c>
      <c r="C56" s="2769"/>
      <c r="D56" s="1286">
        <f t="shared" si="10"/>
        <v>0</v>
      </c>
      <c r="E56" s="824"/>
      <c r="F56" s="2500"/>
      <c r="G56" s="1284"/>
      <c r="H56" s="1288" t="str">
        <f t="shared" si="11"/>
        <v>——</v>
      </c>
      <c r="I56" s="823">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3" t="s">
        <v>2949</v>
      </c>
      <c r="B57" s="2874">
        <f>1+E59</f>
        <v>1.052</v>
      </c>
      <c r="C57" s="813"/>
      <c r="D57" s="813"/>
      <c r="E57" s="814"/>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7" t="s">
        <v>2930</v>
      </c>
      <c r="B58" s="1807"/>
      <c r="C58" s="1807" t="s">
        <v>2932</v>
      </c>
      <c r="D58" s="1807" t="s">
        <v>2933</v>
      </c>
      <c r="E58" s="818" t="s">
        <v>2934</v>
      </c>
      <c r="F58" s="2878" t="s">
        <v>2950</v>
      </c>
      <c r="G58" s="1807" t="s">
        <v>754</v>
      </c>
      <c r="H58" s="2879" t="s">
        <v>2936</v>
      </c>
      <c r="I58" s="1807" t="s">
        <v>2937</v>
      </c>
      <c r="J58" s="602" t="s">
        <v>2586</v>
      </c>
      <c r="K58" s="602" t="s">
        <v>2587</v>
      </c>
      <c r="L58" s="602" t="s">
        <v>2588</v>
      </c>
      <c r="M58" s="602" t="s">
        <v>2589</v>
      </c>
      <c r="N58" s="602" t="s">
        <v>2590</v>
      </c>
      <c r="AA58" s="1371"/>
      <c r="AB58" s="1371"/>
      <c r="AC58" s="1371"/>
      <c r="AD58" s="1371"/>
      <c r="AE58" s="1371"/>
      <c r="AF58" s="1371"/>
      <c r="AG58" s="1371"/>
      <c r="AH58" s="1371"/>
      <c r="AI58" s="1371"/>
      <c r="AJ58" s="1371"/>
      <c r="AK58" s="1371"/>
    </row>
    <row r="59" spans="1:37" s="1370" customFormat="1" ht="63.75">
      <c r="A59" s="2877" t="s">
        <v>2951</v>
      </c>
      <c r="B59" s="2880" t="str">
        <f>估价对象房地状况!C17</f>
        <v>好</v>
      </c>
      <c r="C59" s="2769" t="s">
        <v>3080</v>
      </c>
      <c r="D59" s="1286">
        <f t="shared" ref="D59:D67" si="15">SUMIF($J$58:$N$58,C59,J59:N59)</f>
        <v>1.6E-2</v>
      </c>
      <c r="E59" s="820">
        <f>ROUND(SUM(D59:D67),4)</f>
        <v>5.1999999999999998E-2</v>
      </c>
      <c r="F59" s="2500">
        <f>IF(E2="办公",SUMIF(L1:L12,G2,N1:N12),"——")</f>
        <v>7.0999999999999994E-2</v>
      </c>
      <c r="G59" s="1284">
        <v>8.0000000000000002E-3</v>
      </c>
      <c r="H59" s="1288">
        <f t="shared" ref="H59:H67" si="16">IFERROR(ROUNDDOWN($F$59*I59/2,4),"——")</f>
        <v>8.5000000000000006E-3</v>
      </c>
      <c r="I59" s="819">
        <v>0.24</v>
      </c>
      <c r="J59" s="1285">
        <f t="shared" ref="J59:J67" si="17">K59+$G59</f>
        <v>1.6E-2</v>
      </c>
      <c r="K59" s="1285">
        <f t="shared" ref="K59:K67" si="18">$L59+$G59</f>
        <v>8.0000000000000002E-3</v>
      </c>
      <c r="L59" s="1285">
        <v>0</v>
      </c>
      <c r="M59" s="1285">
        <f t="shared" ref="M59:N67" si="19">L59-$G59</f>
        <v>-8.0000000000000002E-3</v>
      </c>
      <c r="N59" s="1285">
        <f t="shared" si="19"/>
        <v>-1.6E-2</v>
      </c>
      <c r="AA59" s="1371"/>
      <c r="AB59" s="1371"/>
      <c r="AC59" s="1371"/>
      <c r="AD59" s="1371"/>
      <c r="AE59" s="1371"/>
      <c r="AF59" s="1371"/>
      <c r="AG59" s="1371"/>
      <c r="AH59" s="1371"/>
      <c r="AI59" s="1371"/>
      <c r="AJ59" s="1371"/>
      <c r="AK59" s="1371"/>
    </row>
    <row r="60" spans="1:37" s="1370" customFormat="1" ht="102">
      <c r="A60" s="2877" t="s">
        <v>2939</v>
      </c>
      <c r="B60" s="2881" t="str">
        <f>估价对象房地状况!C18</f>
        <v>好</v>
      </c>
      <c r="C60" s="2769" t="s">
        <v>3080</v>
      </c>
      <c r="D60" s="1286">
        <f t="shared" si="15"/>
        <v>0.02</v>
      </c>
      <c r="E60" s="821"/>
      <c r="F60" s="2500"/>
      <c r="G60" s="1284">
        <v>0.01</v>
      </c>
      <c r="H60" s="1288">
        <f t="shared" si="16"/>
        <v>1.06E-2</v>
      </c>
      <c r="I60" s="819">
        <v>0.3</v>
      </c>
      <c r="J60" s="1285">
        <f t="shared" si="17"/>
        <v>0.02</v>
      </c>
      <c r="K60" s="1285">
        <f t="shared" si="18"/>
        <v>0.01</v>
      </c>
      <c r="L60" s="1285">
        <v>0</v>
      </c>
      <c r="M60" s="1285">
        <f t="shared" si="19"/>
        <v>-0.01</v>
      </c>
      <c r="N60" s="1285">
        <f t="shared" si="19"/>
        <v>-0.02</v>
      </c>
      <c r="AA60" s="1371"/>
      <c r="AB60" s="1371"/>
      <c r="AC60" s="1371"/>
      <c r="AD60" s="1371"/>
      <c r="AE60" s="1371"/>
      <c r="AF60" s="1371"/>
      <c r="AG60" s="1371"/>
      <c r="AH60" s="1371"/>
      <c r="AI60" s="1371"/>
      <c r="AJ60" s="1371"/>
      <c r="AK60" s="1371"/>
    </row>
    <row r="61" spans="1:37" s="1370" customFormat="1" ht="24">
      <c r="A61" s="2877" t="s">
        <v>2940</v>
      </c>
      <c r="B61" s="2881">
        <f>估价对象房地状况!C19</f>
        <v>0</v>
      </c>
      <c r="C61" s="2769" t="s">
        <v>3078</v>
      </c>
      <c r="D61" s="1286">
        <f t="shared" si="15"/>
        <v>2E-3</v>
      </c>
      <c r="E61" s="821"/>
      <c r="F61" s="2500"/>
      <c r="G61" s="1284">
        <v>2E-3</v>
      </c>
      <c r="H61" s="1288">
        <f t="shared" si="16"/>
        <v>2.8E-3</v>
      </c>
      <c r="I61" s="819">
        <v>0.08</v>
      </c>
      <c r="J61" s="1285">
        <f t="shared" si="17"/>
        <v>4.0000000000000001E-3</v>
      </c>
      <c r="K61" s="1285">
        <f t="shared" si="18"/>
        <v>2E-3</v>
      </c>
      <c r="L61" s="1285">
        <v>0</v>
      </c>
      <c r="M61" s="1285">
        <f t="shared" si="19"/>
        <v>-2E-3</v>
      </c>
      <c r="N61" s="1285">
        <f t="shared" si="19"/>
        <v>-4.0000000000000001E-3</v>
      </c>
      <c r="AA61" s="1371"/>
      <c r="AB61" s="1371"/>
      <c r="AC61" s="1371"/>
      <c r="AD61" s="1371"/>
      <c r="AE61" s="1371"/>
      <c r="AF61" s="1371"/>
      <c r="AG61" s="1371"/>
      <c r="AH61" s="1371"/>
      <c r="AI61" s="1371"/>
      <c r="AJ61" s="1371"/>
      <c r="AK61" s="1371"/>
    </row>
    <row r="62" spans="1:37" s="1370" customFormat="1" ht="24">
      <c r="A62" s="2877" t="s">
        <v>2941</v>
      </c>
      <c r="B62" s="2949" t="s">
        <v>3076</v>
      </c>
      <c r="C62" s="2769" t="s">
        <v>3078</v>
      </c>
      <c r="D62" s="1286">
        <f t="shared" si="15"/>
        <v>1E-3</v>
      </c>
      <c r="E62" s="821"/>
      <c r="F62" s="2500"/>
      <c r="G62" s="1284">
        <v>1E-3</v>
      </c>
      <c r="H62" s="1288">
        <f t="shared" si="16"/>
        <v>1.4E-3</v>
      </c>
      <c r="I62" s="819">
        <v>0.04</v>
      </c>
      <c r="J62" s="1285">
        <f t="shared" si="17"/>
        <v>2E-3</v>
      </c>
      <c r="K62" s="1285">
        <f t="shared" si="18"/>
        <v>1E-3</v>
      </c>
      <c r="L62" s="1285">
        <v>0</v>
      </c>
      <c r="M62" s="1285">
        <f t="shared" si="19"/>
        <v>-1E-3</v>
      </c>
      <c r="N62" s="1285">
        <f t="shared" si="19"/>
        <v>-2E-3</v>
      </c>
      <c r="AA62" s="1371"/>
      <c r="AB62" s="1371"/>
      <c r="AC62" s="1371"/>
      <c r="AD62" s="1371"/>
      <c r="AE62" s="1371"/>
      <c r="AF62" s="1371"/>
      <c r="AG62" s="1371"/>
      <c r="AH62" s="1371"/>
      <c r="AI62" s="1371"/>
      <c r="AJ62" s="1371"/>
      <c r="AK62" s="1371"/>
    </row>
    <row r="63" spans="1:37" s="1370" customFormat="1" ht="24">
      <c r="A63" s="2877" t="s">
        <v>2943</v>
      </c>
      <c r="B63" s="2881" t="str">
        <f>估价对象房地状况!C24</f>
        <v>城市次干道-中关村大街</v>
      </c>
      <c r="C63" s="2769" t="s">
        <v>3079</v>
      </c>
      <c r="D63" s="1286">
        <f t="shared" si="15"/>
        <v>0</v>
      </c>
      <c r="E63" s="821"/>
      <c r="F63" s="2500"/>
      <c r="G63" s="1284">
        <v>1E-3</v>
      </c>
      <c r="H63" s="1288">
        <f t="shared" si="16"/>
        <v>1.6999999999999999E-3</v>
      </c>
      <c r="I63" s="819">
        <v>0.05</v>
      </c>
      <c r="J63" s="1285">
        <f t="shared" si="17"/>
        <v>2E-3</v>
      </c>
      <c r="K63" s="1285">
        <f t="shared" si="18"/>
        <v>1E-3</v>
      </c>
      <c r="L63" s="1285">
        <v>0</v>
      </c>
      <c r="M63" s="1285">
        <f t="shared" si="19"/>
        <v>-1E-3</v>
      </c>
      <c r="N63" s="1285">
        <f t="shared" si="19"/>
        <v>-2E-3</v>
      </c>
      <c r="AA63" s="1371"/>
      <c r="AB63" s="1371"/>
      <c r="AC63" s="1371"/>
      <c r="AD63" s="1371"/>
      <c r="AE63" s="1371"/>
      <c r="AF63" s="1371"/>
      <c r="AG63" s="1371"/>
      <c r="AH63" s="1371"/>
      <c r="AI63" s="1371"/>
      <c r="AJ63" s="1371"/>
      <c r="AK63" s="1371"/>
    </row>
    <row r="64" spans="1:37" s="1370" customFormat="1" ht="24">
      <c r="A64" s="2877" t="s">
        <v>2944</v>
      </c>
      <c r="B64" s="2950" t="s">
        <v>3077</v>
      </c>
      <c r="C64" s="2769" t="s">
        <v>3078</v>
      </c>
      <c r="D64" s="1286">
        <f t="shared" si="15"/>
        <v>1E-3</v>
      </c>
      <c r="E64" s="821"/>
      <c r="F64" s="2500"/>
      <c r="G64" s="1284">
        <v>1E-3</v>
      </c>
      <c r="H64" s="1288">
        <f t="shared" si="16"/>
        <v>1.6999999999999999E-3</v>
      </c>
      <c r="I64" s="819">
        <v>0.05</v>
      </c>
      <c r="J64" s="1285">
        <f t="shared" si="17"/>
        <v>2E-3</v>
      </c>
      <c r="K64" s="1285">
        <f t="shared" si="18"/>
        <v>1E-3</v>
      </c>
      <c r="L64" s="1285">
        <v>0</v>
      </c>
      <c r="M64" s="1285">
        <f t="shared" si="19"/>
        <v>-1E-3</v>
      </c>
      <c r="N64" s="1285">
        <f t="shared" si="19"/>
        <v>-2E-3</v>
      </c>
      <c r="AA64" s="1371"/>
      <c r="AB64" s="1371"/>
      <c r="AC64" s="1371"/>
      <c r="AD64" s="1371"/>
      <c r="AE64" s="1371"/>
      <c r="AF64" s="1371"/>
      <c r="AG64" s="1371"/>
      <c r="AH64" s="1371"/>
      <c r="AI64" s="1371"/>
      <c r="AJ64" s="1371"/>
      <c r="AK64" s="1371"/>
    </row>
    <row r="65" spans="1:37" s="1370" customFormat="1" ht="51">
      <c r="A65" s="2877" t="s">
        <v>2946</v>
      </c>
      <c r="B65" s="1723" t="str">
        <f>估价对象房地状况!C21</f>
        <v>较好</v>
      </c>
      <c r="C65" s="2769" t="s">
        <v>3078</v>
      </c>
      <c r="D65" s="1286">
        <f t="shared" si="15"/>
        <v>2E-3</v>
      </c>
      <c r="E65" s="821"/>
      <c r="F65" s="2500"/>
      <c r="G65" s="1284">
        <v>2E-3</v>
      </c>
      <c r="H65" s="1288">
        <f t="shared" si="16"/>
        <v>2.0999999999999999E-3</v>
      </c>
      <c r="I65" s="819">
        <v>0.06</v>
      </c>
      <c r="J65" s="1285">
        <f t="shared" si="17"/>
        <v>4.0000000000000001E-3</v>
      </c>
      <c r="K65" s="1285">
        <f t="shared" si="18"/>
        <v>2E-3</v>
      </c>
      <c r="L65" s="1285">
        <v>0</v>
      </c>
      <c r="M65" s="1285">
        <f t="shared" si="19"/>
        <v>-2E-3</v>
      </c>
      <c r="N65" s="1285">
        <f t="shared" si="19"/>
        <v>-4.0000000000000001E-3</v>
      </c>
      <c r="AA65" s="1371"/>
      <c r="AB65" s="1371"/>
      <c r="AC65" s="1371"/>
      <c r="AD65" s="1371"/>
      <c r="AE65" s="1371"/>
      <c r="AF65" s="1371"/>
      <c r="AG65" s="1371"/>
      <c r="AH65" s="1371"/>
      <c r="AI65" s="1371"/>
      <c r="AJ65" s="1371"/>
      <c r="AK65" s="1371"/>
    </row>
    <row r="66" spans="1:37" s="1370" customFormat="1" ht="24">
      <c r="A66" s="2877" t="s">
        <v>2947</v>
      </c>
      <c r="B66" s="1723" t="str">
        <f>估价对象房地状况!C22</f>
        <v>七通</v>
      </c>
      <c r="C66" s="2769" t="s">
        <v>3080</v>
      </c>
      <c r="D66" s="1286">
        <f t="shared" si="15"/>
        <v>8.0000000000000002E-3</v>
      </c>
      <c r="E66" s="821"/>
      <c r="F66" s="2500"/>
      <c r="G66" s="1284">
        <v>4.0000000000000001E-3</v>
      </c>
      <c r="H66" s="1288">
        <f t="shared" si="16"/>
        <v>4.1999999999999997E-3</v>
      </c>
      <c r="I66" s="819">
        <v>0.12</v>
      </c>
      <c r="J66" s="1285">
        <f t="shared" si="17"/>
        <v>8.0000000000000002E-3</v>
      </c>
      <c r="K66" s="1285">
        <f t="shared" si="18"/>
        <v>4.0000000000000001E-3</v>
      </c>
      <c r="L66" s="1285">
        <v>0</v>
      </c>
      <c r="M66" s="1285">
        <f t="shared" si="19"/>
        <v>-4.0000000000000001E-3</v>
      </c>
      <c r="N66" s="1285">
        <f t="shared" si="19"/>
        <v>-8.0000000000000002E-3</v>
      </c>
      <c r="AA66" s="1371"/>
      <c r="AB66" s="1371"/>
      <c r="AC66" s="1371"/>
      <c r="AD66" s="1371"/>
      <c r="AE66" s="1371"/>
      <c r="AF66" s="1371"/>
      <c r="AG66" s="1371"/>
      <c r="AH66" s="1371"/>
      <c r="AI66" s="1371"/>
      <c r="AJ66" s="1371"/>
      <c r="AK66" s="1371"/>
    </row>
    <row r="67" spans="1:37" s="1370" customFormat="1" ht="77.25" thickBot="1">
      <c r="A67" s="2885" t="s">
        <v>2948</v>
      </c>
      <c r="B67" s="2887" t="str">
        <f>估价对象房地状况!C20</f>
        <v>较好</v>
      </c>
      <c r="C67" s="2769" t="s">
        <v>3078</v>
      </c>
      <c r="D67" s="1286">
        <f t="shared" si="15"/>
        <v>2E-3</v>
      </c>
      <c r="E67" s="824"/>
      <c r="F67" s="2500"/>
      <c r="G67" s="1284">
        <v>2E-3</v>
      </c>
      <c r="H67" s="1288">
        <f t="shared" si="16"/>
        <v>2.0999999999999999E-3</v>
      </c>
      <c r="I67" s="823">
        <v>0.06</v>
      </c>
      <c r="J67" s="1285">
        <f t="shared" si="17"/>
        <v>4.0000000000000001E-3</v>
      </c>
      <c r="K67" s="1285">
        <f t="shared" si="18"/>
        <v>2E-3</v>
      </c>
      <c r="L67" s="1285">
        <v>0</v>
      </c>
      <c r="M67" s="1285">
        <f t="shared" si="19"/>
        <v>-2E-3</v>
      </c>
      <c r="N67" s="1285">
        <f t="shared" si="19"/>
        <v>-4.0000000000000001E-3</v>
      </c>
      <c r="AA67" s="1371"/>
      <c r="AB67" s="1371"/>
      <c r="AC67" s="1371"/>
      <c r="AD67" s="1371"/>
      <c r="AE67" s="1371"/>
      <c r="AF67" s="1371"/>
      <c r="AG67" s="1371"/>
      <c r="AH67" s="1371"/>
      <c r="AI67" s="1371"/>
      <c r="AJ67" s="1371"/>
      <c r="AK67" s="1371"/>
    </row>
    <row r="68" spans="1:37" s="1370" customFormat="1" ht="15" hidden="1">
      <c r="A68" s="2873" t="s">
        <v>2952</v>
      </c>
      <c r="B68" s="2874">
        <f>1+E70</f>
        <v>1</v>
      </c>
      <c r="C68" s="813"/>
      <c r="D68" s="813"/>
      <c r="E68" s="814"/>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7" t="s">
        <v>2930</v>
      </c>
      <c r="B69" s="1807"/>
      <c r="C69" s="1807" t="s">
        <v>2932</v>
      </c>
      <c r="D69" s="1807" t="s">
        <v>2933</v>
      </c>
      <c r="E69" s="818" t="s">
        <v>2934</v>
      </c>
      <c r="F69" s="2878" t="s">
        <v>2950</v>
      </c>
      <c r="G69" s="1807" t="s">
        <v>754</v>
      </c>
      <c r="H69" s="2879" t="s">
        <v>2936</v>
      </c>
      <c r="I69" s="1807" t="s">
        <v>2937</v>
      </c>
      <c r="J69" s="602" t="s">
        <v>2586</v>
      </c>
      <c r="K69" s="602" t="s">
        <v>2587</v>
      </c>
      <c r="L69" s="602" t="s">
        <v>2588</v>
      </c>
      <c r="M69" s="602" t="s">
        <v>2589</v>
      </c>
      <c r="N69" s="602" t="s">
        <v>2590</v>
      </c>
      <c r="AA69" s="1371"/>
      <c r="AB69" s="1371"/>
      <c r="AC69" s="1371"/>
      <c r="AD69" s="1371"/>
      <c r="AE69" s="1371"/>
      <c r="AF69" s="1371"/>
      <c r="AG69" s="1371"/>
      <c r="AH69" s="1371"/>
      <c r="AI69" s="1371"/>
      <c r="AJ69" s="1371"/>
      <c r="AK69" s="1371"/>
    </row>
    <row r="70" spans="1:37" s="1370" customFormat="1" ht="24" hidden="1">
      <c r="A70" s="2877" t="s">
        <v>2953</v>
      </c>
      <c r="B70" s="2880">
        <f>估价对象房地状况!C15</f>
        <v>0</v>
      </c>
      <c r="C70" s="2769"/>
      <c r="D70" s="1286">
        <f t="shared" ref="D70:D78" si="20">SUMIF($J$69:$N$69,C70,J70:N70)</f>
        <v>0</v>
      </c>
      <c r="E70" s="820">
        <f>ROUND(SUM(D70:D78),4)</f>
        <v>0</v>
      </c>
      <c r="F70" s="2500" t="str">
        <f>IF(E2="住宅",SUMIF(L1:L12,G2,N1:N12),"——")</f>
        <v>——</v>
      </c>
      <c r="G70" s="1284"/>
      <c r="H70" s="1288" t="str">
        <f t="shared" ref="H70:H78" si="21">IFERROR(ROUNDDOWN($F$70*I70/2,4),"——")</f>
        <v>——</v>
      </c>
      <c r="I70" s="819">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02" hidden="1">
      <c r="A71" s="2877" t="s">
        <v>2939</v>
      </c>
      <c r="B71" s="2881" t="str">
        <f>估价对象房地状况!C18</f>
        <v>好</v>
      </c>
      <c r="C71" s="2769"/>
      <c r="D71" s="1286">
        <f t="shared" si="20"/>
        <v>0</v>
      </c>
      <c r="E71" s="825"/>
      <c r="F71" s="2500"/>
      <c r="G71" s="1284"/>
      <c r="H71" s="1288" t="str">
        <f t="shared" si="21"/>
        <v>——</v>
      </c>
      <c r="I71" s="819">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7" t="s">
        <v>2940</v>
      </c>
      <c r="B72" s="2881">
        <f>估价对象房地状况!C19</f>
        <v>0</v>
      </c>
      <c r="C72" s="2769"/>
      <c r="D72" s="1286">
        <f t="shared" si="20"/>
        <v>0</v>
      </c>
      <c r="E72" s="825"/>
      <c r="F72" s="2500"/>
      <c r="G72" s="1284"/>
      <c r="H72" s="1288" t="str">
        <f t="shared" si="21"/>
        <v>——</v>
      </c>
      <c r="I72" s="819">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7" t="s">
        <v>2954</v>
      </c>
      <c r="B73" s="2881" t="str">
        <f>估价对象房地状况!C24</f>
        <v>城市次干道-中关村大街</v>
      </c>
      <c r="C73" s="2769"/>
      <c r="D73" s="1286">
        <f t="shared" si="20"/>
        <v>0</v>
      </c>
      <c r="E73" s="825"/>
      <c r="F73" s="2500"/>
      <c r="G73" s="1284"/>
      <c r="H73" s="1288" t="str">
        <f t="shared" si="21"/>
        <v>——</v>
      </c>
      <c r="I73" s="819">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51" hidden="1">
      <c r="A74" s="2877" t="s">
        <v>2946</v>
      </c>
      <c r="B74" s="1723" t="str">
        <f>估价对象房地状况!C21</f>
        <v>较好</v>
      </c>
      <c r="C74" s="2769"/>
      <c r="D74" s="1286">
        <f t="shared" si="20"/>
        <v>0</v>
      </c>
      <c r="E74" s="825"/>
      <c r="F74" s="2500"/>
      <c r="G74" s="1284"/>
      <c r="H74" s="1288" t="str">
        <f t="shared" si="21"/>
        <v>——</v>
      </c>
      <c r="I74" s="819">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hidden="1">
      <c r="A75" s="2877" t="s">
        <v>2947</v>
      </c>
      <c r="B75" s="1723" t="str">
        <f>估价对象房地状况!C22</f>
        <v>七通</v>
      </c>
      <c r="C75" s="2769"/>
      <c r="D75" s="1286">
        <f t="shared" si="20"/>
        <v>0</v>
      </c>
      <c r="E75" s="825"/>
      <c r="F75" s="2500"/>
      <c r="G75" s="1284"/>
      <c r="H75" s="1288" t="str">
        <f t="shared" si="21"/>
        <v>——</v>
      </c>
      <c r="I75" s="819">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hidden="1">
      <c r="A76" s="2877" t="s">
        <v>2944</v>
      </c>
      <c r="B76" s="2883" t="s">
        <v>2945</v>
      </c>
      <c r="C76" s="2769"/>
      <c r="D76" s="1286">
        <f t="shared" si="20"/>
        <v>0</v>
      </c>
      <c r="E76" s="825"/>
      <c r="F76" s="2500"/>
      <c r="G76" s="1284"/>
      <c r="H76" s="1288" t="str">
        <f t="shared" si="21"/>
        <v>——</v>
      </c>
      <c r="I76" s="819">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76.5" hidden="1">
      <c r="A77" s="2877" t="s">
        <v>2948</v>
      </c>
      <c r="B77" s="2880" t="str">
        <f>估价对象房地状况!C20</f>
        <v>较好</v>
      </c>
      <c r="C77" s="2769"/>
      <c r="D77" s="1286">
        <f t="shared" si="20"/>
        <v>0</v>
      </c>
      <c r="E77" s="825"/>
      <c r="F77" s="2500"/>
      <c r="G77" s="1284"/>
      <c r="H77" s="1288" t="str">
        <f t="shared" si="21"/>
        <v>——</v>
      </c>
      <c r="I77" s="819">
        <v>0.15</v>
      </c>
      <c r="J77" s="1285">
        <f t="shared" si="22"/>
        <v>0</v>
      </c>
      <c r="K77" s="1285">
        <f t="shared" si="23"/>
        <v>0</v>
      </c>
      <c r="L77" s="1285">
        <v>0</v>
      </c>
      <c r="M77" s="1285">
        <f t="shared" si="24"/>
        <v>0</v>
      </c>
      <c r="N77" s="1285">
        <f t="shared" si="24"/>
        <v>0</v>
      </c>
      <c r="Z77" s="2719"/>
      <c r="AA77" s="2795"/>
      <c r="AG77" s="1372"/>
      <c r="AK77" s="2795"/>
    </row>
    <row r="78" spans="1:37" ht="24.75" hidden="1" thickBot="1">
      <c r="A78" s="2885" t="s">
        <v>2955</v>
      </c>
      <c r="B78" s="2889"/>
      <c r="C78" s="2769"/>
      <c r="D78" s="1286">
        <f t="shared" si="20"/>
        <v>0</v>
      </c>
      <c r="E78" s="826"/>
      <c r="F78" s="2500"/>
      <c r="G78" s="1284"/>
      <c r="H78" s="1288" t="str">
        <f t="shared" si="21"/>
        <v>——</v>
      </c>
      <c r="I78" s="823">
        <v>0.04</v>
      </c>
      <c r="J78" s="1285">
        <f t="shared" si="22"/>
        <v>0</v>
      </c>
      <c r="K78" s="1285">
        <f t="shared" si="23"/>
        <v>0</v>
      </c>
      <c r="L78" s="1285">
        <v>0</v>
      </c>
      <c r="M78" s="1285">
        <f t="shared" si="24"/>
        <v>0</v>
      </c>
      <c r="N78" s="1285">
        <f t="shared" si="24"/>
        <v>0</v>
      </c>
      <c r="Z78" s="2719"/>
      <c r="AA78" s="2795"/>
      <c r="AG78" s="1372"/>
      <c r="AK78" s="2795"/>
    </row>
    <row r="79" spans="1:37" ht="15" hidden="1">
      <c r="A79" s="2873" t="s">
        <v>2956</v>
      </c>
      <c r="B79" s="2874">
        <f>1+E81</f>
        <v>1</v>
      </c>
      <c r="C79" s="813"/>
      <c r="D79" s="813"/>
      <c r="E79" s="814"/>
      <c r="F79" s="2876"/>
      <c r="G79" s="6"/>
      <c r="H79" s="6"/>
      <c r="I79" s="6"/>
      <c r="J79" s="7"/>
      <c r="K79" s="7"/>
      <c r="L79" s="7"/>
      <c r="M79" s="7"/>
      <c r="N79" s="7"/>
      <c r="Z79" s="2719"/>
      <c r="AA79" s="2795"/>
      <c r="AG79" s="1372"/>
      <c r="AK79" s="2795"/>
    </row>
    <row r="80" spans="1:37" ht="24.75" hidden="1">
      <c r="A80" s="2877" t="s">
        <v>2930</v>
      </c>
      <c r="B80" s="1807"/>
      <c r="C80" s="1807" t="s">
        <v>2932</v>
      </c>
      <c r="D80" s="1807" t="s">
        <v>2933</v>
      </c>
      <c r="E80" s="818" t="s">
        <v>2934</v>
      </c>
      <c r="F80" s="2878" t="s">
        <v>2950</v>
      </c>
      <c r="G80" s="1807" t="s">
        <v>754</v>
      </c>
      <c r="H80" s="2879" t="s">
        <v>2936</v>
      </c>
      <c r="I80" s="1807" t="s">
        <v>2937</v>
      </c>
      <c r="J80" s="602" t="s">
        <v>2586</v>
      </c>
      <c r="K80" s="602" t="s">
        <v>2587</v>
      </c>
      <c r="L80" s="602" t="s">
        <v>2588</v>
      </c>
      <c r="M80" s="602" t="s">
        <v>2589</v>
      </c>
      <c r="N80" s="602" t="s">
        <v>2590</v>
      </c>
      <c r="Z80" s="2719"/>
      <c r="AA80" s="2795"/>
      <c r="AG80" s="1372"/>
      <c r="AK80" s="2795"/>
    </row>
    <row r="81" spans="1:37" ht="24" hidden="1">
      <c r="A81" s="2877" t="s">
        <v>2957</v>
      </c>
      <c r="B81" s="2881">
        <f>估价对象房地状况!G15</f>
        <v>0</v>
      </c>
      <c r="C81" s="2769"/>
      <c r="D81" s="1286">
        <f t="shared" ref="D81:D88" si="25">SUMIF($J$80:$N$80,C81,J81:N81)</f>
        <v>0</v>
      </c>
      <c r="E81" s="820">
        <f>ROUND(SUM(D81:D88),4)</f>
        <v>0</v>
      </c>
      <c r="F81" s="2500" t="str">
        <f>IF(E2="工业",SUMIF(L1:L12,G2,N1:N12),"——")</f>
        <v>——</v>
      </c>
      <c r="G81" s="1284"/>
      <c r="H81" s="1288" t="str">
        <f t="shared" ref="H81:H88" si="26">IFERROR(ROUNDDOWN($F$81*I81/2,4),"——")</f>
        <v>——</v>
      </c>
      <c r="I81" s="819">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14.25" hidden="1">
      <c r="A82" s="2877" t="s">
        <v>2939</v>
      </c>
      <c r="B82" s="2881">
        <f>估价对象房地状况!G16</f>
        <v>0</v>
      </c>
      <c r="C82" s="2769"/>
      <c r="D82" s="1286">
        <f t="shared" si="25"/>
        <v>0</v>
      </c>
      <c r="E82" s="825"/>
      <c r="F82" s="2500"/>
      <c r="G82" s="1284"/>
      <c r="H82" s="1288" t="str">
        <f t="shared" si="26"/>
        <v>——</v>
      </c>
      <c r="I82" s="819">
        <v>0.33</v>
      </c>
      <c r="J82" s="1285">
        <f t="shared" si="27"/>
        <v>0</v>
      </c>
      <c r="K82" s="1285">
        <f t="shared" si="28"/>
        <v>0</v>
      </c>
      <c r="L82" s="1285">
        <v>0</v>
      </c>
      <c r="M82" s="1285">
        <f t="shared" si="29"/>
        <v>0</v>
      </c>
      <c r="N82" s="1285">
        <f t="shared" si="29"/>
        <v>0</v>
      </c>
      <c r="Z82" s="2719"/>
      <c r="AA82" s="2795"/>
      <c r="AG82" s="1372"/>
      <c r="AK82" s="2795"/>
    </row>
    <row r="83" spans="1:37" ht="24" hidden="1">
      <c r="A83" s="2877" t="s">
        <v>2940</v>
      </c>
      <c r="B83" s="2881">
        <f>估价对象房地状况!G17</f>
        <v>0</v>
      </c>
      <c r="C83" s="2769"/>
      <c r="D83" s="1286">
        <f t="shared" si="25"/>
        <v>0</v>
      </c>
      <c r="E83" s="825"/>
      <c r="F83" s="2500"/>
      <c r="G83" s="1284"/>
      <c r="H83" s="1288" t="str">
        <f t="shared" si="26"/>
        <v>——</v>
      </c>
      <c r="I83" s="819">
        <v>0.05</v>
      </c>
      <c r="J83" s="1285">
        <f t="shared" si="27"/>
        <v>0</v>
      </c>
      <c r="K83" s="1285">
        <f t="shared" si="28"/>
        <v>0</v>
      </c>
      <c r="L83" s="1285">
        <v>0</v>
      </c>
      <c r="M83" s="1285">
        <f t="shared" si="29"/>
        <v>0</v>
      </c>
      <c r="N83" s="1285">
        <f t="shared" si="29"/>
        <v>0</v>
      </c>
      <c r="Z83" s="2719"/>
      <c r="AA83" s="2795"/>
      <c r="AG83" s="1372"/>
      <c r="AK83" s="2795"/>
    </row>
    <row r="84" spans="1:37" ht="14.25" hidden="1">
      <c r="A84" s="2877" t="s">
        <v>2954</v>
      </c>
      <c r="B84" s="2881">
        <f>估价对象房地状况!G22</f>
        <v>0</v>
      </c>
      <c r="C84" s="2769"/>
      <c r="D84" s="1286">
        <f t="shared" si="25"/>
        <v>0</v>
      </c>
      <c r="E84" s="825"/>
      <c r="F84" s="2500"/>
      <c r="G84" s="1284"/>
      <c r="H84" s="1288" t="str">
        <f t="shared" si="26"/>
        <v>——</v>
      </c>
      <c r="I84" s="819">
        <v>0.04</v>
      </c>
      <c r="J84" s="1285">
        <f t="shared" si="27"/>
        <v>0</v>
      </c>
      <c r="K84" s="1285">
        <f t="shared" si="28"/>
        <v>0</v>
      </c>
      <c r="L84" s="1285">
        <v>0</v>
      </c>
      <c r="M84" s="1285">
        <f t="shared" si="29"/>
        <v>0</v>
      </c>
      <c r="N84" s="1285">
        <f t="shared" si="29"/>
        <v>0</v>
      </c>
      <c r="Z84" s="2719"/>
      <c r="AA84" s="2795"/>
      <c r="AG84" s="1372"/>
      <c r="AK84" s="2795"/>
    </row>
    <row r="85" spans="1:37" ht="24" hidden="1">
      <c r="A85" s="2877" t="s">
        <v>2946</v>
      </c>
      <c r="B85" s="1723">
        <f>估价对象房地状况!G19</f>
        <v>0</v>
      </c>
      <c r="C85" s="2769"/>
      <c r="D85" s="1286">
        <f t="shared" si="25"/>
        <v>0</v>
      </c>
      <c r="E85" s="825"/>
      <c r="F85" s="2500"/>
      <c r="G85" s="1284"/>
      <c r="H85" s="1288" t="str">
        <f t="shared" si="26"/>
        <v>——</v>
      </c>
      <c r="I85" s="819">
        <v>0.06</v>
      </c>
      <c r="J85" s="1285">
        <f t="shared" si="27"/>
        <v>0</v>
      </c>
      <c r="K85" s="1285">
        <f t="shared" si="28"/>
        <v>0</v>
      </c>
      <c r="L85" s="1285">
        <v>0</v>
      </c>
      <c r="M85" s="1285">
        <f t="shared" si="29"/>
        <v>0</v>
      </c>
      <c r="N85" s="1285">
        <f t="shared" si="29"/>
        <v>0</v>
      </c>
      <c r="Z85" s="2719"/>
      <c r="AA85" s="2795"/>
      <c r="AG85" s="1372"/>
      <c r="AK85" s="2795"/>
    </row>
    <row r="86" spans="1:37" ht="24" hidden="1">
      <c r="A86" s="2877" t="s">
        <v>2947</v>
      </c>
      <c r="B86" s="1723">
        <f>估价对象房地状况!G20</f>
        <v>0</v>
      </c>
      <c r="C86" s="2769"/>
      <c r="D86" s="1286">
        <f t="shared" si="25"/>
        <v>0</v>
      </c>
      <c r="E86" s="825"/>
      <c r="F86" s="2500"/>
      <c r="G86" s="1284"/>
      <c r="H86" s="1288" t="str">
        <f t="shared" si="26"/>
        <v>——</v>
      </c>
      <c r="I86" s="819">
        <v>0.15</v>
      </c>
      <c r="J86" s="1285">
        <f t="shared" si="27"/>
        <v>0</v>
      </c>
      <c r="K86" s="1285">
        <f t="shared" si="28"/>
        <v>0</v>
      </c>
      <c r="L86" s="1285">
        <v>0</v>
      </c>
      <c r="M86" s="1285">
        <f t="shared" si="29"/>
        <v>0</v>
      </c>
      <c r="N86" s="1285">
        <f t="shared" si="29"/>
        <v>0</v>
      </c>
      <c r="Z86" s="2719"/>
      <c r="AA86" s="2795"/>
      <c r="AG86" s="1372"/>
      <c r="AK86" s="2795"/>
    </row>
    <row r="87" spans="1:37" ht="24" hidden="1">
      <c r="A87" s="2877" t="s">
        <v>2944</v>
      </c>
      <c r="B87" s="2883" t="s">
        <v>2958</v>
      </c>
      <c r="C87" s="2769"/>
      <c r="D87" s="1286">
        <f t="shared" si="25"/>
        <v>0</v>
      </c>
      <c r="E87" s="825"/>
      <c r="F87" s="2500"/>
      <c r="G87" s="1284"/>
      <c r="H87" s="1288" t="str">
        <f t="shared" si="26"/>
        <v>——</v>
      </c>
      <c r="I87" s="819">
        <v>0.05</v>
      </c>
      <c r="J87" s="1285">
        <f t="shared" si="27"/>
        <v>0</v>
      </c>
      <c r="K87" s="1285">
        <f t="shared" si="28"/>
        <v>0</v>
      </c>
      <c r="L87" s="1285">
        <v>0</v>
      </c>
      <c r="M87" s="1285">
        <f t="shared" si="29"/>
        <v>0</v>
      </c>
      <c r="N87" s="1285">
        <f t="shared" si="29"/>
        <v>0</v>
      </c>
      <c r="Z87" s="2719"/>
      <c r="AA87" s="2795"/>
      <c r="AG87" s="1372"/>
      <c r="AK87" s="2795"/>
    </row>
    <row r="88" spans="1:37" ht="15" hidden="1" thickBot="1">
      <c r="A88" s="2885" t="s">
        <v>2959</v>
      </c>
      <c r="B88" s="2890">
        <f>估价对象房地状况!G18</f>
        <v>0</v>
      </c>
      <c r="C88" s="2769"/>
      <c r="D88" s="1286">
        <f t="shared" si="25"/>
        <v>0</v>
      </c>
      <c r="E88" s="826"/>
      <c r="F88" s="2500"/>
      <c r="G88" s="1284"/>
      <c r="H88" s="1288" t="str">
        <f t="shared" si="26"/>
        <v>——</v>
      </c>
      <c r="I88" s="823">
        <v>0.06</v>
      </c>
      <c r="J88" s="1285">
        <f t="shared" si="27"/>
        <v>0</v>
      </c>
      <c r="K88" s="1285">
        <f t="shared" si="28"/>
        <v>0</v>
      </c>
      <c r="L88" s="1285">
        <v>0</v>
      </c>
      <c r="M88" s="1285">
        <f t="shared" si="29"/>
        <v>0</v>
      </c>
      <c r="N88" s="1285">
        <f t="shared" si="29"/>
        <v>0</v>
      </c>
      <c r="Z88" s="2719"/>
      <c r="AA88" s="2795"/>
      <c r="AG88" s="1372"/>
      <c r="AK88" s="2795"/>
    </row>
    <row r="90" spans="1:37">
      <c r="A90" s="3169" t="s">
        <v>2960</v>
      </c>
      <c r="B90" s="3169"/>
      <c r="C90" s="3169"/>
      <c r="D90" s="3169"/>
      <c r="E90" s="3169"/>
      <c r="F90" s="3169"/>
      <c r="G90" s="3169"/>
      <c r="H90" s="3169"/>
      <c r="I90" s="3169"/>
      <c r="J90" s="3169"/>
      <c r="K90" s="2891"/>
      <c r="L90" s="2891"/>
      <c r="M90" s="2891"/>
      <c r="N90" s="2891"/>
    </row>
    <row r="91" spans="1:37">
      <c r="A91" s="3171" t="s">
        <v>2961</v>
      </c>
      <c r="B91" s="3171" t="s">
        <v>2962</v>
      </c>
      <c r="C91" s="2845" t="s">
        <v>2963</v>
      </c>
      <c r="D91" s="2846"/>
      <c r="E91" s="2846"/>
      <c r="F91" s="2846"/>
      <c r="G91" s="2846"/>
      <c r="H91" s="2846"/>
      <c r="I91" s="2846"/>
      <c r="J91" s="2892"/>
      <c r="K91" s="2893"/>
      <c r="L91" s="2893"/>
      <c r="M91" s="2893"/>
      <c r="N91" s="2893"/>
    </row>
    <row r="92" spans="1:37">
      <c r="A92" s="3171"/>
      <c r="B92" s="3171"/>
      <c r="C92" s="944" t="s">
        <v>2829</v>
      </c>
      <c r="D92" s="944" t="s">
        <v>2830</v>
      </c>
      <c r="E92" s="944" t="s">
        <v>2831</v>
      </c>
      <c r="F92" s="944" t="s">
        <v>2832</v>
      </c>
      <c r="G92" s="944" t="s">
        <v>2833</v>
      </c>
      <c r="H92" s="944" t="s">
        <v>2834</v>
      </c>
      <c r="I92" s="944" t="s">
        <v>2835</v>
      </c>
      <c r="J92" s="944" t="s">
        <v>2836</v>
      </c>
      <c r="K92" s="944" t="s">
        <v>2837</v>
      </c>
      <c r="L92" s="944" t="s">
        <v>2838</v>
      </c>
      <c r="M92" s="944" t="s">
        <v>2839</v>
      </c>
      <c r="N92" s="944" t="s">
        <v>2840</v>
      </c>
    </row>
    <row r="93" spans="1:37">
      <c r="A93" s="3172" t="s">
        <v>2964</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73"/>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73"/>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73"/>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73"/>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73"/>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73"/>
      <c r="B99" s="2894" t="s">
        <v>2845</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74"/>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72" t="s">
        <v>2965</v>
      </c>
      <c r="B101" s="2898" t="s">
        <v>2966</v>
      </c>
      <c r="C101" s="2899">
        <f>$G$3</f>
        <v>8.92</v>
      </c>
      <c r="D101" s="2899">
        <f t="shared" ref="D101:N101" si="31">$G$3</f>
        <v>8.92</v>
      </c>
      <c r="E101" s="2899">
        <f t="shared" si="31"/>
        <v>8.92</v>
      </c>
      <c r="F101" s="2899">
        <f t="shared" si="31"/>
        <v>8.92</v>
      </c>
      <c r="G101" s="2899">
        <f t="shared" si="31"/>
        <v>8.92</v>
      </c>
      <c r="H101" s="2899">
        <f t="shared" si="31"/>
        <v>8.92</v>
      </c>
      <c r="I101" s="2899">
        <f t="shared" si="31"/>
        <v>8.92</v>
      </c>
      <c r="J101" s="2899">
        <f t="shared" si="31"/>
        <v>8.92</v>
      </c>
      <c r="K101" s="2899">
        <f t="shared" si="31"/>
        <v>8.92</v>
      </c>
      <c r="L101" s="2899">
        <f t="shared" si="31"/>
        <v>8.92</v>
      </c>
      <c r="M101" s="2899">
        <f t="shared" si="31"/>
        <v>8.92</v>
      </c>
      <c r="N101" s="2899">
        <f t="shared" si="31"/>
        <v>8.92</v>
      </c>
    </row>
    <row r="102" spans="1:14">
      <c r="A102" s="3173"/>
      <c r="B102" s="2894">
        <v>1</v>
      </c>
      <c r="C102" s="2895">
        <f>1.9362/C101</f>
        <v>0.21706278026905829</v>
      </c>
      <c r="D102" s="2895">
        <f>1.9362/D101</f>
        <v>0.21706278026905829</v>
      </c>
      <c r="E102" s="2895">
        <f>1.8629/E101</f>
        <v>0.20884529147982062</v>
      </c>
      <c r="F102" s="2895">
        <f>1.8629/F101</f>
        <v>0.20884529147982062</v>
      </c>
      <c r="G102" s="2895">
        <f>1.8629/G101</f>
        <v>0.20884529147982062</v>
      </c>
      <c r="H102" s="2895">
        <f>1.8629/H101</f>
        <v>0.20884529147982062</v>
      </c>
      <c r="I102" s="2895">
        <f>1.8629/I101</f>
        <v>0.20884529147982062</v>
      </c>
      <c r="J102" s="2895">
        <f>1.942/J101</f>
        <v>0.21771300448430492</v>
      </c>
      <c r="K102" s="2895">
        <f>1.942/K101</f>
        <v>0.21771300448430492</v>
      </c>
      <c r="L102" s="2895">
        <f>1.942/L101</f>
        <v>0.21771300448430492</v>
      </c>
      <c r="M102" s="2895">
        <f>1.942/M101</f>
        <v>0.21771300448430492</v>
      </c>
      <c r="N102" s="2895">
        <f>1.942/N101</f>
        <v>0.21771300448430492</v>
      </c>
    </row>
    <row r="103" spans="1:14">
      <c r="A103" s="3173"/>
      <c r="B103" s="2894">
        <v>2</v>
      </c>
      <c r="C103" s="2895">
        <f>1.4198/C101</f>
        <v>0.15917040358744394</v>
      </c>
      <c r="D103" s="2895">
        <f>1.4198/D101</f>
        <v>0.15917040358744394</v>
      </c>
      <c r="E103" s="2895">
        <f>1.3372/E101</f>
        <v>0.14991031390134529</v>
      </c>
      <c r="F103" s="2895">
        <f>1.3372/F101</f>
        <v>0.14991031390134529</v>
      </c>
      <c r="G103" s="2895">
        <f>1.3372/G101</f>
        <v>0.14991031390134529</v>
      </c>
      <c r="H103" s="2895">
        <f>1.3372/H101</f>
        <v>0.14991031390134529</v>
      </c>
      <c r="I103" s="2895">
        <f>1.3372/I101</f>
        <v>0.14991031390134529</v>
      </c>
      <c r="J103" s="2895">
        <f>1.2799/J101</f>
        <v>0.14348654708520181</v>
      </c>
      <c r="K103" s="2895">
        <f>1.2799/K101</f>
        <v>0.14348654708520181</v>
      </c>
      <c r="L103" s="2895">
        <f>1.2799/L101</f>
        <v>0.14348654708520181</v>
      </c>
      <c r="M103" s="2895">
        <f>1.2799/M101</f>
        <v>0.14348654708520181</v>
      </c>
      <c r="N103" s="2895">
        <f>1.2799/N101</f>
        <v>0.14348654708520181</v>
      </c>
    </row>
    <row r="104" spans="1:14">
      <c r="A104" s="3173"/>
      <c r="B104" s="2894">
        <v>3</v>
      </c>
      <c r="C104" s="2895">
        <f>1.1594/C101</f>
        <v>0.12997757847533634</v>
      </c>
      <c r="D104" s="2895">
        <f>1.1594/D101</f>
        <v>0.12997757847533634</v>
      </c>
      <c r="E104" s="2895">
        <f>1.0788/E101</f>
        <v>0.12094170403587444</v>
      </c>
      <c r="F104" s="2895">
        <f>1.0788/F101</f>
        <v>0.12094170403587444</v>
      </c>
      <c r="G104" s="2895">
        <f>1.0788/G101</f>
        <v>0.12094170403587444</v>
      </c>
      <c r="H104" s="2895">
        <f>1.0788/H101</f>
        <v>0.12094170403587444</v>
      </c>
      <c r="I104" s="2895">
        <f>1.0788/I101</f>
        <v>0.12094170403587444</v>
      </c>
      <c r="J104" s="2895">
        <f>1.0072/J101</f>
        <v>0.11291479820627803</v>
      </c>
      <c r="K104" s="2895">
        <f>1.0072/K101</f>
        <v>0.11291479820627803</v>
      </c>
      <c r="L104" s="2895">
        <f>1.0072/L101</f>
        <v>0.11291479820627803</v>
      </c>
      <c r="M104" s="2895">
        <f>1.0072/M101</f>
        <v>0.11291479820627803</v>
      </c>
      <c r="N104" s="2895">
        <f>1.0072/N101</f>
        <v>0.11291479820627803</v>
      </c>
    </row>
    <row r="105" spans="1:14">
      <c r="A105" s="3173"/>
      <c r="B105" s="2894">
        <v>4</v>
      </c>
      <c r="C105" s="2895">
        <f>0.9622/C101</f>
        <v>0.10786995515695068</v>
      </c>
      <c r="D105" s="2895">
        <f>0.9622/D101</f>
        <v>0.10786995515695068</v>
      </c>
      <c r="E105" s="2895">
        <f>0.8656/E101</f>
        <v>9.7040358744394623E-2</v>
      </c>
      <c r="F105" s="2895">
        <f>0.8656/F101</f>
        <v>9.7040358744394623E-2</v>
      </c>
      <c r="G105" s="2895">
        <f>0.8656/G101</f>
        <v>9.7040358744394623E-2</v>
      </c>
      <c r="H105" s="2895">
        <f>0.8656/H101</f>
        <v>9.7040358744394623E-2</v>
      </c>
      <c r="I105" s="2895">
        <f>0.8656/I101</f>
        <v>9.7040358744394623E-2</v>
      </c>
      <c r="J105" s="2895">
        <f>0.7525/J101</f>
        <v>8.4360986547085196E-2</v>
      </c>
      <c r="K105" s="2895">
        <f>0.7525/K101</f>
        <v>8.4360986547085196E-2</v>
      </c>
      <c r="L105" s="2895">
        <f>0.7525/L101</f>
        <v>8.4360986547085196E-2</v>
      </c>
      <c r="M105" s="2895">
        <f>0.7525/M101</f>
        <v>8.4360986547085196E-2</v>
      </c>
      <c r="N105" s="2895">
        <f>0.7525/N101</f>
        <v>8.4360986547085196E-2</v>
      </c>
    </row>
    <row r="106" spans="1:14">
      <c r="A106" s="3173"/>
      <c r="B106" s="2894">
        <v>5</v>
      </c>
      <c r="C106" s="2895">
        <f>0.8417/C101</f>
        <v>9.4360986547085204E-2</v>
      </c>
      <c r="D106" s="2895">
        <f>0.8417/D101</f>
        <v>9.4360986547085204E-2</v>
      </c>
      <c r="E106" s="2895">
        <f>0.7371/E101</f>
        <v>8.2634529147982055E-2</v>
      </c>
      <c r="F106" s="2895">
        <f>0.7371/F101</f>
        <v>8.2634529147982055E-2</v>
      </c>
      <c r="G106" s="2895">
        <f>0.7371/G101</f>
        <v>8.2634529147982055E-2</v>
      </c>
      <c r="H106" s="2895">
        <f>0.7371/H101</f>
        <v>8.2634529147982055E-2</v>
      </c>
      <c r="I106" s="2895">
        <f>0.7371/I101</f>
        <v>8.2634529147982055E-2</v>
      </c>
      <c r="J106" s="2895">
        <f>0.5659/J101</f>
        <v>6.344170403587443E-2</v>
      </c>
      <c r="K106" s="2895">
        <f>0.5659/K101</f>
        <v>6.344170403587443E-2</v>
      </c>
      <c r="L106" s="2895">
        <f>0.5659/L101</f>
        <v>6.344170403587443E-2</v>
      </c>
      <c r="M106" s="2895">
        <f>0.5659/M101</f>
        <v>6.344170403587443E-2</v>
      </c>
      <c r="N106" s="2895">
        <f>0.5659/N101</f>
        <v>6.344170403587443E-2</v>
      </c>
    </row>
    <row r="107" spans="1:14">
      <c r="A107" s="3173"/>
      <c r="B107" s="2894">
        <v>6</v>
      </c>
      <c r="C107" s="2895">
        <f>0.7608/C101</f>
        <v>8.5291479820627805E-2</v>
      </c>
      <c r="D107" s="2895">
        <f>0.7608/D101</f>
        <v>8.5291479820627805E-2</v>
      </c>
      <c r="E107" s="2895">
        <f>0.6482/E101</f>
        <v>7.2668161434977577E-2</v>
      </c>
      <c r="F107" s="2895">
        <f>0.6482/F101</f>
        <v>7.2668161434977577E-2</v>
      </c>
      <c r="G107" s="2895">
        <f>0.6482/G101</f>
        <v>7.2668161434977577E-2</v>
      </c>
      <c r="H107" s="2895">
        <f>0.6482/H101</f>
        <v>7.2668161434977577E-2</v>
      </c>
      <c r="I107" s="2895">
        <f>0.6482/I101</f>
        <v>7.2668161434977577E-2</v>
      </c>
      <c r="J107" s="2895">
        <f>0.4525/J101</f>
        <v>5.0728699551569507E-2</v>
      </c>
      <c r="K107" s="2895">
        <f>0.4525/K101</f>
        <v>5.0728699551569507E-2</v>
      </c>
      <c r="L107" s="2895">
        <f>0.4525/L101</f>
        <v>5.0728699551569507E-2</v>
      </c>
      <c r="M107" s="2895">
        <f>0.4525/M101</f>
        <v>5.0728699551569507E-2</v>
      </c>
      <c r="N107" s="2895">
        <f>0.4525/N101</f>
        <v>5.0728699551569507E-2</v>
      </c>
    </row>
    <row r="108" spans="1:14">
      <c r="A108" s="3173"/>
      <c r="B108" s="3098" t="s">
        <v>2967</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74"/>
      <c r="B109" s="3099"/>
      <c r="C109" s="2897">
        <f>(-0.163*(C108^2)-0.59*C108+7617)*(10^(-4))/C101</f>
        <v>8.5392376681614354E-2</v>
      </c>
      <c r="D109" s="2897">
        <f>(-0.163*(D108^2)-0.59*D108+7617)*(10^(-4))/D101</f>
        <v>8.5392376681614354E-2</v>
      </c>
      <c r="E109" s="2897">
        <f>(-0.161*(E108^2)-7.509*E108+6533)*(10^(-4))/E101</f>
        <v>7.3239910313901341E-2</v>
      </c>
      <c r="F109" s="2897">
        <f>(-0.161*(F108^2)-7.509*F108+6533)*(10^(-4))/F101</f>
        <v>7.3239910313901341E-2</v>
      </c>
      <c r="G109" s="2897">
        <f>(-0.161*(G108^2)-7.509*G108+6533)*(10^(-4))/G101</f>
        <v>7.3239910313901341E-2</v>
      </c>
      <c r="H109" s="2897">
        <f>(-0.161*(H108^2)-7.509*H108+6533)*(10^(-4))/H101</f>
        <v>7.3239910313901341E-2</v>
      </c>
      <c r="I109" s="2897">
        <f>(-0.161*(I108^2)-7.509*I108+6533)*(10^(-4))/I101</f>
        <v>7.3239910313901341E-2</v>
      </c>
      <c r="J109" s="2897">
        <f>(-0.214*(J108^2)-21.991*J108+4665)*(10^(-4))/J101</f>
        <v>5.2298206278026907E-2</v>
      </c>
      <c r="K109" s="2897">
        <f>(-0.214*(K108^2)-21.991*K108+4665)*(10^(-4))/K101</f>
        <v>5.2298206278026907E-2</v>
      </c>
      <c r="L109" s="2897">
        <f>(-0.214*(L108^2)-21.991*L108+4665)*(10^(-4))/L101</f>
        <v>5.2298206278026907E-2</v>
      </c>
      <c r="M109" s="2897">
        <f>(-0.214*(M108^2)-21.991*M108+4665)*(10^(-4))/M101</f>
        <v>5.2298206278026907E-2</v>
      </c>
      <c r="N109" s="2897">
        <f>(-0.214*(N108^2)-21.991*N108+4665)*(10^(-4))/N101</f>
        <v>5.2298206278026907E-2</v>
      </c>
    </row>
    <row r="110" spans="1:14">
      <c r="A110" s="3170" t="s">
        <v>2968</v>
      </c>
      <c r="B110" s="3170"/>
      <c r="C110" s="3170"/>
      <c r="D110" s="3170"/>
      <c r="E110" s="3170"/>
      <c r="F110" s="3170"/>
      <c r="G110" s="3170"/>
      <c r="H110" s="3170"/>
      <c r="I110" s="3170"/>
      <c r="J110" s="3170"/>
      <c r="K110" s="2900"/>
      <c r="L110" s="2900"/>
      <c r="M110" s="2900"/>
      <c r="N110" s="2900"/>
    </row>
    <row r="112" spans="1:14" ht="13.5" thickBot="1"/>
    <row r="113" spans="1:13" ht="25.5" thickBot="1">
      <c r="A113" s="902" t="s">
        <v>2969</v>
      </c>
      <c r="B113" s="1287">
        <f>G3</f>
        <v>8.92</v>
      </c>
      <c r="C113" s="903" t="s">
        <v>2970</v>
      </c>
      <c r="D113" s="904">
        <f>SUMPRODUCT((A115:A118=F113)*(B114:M114=H113)*B115:M118)</f>
        <v>0.84199999999999997</v>
      </c>
      <c r="E113" s="2723" t="s">
        <v>2803</v>
      </c>
      <c r="F113" s="2902" t="str">
        <f>E2</f>
        <v>办公</v>
      </c>
      <c r="G113" s="2723" t="s">
        <v>2804</v>
      </c>
      <c r="H113" s="2902" t="str">
        <f>G2</f>
        <v>二级</v>
      </c>
      <c r="I113" s="2723"/>
      <c r="J113" s="2903"/>
      <c r="K113" s="2903"/>
      <c r="L113" s="2903"/>
      <c r="M113" s="2903"/>
    </row>
    <row r="114" spans="1:13">
      <c r="A114" s="907"/>
      <c r="B114" s="2904" t="s">
        <v>2971</v>
      </c>
      <c r="C114" s="2904" t="s">
        <v>2972</v>
      </c>
      <c r="D114" s="2904" t="s">
        <v>2973</v>
      </c>
      <c r="E114" s="2905" t="s">
        <v>2974</v>
      </c>
      <c r="F114" s="2905" t="s">
        <v>2975</v>
      </c>
      <c r="G114" s="2905" t="s">
        <v>2976</v>
      </c>
      <c r="H114" s="2906" t="s">
        <v>2977</v>
      </c>
      <c r="I114" s="2906" t="s">
        <v>2978</v>
      </c>
      <c r="J114" s="2907" t="s">
        <v>2979</v>
      </c>
      <c r="K114" s="2907" t="s">
        <v>2980</v>
      </c>
      <c r="L114" s="2907" t="s">
        <v>2981</v>
      </c>
      <c r="M114" s="2908" t="s">
        <v>2982</v>
      </c>
    </row>
    <row r="115" spans="1:13">
      <c r="A115" s="908" t="s">
        <v>2867</v>
      </c>
      <c r="B115" s="909">
        <f>ROUND(0.9335-0.0094*B113,4)</f>
        <v>0.84970000000000001</v>
      </c>
      <c r="C115" s="909">
        <f>B115</f>
        <v>0.84970000000000001</v>
      </c>
      <c r="D115" s="909">
        <f>ROUND(0.8331-0.0109*B113,4)</f>
        <v>0.7359</v>
      </c>
      <c r="E115" s="909">
        <f>D115</f>
        <v>0.7359</v>
      </c>
      <c r="F115" s="909">
        <f>E115</f>
        <v>0.7359</v>
      </c>
      <c r="G115" s="909">
        <f>F115</f>
        <v>0.7359</v>
      </c>
      <c r="H115" s="909">
        <f>G115</f>
        <v>0.7359</v>
      </c>
      <c r="I115" s="909">
        <f>ROUND(0.689-0.0155*B113,4)</f>
        <v>0.55069999999999997</v>
      </c>
      <c r="J115" s="909">
        <f t="shared" ref="J115:M118" si="33">I115</f>
        <v>0.55069999999999997</v>
      </c>
      <c r="K115" s="909">
        <f t="shared" si="33"/>
        <v>0.55069999999999997</v>
      </c>
      <c r="L115" s="909">
        <f t="shared" si="33"/>
        <v>0.55069999999999997</v>
      </c>
      <c r="M115" s="910">
        <f t="shared" si="33"/>
        <v>0.55069999999999997</v>
      </c>
    </row>
    <row r="116" spans="1:13">
      <c r="A116" s="908" t="s">
        <v>2868</v>
      </c>
      <c r="B116" s="909">
        <f>ROUND(0.949-0.012*B113,4)</f>
        <v>0.84199999999999997</v>
      </c>
      <c r="C116" s="909">
        <f>B116</f>
        <v>0.84199999999999997</v>
      </c>
      <c r="D116" s="909">
        <f>ROUND(0.8567-0.013*B113,4)</f>
        <v>0.74070000000000003</v>
      </c>
      <c r="E116" s="909">
        <f t="shared" ref="E116:H117" si="34">D116</f>
        <v>0.74070000000000003</v>
      </c>
      <c r="F116" s="909">
        <f t="shared" si="34"/>
        <v>0.74070000000000003</v>
      </c>
      <c r="G116" s="909">
        <f t="shared" si="34"/>
        <v>0.74070000000000003</v>
      </c>
      <c r="H116" s="909">
        <f t="shared" si="34"/>
        <v>0.74070000000000003</v>
      </c>
      <c r="I116" s="909">
        <f>ROUND(0.7694-0.014*B113,4)</f>
        <v>0.64449999999999996</v>
      </c>
      <c r="J116" s="909">
        <f t="shared" si="33"/>
        <v>0.64449999999999996</v>
      </c>
      <c r="K116" s="909">
        <f t="shared" si="33"/>
        <v>0.64449999999999996</v>
      </c>
      <c r="L116" s="909">
        <f t="shared" si="33"/>
        <v>0.64449999999999996</v>
      </c>
      <c r="M116" s="910">
        <f t="shared" si="33"/>
        <v>0.64449999999999996</v>
      </c>
    </row>
    <row r="117" spans="1:13">
      <c r="A117" s="908" t="s">
        <v>2869</v>
      </c>
      <c r="B117" s="909">
        <f>ROUND(0.8808-0.006*B113,4)</f>
        <v>0.82730000000000004</v>
      </c>
      <c r="C117" s="909">
        <f>B117</f>
        <v>0.82730000000000004</v>
      </c>
      <c r="D117" s="909">
        <f>ROUND(0.8748-0.008*B113,4)</f>
        <v>0.8034</v>
      </c>
      <c r="E117" s="909">
        <f t="shared" si="34"/>
        <v>0.8034</v>
      </c>
      <c r="F117" s="909">
        <f t="shared" si="34"/>
        <v>0.8034</v>
      </c>
      <c r="G117" s="909">
        <f t="shared" si="34"/>
        <v>0.8034</v>
      </c>
      <c r="H117" s="909">
        <f t="shared" si="34"/>
        <v>0.8034</v>
      </c>
      <c r="I117" s="909">
        <f>ROUND(0.7412-0.0095*B113,4)</f>
        <v>0.65649999999999997</v>
      </c>
      <c r="J117" s="909">
        <f t="shared" si="33"/>
        <v>0.65649999999999997</v>
      </c>
      <c r="K117" s="909">
        <f t="shared" si="33"/>
        <v>0.65649999999999997</v>
      </c>
      <c r="L117" s="909">
        <f t="shared" si="33"/>
        <v>0.65649999999999997</v>
      </c>
      <c r="M117" s="910">
        <f t="shared" si="33"/>
        <v>0.65649999999999997</v>
      </c>
    </row>
    <row r="118" spans="1:13" ht="13.5" thickBot="1">
      <c r="A118" s="713" t="s">
        <v>2870</v>
      </c>
      <c r="B118" s="911">
        <f>ROUND(0.7275-0.01*B113,4)</f>
        <v>0.63829999999999998</v>
      </c>
      <c r="C118" s="911">
        <f>B118</f>
        <v>0.63829999999999998</v>
      </c>
      <c r="D118" s="911">
        <f>ROUND(0.7043-0.012*B113,4)</f>
        <v>0.59730000000000005</v>
      </c>
      <c r="E118" s="911">
        <f>D118</f>
        <v>0.59730000000000005</v>
      </c>
      <c r="F118" s="911">
        <f>E118</f>
        <v>0.59730000000000005</v>
      </c>
      <c r="G118" s="911">
        <f>ROUND(0.6299-0.0122*B113,4)</f>
        <v>0.52110000000000001</v>
      </c>
      <c r="H118" s="911">
        <f>G118</f>
        <v>0.52110000000000001</v>
      </c>
      <c r="I118" s="911">
        <f>ROUND(0.5667-0.0136*B113,4)</f>
        <v>0.44540000000000002</v>
      </c>
      <c r="J118" s="911">
        <f t="shared" si="33"/>
        <v>0.44540000000000002</v>
      </c>
      <c r="K118" s="911">
        <f t="shared" si="33"/>
        <v>0.44540000000000002</v>
      </c>
      <c r="L118" s="911">
        <f t="shared" si="33"/>
        <v>0.44540000000000002</v>
      </c>
      <c r="M118" s="912">
        <f t="shared" si="33"/>
        <v>0.44540000000000002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8" priority="5" stopIfTrue="1" operator="notEqual">
      <formula>"——"</formula>
    </cfRule>
  </conditionalFormatting>
  <conditionalFormatting sqref="F59">
    <cfRule type="cellIs" dxfId="147" priority="4" stopIfTrue="1" operator="notEqual">
      <formula>"——"</formula>
    </cfRule>
  </conditionalFormatting>
  <conditionalFormatting sqref="F70">
    <cfRule type="cellIs" dxfId="146" priority="3" stopIfTrue="1" operator="notEqual">
      <formula>"——"</formula>
    </cfRule>
  </conditionalFormatting>
  <conditionalFormatting sqref="F81">
    <cfRule type="cellIs" dxfId="145" priority="2" stopIfTrue="1" operator="notEqual">
      <formula>"——"</formula>
    </cfRule>
  </conditionalFormatting>
  <conditionalFormatting sqref="H48:H56 H59:H67 H70:H78 H81:H88">
    <cfRule type="cellIs" dxfId="14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22" zoomScale="80" zoomScaleNormal="80" zoomScaleSheetLayoutView="90" workbookViewId="0">
      <selection activeCell="C39" sqref="C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t="s">
        <v>3117</v>
      </c>
      <c r="D1" s="1818" t="s">
        <v>70</v>
      </c>
      <c r="E1" s="1819" t="s">
        <v>1387</v>
      </c>
      <c r="F1" s="1283">
        <f ca="1">J53</f>
        <v>32.54</v>
      </c>
      <c r="G1" s="1834">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1515</v>
      </c>
      <c r="B2" s="1842">
        <f ca="1">C40+J29+L46</f>
        <v>25181</v>
      </c>
      <c r="C2" s="1843" t="s">
        <v>1516</v>
      </c>
      <c r="D2" s="1843"/>
      <c r="E2" s="1844"/>
      <c r="F2" s="1845"/>
      <c r="G2" s="1846"/>
      <c r="H2" s="1838"/>
      <c r="I2" s="1838"/>
      <c r="J2" s="1838"/>
      <c r="K2" s="1839"/>
      <c r="L2" s="1838"/>
      <c r="M2" s="1838"/>
    </row>
    <row r="3" spans="1:37" ht="18" customHeight="1" thickBot="1">
      <c r="A3" s="1847" t="s">
        <v>1517</v>
      </c>
      <c r="B3" s="1848">
        <f ca="1">IF(ISERROR(B2*10000/F43),0,ROUND(B2*10000/F43,0))</f>
        <v>30424</v>
      </c>
      <c r="C3" s="1843" t="s">
        <v>1518</v>
      </c>
      <c r="D3" s="1843"/>
      <c r="E3" s="1844"/>
      <c r="F3" s="1845"/>
      <c r="G3" s="1846"/>
      <c r="H3" s="743" t="s">
        <v>1588</v>
      </c>
      <c r="I3" s="1838"/>
      <c r="J3" s="1838"/>
      <c r="K3" s="1839"/>
      <c r="L3" s="1838"/>
      <c r="M3" s="1838"/>
    </row>
    <row r="4" spans="1:37" ht="18" customHeight="1">
      <c r="A4" s="339" t="s">
        <v>1396</v>
      </c>
      <c r="B4" s="340" t="s">
        <v>1397</v>
      </c>
      <c r="C4" s="340" t="s">
        <v>1398</v>
      </c>
      <c r="D4" s="340" t="s">
        <v>1399</v>
      </c>
      <c r="E4" s="341" t="s">
        <v>1400</v>
      </c>
      <c r="F4" s="342"/>
      <c r="G4" s="1849"/>
      <c r="H4" s="339" t="s">
        <v>1396</v>
      </c>
      <c r="I4" s="340" t="s">
        <v>1397</v>
      </c>
      <c r="J4" s="340" t="s">
        <v>1398</v>
      </c>
      <c r="K4" s="340" t="s">
        <v>1399</v>
      </c>
      <c r="L4" s="341" t="s">
        <v>1400</v>
      </c>
      <c r="M4" s="342"/>
    </row>
    <row r="5" spans="1:37" ht="18" customHeight="1">
      <c r="A5" s="343">
        <v>1</v>
      </c>
      <c r="B5" s="344" t="s">
        <v>1401</v>
      </c>
      <c r="C5" s="1292">
        <f ca="1">C6+C10+C12</f>
        <v>1525</v>
      </c>
      <c r="D5" s="1820" t="s">
        <v>1402</v>
      </c>
      <c r="E5" s="1293"/>
      <c r="F5" s="1294"/>
      <c r="G5" s="1849"/>
      <c r="H5" s="343">
        <v>1</v>
      </c>
      <c r="I5" s="344" t="s">
        <v>1401</v>
      </c>
      <c r="J5" s="1292">
        <f ca="1">J6+J10+J12</f>
        <v>0</v>
      </c>
      <c r="K5" s="1820" t="s">
        <v>1402</v>
      </c>
      <c r="L5" s="1293"/>
      <c r="M5" s="1294"/>
    </row>
    <row r="6" spans="1:37" ht="18" customHeight="1">
      <c r="A6" s="1291" t="s">
        <v>1035</v>
      </c>
      <c r="B6" s="3189" t="s">
        <v>1403</v>
      </c>
      <c r="C6" s="1296">
        <f ca="1">ROUND(F6*F8*F7*(1-F9)/10000,0)</f>
        <v>1523</v>
      </c>
      <c r="D6" s="163" t="s">
        <v>3020</v>
      </c>
      <c r="E6" s="346" t="s">
        <v>1405</v>
      </c>
      <c r="F6" s="347">
        <f ca="1">INDIRECT("'数据-取费表'!u"&amp;$G$1)</f>
        <v>5.6</v>
      </c>
      <c r="G6" s="1849"/>
      <c r="H6" s="1291" t="s">
        <v>1035</v>
      </c>
      <c r="I6" s="3189" t="s">
        <v>1403</v>
      </c>
      <c r="J6" s="345">
        <f ca="1">ROUND(M6*M8*M7*(1-M9)/10000,0)</f>
        <v>0</v>
      </c>
      <c r="K6" s="163" t="s">
        <v>3019</v>
      </c>
      <c r="L6" s="346" t="s">
        <v>1405</v>
      </c>
      <c r="M6" s="347">
        <f ca="1">INDIRECT("'数据-取费表'!z"&amp;$G$1)</f>
        <v>0</v>
      </c>
    </row>
    <row r="7" spans="1:37" ht="18" customHeight="1">
      <c r="A7" s="1295"/>
      <c r="B7" s="3190"/>
      <c r="C7" s="1297"/>
      <c r="D7" s="351"/>
      <c r="E7" s="1298" t="s">
        <v>1406</v>
      </c>
      <c r="F7" s="347">
        <f ca="1">IF(INDIRECT("'数据-取费表'!ah"&amp;$G$1)="",INDIRECT("'数据-取费表'!k"&amp;$G$1),INDIRECT("'数据-取费表'!ah"&amp;$G$1))</f>
        <v>8276.64</v>
      </c>
      <c r="G7" s="1849"/>
      <c r="H7" s="348"/>
      <c r="I7" s="3190"/>
      <c r="J7" s="350"/>
      <c r="K7" s="351"/>
      <c r="L7" s="346" t="s">
        <v>1406</v>
      </c>
      <c r="M7" s="347">
        <f ca="1">F7</f>
        <v>8276.64</v>
      </c>
    </row>
    <row r="8" spans="1:37" ht="18" customHeight="1">
      <c r="A8" s="348"/>
      <c r="B8" s="3190"/>
      <c r="C8" s="350"/>
      <c r="D8" s="351"/>
      <c r="E8" s="346" t="s">
        <v>1407</v>
      </c>
      <c r="F8" s="347">
        <f ca="1">INDIRECT("'数据-取费表'!ai"&amp;$G$1)</f>
        <v>365</v>
      </c>
      <c r="G8" s="1849"/>
      <c r="H8" s="348"/>
      <c r="I8" s="3190"/>
      <c r="J8" s="350"/>
      <c r="K8" s="351"/>
      <c r="L8" s="346" t="s">
        <v>1407</v>
      </c>
      <c r="M8" s="347">
        <f ca="1">INDIRECT("'数据-取费表'!ai"&amp;$G$1)</f>
        <v>365</v>
      </c>
    </row>
    <row r="9" spans="1:37" ht="18" customHeight="1">
      <c r="A9" s="348"/>
      <c r="B9" s="3191"/>
      <c r="C9" s="350"/>
      <c r="D9" s="351"/>
      <c r="E9" s="346" t="s">
        <v>1408</v>
      </c>
      <c r="F9" s="356">
        <f ca="1">INDIRECT("'数据-取费表'!w"&amp;$G$1)</f>
        <v>0.1</v>
      </c>
      <c r="G9" s="1849"/>
      <c r="H9" s="348"/>
      <c r="I9" s="3191"/>
      <c r="J9" s="350"/>
      <c r="K9" s="351"/>
      <c r="L9" s="357" t="s">
        <v>1408</v>
      </c>
      <c r="M9" s="358">
        <f ca="1">INDIRECT("'数据-取费表'!ab"&amp;$G$1)</f>
        <v>0</v>
      </c>
    </row>
    <row r="10" spans="1:37" ht="18" customHeight="1">
      <c r="A10" s="1291" t="s">
        <v>1039</v>
      </c>
      <c r="B10" s="1821" t="s">
        <v>1409</v>
      </c>
      <c r="C10" s="360">
        <f ca="1">ROUND(IF(F10="押一",C6/12*F11,IF(F10="押二",C6/12*2*F11,IF(F10="押三",C6/12*3*F11,C11*F11))),0)</f>
        <v>2</v>
      </c>
      <c r="D10" s="1822" t="s">
        <v>3029</v>
      </c>
      <c r="E10" s="357" t="s">
        <v>1410</v>
      </c>
      <c r="F10" s="1366" t="s">
        <v>3084</v>
      </c>
      <c r="G10" s="1849"/>
      <c r="H10" s="1291" t="s">
        <v>1039</v>
      </c>
      <c r="I10" s="1821" t="s">
        <v>1409</v>
      </c>
      <c r="J10" s="345">
        <f ca="1">ROUND(IF(M10="押一",J6/12*M11,IF(M10="押二",J6/12*2*M11,IF(M10="押三",J6/12*3*M11,J11*M11))),0)</f>
        <v>0</v>
      </c>
      <c r="K10" s="1822" t="s">
        <v>3028</v>
      </c>
      <c r="L10" s="357" t="s">
        <v>1410</v>
      </c>
      <c r="M10" s="1366" t="s">
        <v>1411</v>
      </c>
    </row>
    <row r="11" spans="1:37" ht="18" customHeight="1">
      <c r="A11" s="352"/>
      <c r="B11" s="1823" t="s">
        <v>1388</v>
      </c>
      <c r="C11" s="1178"/>
      <c r="D11" s="1824"/>
      <c r="E11" s="357" t="s">
        <v>1412</v>
      </c>
      <c r="F11" s="358">
        <f ca="1">'数据-取费表'!B39</f>
        <v>1.4999999999999999E-2</v>
      </c>
      <c r="G11" s="1849"/>
      <c r="H11" s="1299"/>
      <c r="I11" s="1823" t="s">
        <v>1388</v>
      </c>
      <c r="J11" s="1178"/>
      <c r="K11" s="747"/>
      <c r="L11" s="357"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4">
        <f ca="1">ROUND(C29*F13,0)</f>
        <v>3880</v>
      </c>
      <c r="D13" s="1331" t="s">
        <v>1415</v>
      </c>
      <c r="E13" s="1331" t="s">
        <v>1416</v>
      </c>
      <c r="F13" s="1332">
        <f ca="1">INDIRECT("'数据-取费表'!y"&amp;$G$1)</f>
        <v>0.77500000000000002</v>
      </c>
      <c r="G13" s="1849"/>
      <c r="H13" s="1329">
        <v>2</v>
      </c>
      <c r="I13" s="1330" t="s">
        <v>1414</v>
      </c>
      <c r="J13" s="1290">
        <f ca="1">ROUND(J14*J15,0)</f>
        <v>0</v>
      </c>
      <c r="K13" s="1337" t="s">
        <v>1415</v>
      </c>
      <c r="L13" s="1850"/>
      <c r="M13" s="1851"/>
    </row>
    <row r="14" spans="1:37" ht="18" customHeight="1">
      <c r="A14" s="1201" t="s">
        <v>1034</v>
      </c>
      <c r="B14" s="346" t="s">
        <v>1417</v>
      </c>
      <c r="C14" s="362">
        <f ca="1">INDIRECT("'数据-取费表'!m"&amp;$G$1)+INDIRECT("'数据-取费表'!t"&amp;$G$1)</f>
        <v>3311</v>
      </c>
      <c r="D14" s="1798" t="s">
        <v>1418</v>
      </c>
      <c r="E14" s="1792"/>
      <c r="F14" s="363"/>
      <c r="G14" s="1849"/>
      <c r="H14" s="1201" t="s">
        <v>1035</v>
      </c>
      <c r="I14" s="346" t="s">
        <v>1419</v>
      </c>
      <c r="J14" s="23">
        <f ca="1">C29</f>
        <v>5006</v>
      </c>
      <c r="K14" s="14"/>
      <c r="L14" s="981"/>
      <c r="M14" s="982"/>
    </row>
    <row r="15" spans="1:37" s="1856" customFormat="1" ht="18" customHeight="1" thickBot="1">
      <c r="A15" s="1201" t="s">
        <v>1036</v>
      </c>
      <c r="B15" s="346" t="s">
        <v>1420</v>
      </c>
      <c r="C15" s="23">
        <f ca="1">ROUND(C14*F15,0)</f>
        <v>99</v>
      </c>
      <c r="D15" s="364" t="s">
        <v>1421</v>
      </c>
      <c r="E15" s="364" t="s">
        <v>1422</v>
      </c>
      <c r="F15" s="365">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6" t="s">
        <v>1423</v>
      </c>
      <c r="C16" s="23">
        <f ca="1">ROUND(INDIRECT("'数据-取费表'!m"&amp;$G$1)*F16,0)</f>
        <v>0</v>
      </c>
      <c r="D16" s="346" t="s">
        <v>1421</v>
      </c>
      <c r="E16" s="346" t="s">
        <v>1422</v>
      </c>
      <c r="F16" s="366">
        <f ca="1">IF(INDIRECT("'数据-取费表'!c"&amp;$G$1)="住宅",'数据-取费表'!B34,0)</f>
        <v>0</v>
      </c>
      <c r="G16" s="1849"/>
      <c r="H16" s="1329" t="s">
        <v>1030</v>
      </c>
      <c r="I16" s="1330" t="s">
        <v>1424</v>
      </c>
      <c r="J16" s="354">
        <f ca="1">ROUND(J17+J22+J23+J24,0)</f>
        <v>119</v>
      </c>
      <c r="K16" s="1337" t="s">
        <v>1425</v>
      </c>
      <c r="L16" s="1338"/>
      <c r="M16" s="1294"/>
    </row>
    <row r="17" spans="1:37" s="1856" customFormat="1" ht="18" customHeight="1">
      <c r="A17" s="1201" t="s">
        <v>1390</v>
      </c>
      <c r="B17" s="346" t="s">
        <v>1426</v>
      </c>
      <c r="C17" s="23">
        <f ca="1">ROUND(F17*(F43+INDIRECT("'数据-取费表'!S"&amp;$G$1))/10000,0)</f>
        <v>166</v>
      </c>
      <c r="D17" s="346" t="s">
        <v>1427</v>
      </c>
      <c r="E17" s="346" t="s">
        <v>1428</v>
      </c>
      <c r="F17" s="25">
        <f>'数据-取费表'!B35</f>
        <v>200</v>
      </c>
      <c r="G17" s="1852"/>
      <c r="H17" s="1201" t="s">
        <v>1035</v>
      </c>
      <c r="I17" s="346" t="s">
        <v>1429</v>
      </c>
      <c r="J17" s="23">
        <f ca="1">ROUND(IF(项目基本情况!B11="自然人",J5*M17,J18+J19+J20),1)</f>
        <v>44.3</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6" t="s">
        <v>1432</v>
      </c>
      <c r="C18" s="23">
        <f ca="1">ROUND(C14*F18,0)</f>
        <v>50</v>
      </c>
      <c r="D18" s="346" t="s">
        <v>1421</v>
      </c>
      <c r="E18" s="346" t="s">
        <v>1422</v>
      </c>
      <c r="F18" s="366">
        <f>'数据-取费表'!B36</f>
        <v>1.4999999999999999E-2</v>
      </c>
      <c r="G18" s="1852"/>
      <c r="H18" s="1201" t="s">
        <v>1034</v>
      </c>
      <c r="I18" s="346" t="s">
        <v>1433</v>
      </c>
      <c r="J18" s="23">
        <f ca="1">ROUND(J5*M18/(1+'数据-取费表'!C42),2)</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6" t="s">
        <v>1435</v>
      </c>
      <c r="C19" s="23">
        <f ca="1">SUM(C14:C18)</f>
        <v>3626</v>
      </c>
      <c r="D19" s="139" t="s">
        <v>1436</v>
      </c>
      <c r="E19" s="1816"/>
      <c r="F19" s="25"/>
      <c r="G19" s="1849"/>
      <c r="H19" s="1201" t="s">
        <v>1036</v>
      </c>
      <c r="I19" s="346" t="s">
        <v>1437</v>
      </c>
      <c r="J19" s="23">
        <f ca="1">IF(K19="按租金收入计税",ROUND(J5*M19,2),ROUND(C29*M19*0.7,2))</f>
        <v>42.05</v>
      </c>
      <c r="K19" s="1826" t="s">
        <v>1438</v>
      </c>
      <c r="L19" s="346" t="s">
        <v>1422</v>
      </c>
      <c r="M19" s="366">
        <f>IF(K19="按租金收入计税",'数据-取费表'!B51,'数据-取费表'!B50)</f>
        <v>1.2E-2</v>
      </c>
    </row>
    <row r="20" spans="1:37" s="1856" customFormat="1" ht="18" customHeight="1">
      <c r="A20" s="1201" t="s">
        <v>1039</v>
      </c>
      <c r="B20" s="346" t="s">
        <v>1439</v>
      </c>
      <c r="C20" s="23">
        <f ca="1">ROUND(C19*F20,0)</f>
        <v>73</v>
      </c>
      <c r="D20" s="368" t="s">
        <v>1440</v>
      </c>
      <c r="E20" s="346" t="s">
        <v>1422</v>
      </c>
      <c r="F20" s="366">
        <f>'数据-取费表'!B37</f>
        <v>0.02</v>
      </c>
      <c r="G20" s="1852"/>
      <c r="H20" s="1201" t="s">
        <v>1389</v>
      </c>
      <c r="I20" s="163" t="s">
        <v>1441</v>
      </c>
      <c r="J20" s="24">
        <f ca="1">ROUND(M20*M21/10000,2)</f>
        <v>2.23</v>
      </c>
      <c r="K20" s="369" t="s">
        <v>1442</v>
      </c>
      <c r="L20" s="346" t="s">
        <v>1443</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6" t="s">
        <v>1444</v>
      </c>
      <c r="C21" s="23" t="s">
        <v>18</v>
      </c>
      <c r="D21" s="368" t="s">
        <v>1445</v>
      </c>
      <c r="E21" s="346" t="s">
        <v>1446</v>
      </c>
      <c r="F21" s="366">
        <f>'数据-取费表'!B38</f>
        <v>0.02</v>
      </c>
      <c r="G21" s="1852"/>
      <c r="H21" s="371"/>
      <c r="I21" s="355"/>
      <c r="J21" s="28"/>
      <c r="K21" s="372"/>
      <c r="L21" s="346" t="s">
        <v>1447</v>
      </c>
      <c r="M21" s="347">
        <f ca="1">INDIRECT("'数据-取费表'!r"&amp;$G$1)</f>
        <v>927.85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6"/>
      <c r="F22" s="25"/>
      <c r="G22" s="1849"/>
      <c r="H22" s="1201" t="s">
        <v>1039</v>
      </c>
      <c r="I22" s="346" t="s">
        <v>1449</v>
      </c>
      <c r="J22" s="23">
        <f ca="1">ROUND(J14*M22,1)</f>
        <v>75.099999999999994</v>
      </c>
      <c r="K22" s="1796" t="s">
        <v>1450</v>
      </c>
      <c r="L22" s="346" t="s">
        <v>1422</v>
      </c>
      <c r="M22" s="373">
        <f ca="1">INDIRECT("'数据-取费表'!Ak"&amp;$G$1)</f>
        <v>1.4999999999999999E-2</v>
      </c>
    </row>
    <row r="23" spans="1:37" s="1856" customFormat="1" ht="18" customHeight="1">
      <c r="A23" s="1201" t="s">
        <v>1034</v>
      </c>
      <c r="B23" s="346" t="s">
        <v>1451</v>
      </c>
      <c r="C23" s="23">
        <f ca="1">IF('数据-取费表'!B22&lt;=1,ROUND(C19*F24*F23/2,0)+ROUND(C20*F24*F23/2,0),ROUND(C19*(POWER((1+F24),F23/2)-1),0)+ROUND(C20*(POWER((1+F24),F23/2)-1),0))</f>
        <v>175</v>
      </c>
      <c r="D23" s="374" t="str">
        <f>IF(F23&lt;=1,"(建造成本+管理费用)×利率×(建设周期÷2)","(建造成本+管理费用)×((1+利率)^(建设周期÷2)-1)")</f>
        <v>(建造成本+管理费用)×((1+利率)^(建设周期÷2)-1)</v>
      </c>
      <c r="E23" s="346" t="s">
        <v>1452</v>
      </c>
      <c r="F23" s="370">
        <f>'数据-取费表'!B20</f>
        <v>2</v>
      </c>
      <c r="G23" s="1852"/>
      <c r="H23" s="1201" t="s">
        <v>1075</v>
      </c>
      <c r="I23" s="346" t="s">
        <v>1453</v>
      </c>
      <c r="J23" s="23">
        <f ca="1">ROUND(J13*M23,1)</f>
        <v>0</v>
      </c>
      <c r="K23" s="1796" t="s">
        <v>1454</v>
      </c>
      <c r="L23" s="346" t="s">
        <v>1455</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9" t="s">
        <v>1393</v>
      </c>
      <c r="I24" s="1340" t="s">
        <v>1439</v>
      </c>
      <c r="J24" s="1341">
        <f ca="1">ROUND(J5*M24,1)</f>
        <v>0</v>
      </c>
      <c r="K24" s="1342" t="s">
        <v>1459</v>
      </c>
      <c r="L24" s="1340" t="s">
        <v>1455</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1460</v>
      </c>
      <c r="B25" s="346" t="s">
        <v>1461</v>
      </c>
      <c r="C25" s="23"/>
      <c r="D25" s="139" t="s">
        <v>1462</v>
      </c>
      <c r="E25" s="1816"/>
      <c r="F25" s="25"/>
      <c r="G25" s="1849"/>
      <c r="H25" s="1329" t="s">
        <v>1031</v>
      </c>
      <c r="I25" s="1344" t="s">
        <v>1463</v>
      </c>
      <c r="J25" s="354">
        <f ca="1">J5-J16</f>
        <v>-119</v>
      </c>
      <c r="K25" s="1345" t="s">
        <v>1464</v>
      </c>
      <c r="L25" s="1346"/>
      <c r="M25" s="1347"/>
    </row>
    <row r="26" spans="1:37">
      <c r="A26" s="1201" t="s">
        <v>1034</v>
      </c>
      <c r="B26" s="346" t="s">
        <v>1465</v>
      </c>
      <c r="C26" s="23">
        <f ca="1">ROUND((C19+C20)*F26,0)</f>
        <v>740</v>
      </c>
      <c r="D26" s="368" t="s">
        <v>1466</v>
      </c>
      <c r="E26" s="357" t="s">
        <v>1467</v>
      </c>
      <c r="F26" s="356">
        <f ca="1">INDIRECT("'数据-取费表'!q"&amp;$G$1)</f>
        <v>0.2</v>
      </c>
      <c r="G26" s="1849"/>
      <c r="H26" s="343" t="s">
        <v>1032</v>
      </c>
      <c r="I26" s="344" t="s">
        <v>1468</v>
      </c>
      <c r="J26" s="345">
        <f ca="1">IF(J5&lt;&gt;0,ROUND(J25*(1-((1+M28)/(1+M26))^M27)/(M26-M28),0),0)</f>
        <v>0</v>
      </c>
      <c r="K26" s="369" t="s">
        <v>1469</v>
      </c>
      <c r="L26" s="346" t="s">
        <v>1470</v>
      </c>
      <c r="M26" s="356">
        <f ca="1">INDIRECT("'数据-取费表'!I"&amp;$G$1)</f>
        <v>5.5E-2</v>
      </c>
    </row>
    <row r="27" spans="1:37" ht="18" customHeight="1">
      <c r="A27" s="1201" t="s">
        <v>1036</v>
      </c>
      <c r="B27" s="346" t="s">
        <v>1471</v>
      </c>
      <c r="C27" s="23">
        <f ca="1">ROUND(F21*F26,4)</f>
        <v>4.0000000000000001E-3</v>
      </c>
      <c r="D27" s="368" t="s">
        <v>1472</v>
      </c>
      <c r="E27" s="364"/>
      <c r="F27" s="365"/>
      <c r="G27" s="1849"/>
      <c r="H27" s="348"/>
      <c r="I27" s="349"/>
      <c r="J27" s="350"/>
      <c r="K27" s="377" t="s">
        <v>1473</v>
      </c>
      <c r="L27" s="346" t="s">
        <v>1474</v>
      </c>
      <c r="M27" s="378">
        <f ca="1">INDIRECT("'数据-取费表'!ag"&amp;$G$1)</f>
        <v>0</v>
      </c>
    </row>
    <row r="28" spans="1:37" s="1856" customFormat="1" ht="18" customHeight="1">
      <c r="A28" s="1201"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5006</v>
      </c>
      <c r="D29" s="1342"/>
      <c r="E29" s="1340"/>
      <c r="F29" s="1343"/>
      <c r="G29" s="1852"/>
      <c r="H29" s="379" t="s">
        <v>1033</v>
      </c>
      <c r="I29" s="380" t="s">
        <v>1479</v>
      </c>
      <c r="J29" s="381">
        <f ca="1">ROUND(J26/(1+F40)^F41,0)</f>
        <v>0</v>
      </c>
      <c r="K29" s="382" t="s">
        <v>1480</v>
      </c>
      <c r="L29" s="383"/>
      <c r="M29" s="384">
        <f ca="1">INDIRECT("'数据-取费表'!k"&amp;$G$1)</f>
        <v>8276.64</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4">
        <f ca="1">ROUND(C31+C36+C37+C38,0)</f>
        <v>363</v>
      </c>
      <c r="D30" s="1337" t="s">
        <v>1425</v>
      </c>
      <c r="E30" s="1338"/>
      <c r="F30" s="1294"/>
      <c r="G30" s="1849"/>
      <c r="H30" s="744"/>
      <c r="I30" s="745"/>
      <c r="J30" s="746"/>
      <c r="K30" s="747"/>
      <c r="L30" s="748"/>
      <c r="M30" s="749"/>
    </row>
    <row r="31" spans="1:37" ht="18" customHeight="1">
      <c r="A31" s="1201" t="s">
        <v>1035</v>
      </c>
      <c r="B31" s="346" t="s">
        <v>1429</v>
      </c>
      <c r="C31" s="23">
        <f ca="1">ROUND(IF(项目基本情况!B11="自然人",C5*F31,C32+C33+C34),1)</f>
        <v>266.60000000000002</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6" t="s">
        <v>1433</v>
      </c>
      <c r="C32" s="23">
        <f ca="1">IF(项目基本情况!B11="自然人","——",ROUND(C5*F32/(1+'数据-取费表'!C42),2))</f>
        <v>81.33</v>
      </c>
      <c r="D32" s="1796" t="s">
        <v>1434</v>
      </c>
      <c r="E32" s="346" t="s">
        <v>1422</v>
      </c>
      <c r="F32" s="376">
        <f>'数据-取费表'!B41</f>
        <v>5.6000000000000001E-2</v>
      </c>
      <c r="G32" s="1849"/>
      <c r="H32" s="744"/>
      <c r="I32" s="745"/>
      <c r="J32" s="746"/>
      <c r="K32" s="747"/>
      <c r="L32" s="748"/>
      <c r="M32" s="749"/>
    </row>
    <row r="33" spans="1:18" ht="18" customHeight="1">
      <c r="A33" s="1201" t="s">
        <v>1036</v>
      </c>
      <c r="B33" s="346" t="s">
        <v>1437</v>
      </c>
      <c r="C33" s="23">
        <f ca="1">IF(项目基本情况!B11="自然人","——",IF(D33="按租金收入计税",ROUND(C5*F33,2),IF(D33="按房产原值计税",ROUND(C29*F33*0.7,2),INDIRECT("'数据-取费表'!Aj"&amp;$G$1))))</f>
        <v>183</v>
      </c>
      <c r="D33" s="1826" t="s">
        <v>3083</v>
      </c>
      <c r="E33" s="346" t="s">
        <v>1422</v>
      </c>
      <c r="F33" s="366">
        <f>IF(D33="按票据","——",IF(D33="按租金收入计税",'数据-取费表'!B51,'数据-取费表'!B50))</f>
        <v>0.12</v>
      </c>
      <c r="G33" s="1849"/>
      <c r="H33" s="1857"/>
      <c r="I33" s="1858"/>
      <c r="J33" s="1859"/>
      <c r="K33" s="1860"/>
      <c r="L33" s="1857"/>
      <c r="M33" s="1857"/>
    </row>
    <row r="34" spans="1:18" ht="18" customHeight="1">
      <c r="A34" s="1291" t="s">
        <v>1389</v>
      </c>
      <c r="B34" s="163" t="s">
        <v>1441</v>
      </c>
      <c r="C34" s="24">
        <f ca="1">IF(项目基本情况!B11="自然人","——",ROUND(F34*F35/10000,2))</f>
        <v>2.23</v>
      </c>
      <c r="D34" s="369" t="s">
        <v>1442</v>
      </c>
      <c r="E34" s="346" t="s">
        <v>1443</v>
      </c>
      <c r="F34" s="370">
        <f>'数据-取费表'!B52</f>
        <v>24</v>
      </c>
      <c r="G34" s="1849"/>
      <c r="H34" s="744"/>
      <c r="I34" s="1858"/>
      <c r="J34" s="1859"/>
      <c r="K34" s="1861"/>
      <c r="L34" s="1862"/>
      <c r="M34" s="1862"/>
    </row>
    <row r="35" spans="1:18" ht="18" customHeight="1">
      <c r="A35" s="1353"/>
      <c r="B35" s="1351"/>
      <c r="C35" s="28"/>
      <c r="D35" s="372"/>
      <c r="E35" s="346" t="s">
        <v>1447</v>
      </c>
      <c r="F35" s="347">
        <f ca="1">INDIRECT("'数据-取费表'!r"&amp;$G$1)</f>
        <v>927.85</v>
      </c>
      <c r="G35" s="1849"/>
      <c r="H35" s="744"/>
      <c r="I35" s="1858"/>
      <c r="J35" s="1859"/>
      <c r="K35" s="1860"/>
      <c r="L35" s="1857"/>
      <c r="M35" s="1857"/>
    </row>
    <row r="36" spans="1:18" ht="18" customHeight="1">
      <c r="A36" s="1352" t="s">
        <v>1039</v>
      </c>
      <c r="B36" s="346" t="s">
        <v>1449</v>
      </c>
      <c r="C36" s="23">
        <f ca="1">ROUND(C29*F36,1)</f>
        <v>75.099999999999994</v>
      </c>
      <c r="D36" s="1796" t="s">
        <v>1482</v>
      </c>
      <c r="E36" s="346" t="s">
        <v>1422</v>
      </c>
      <c r="F36" s="373">
        <f ca="1">INDIRECT("'数据-取费表'!Ak"&amp;$G$1)</f>
        <v>1.4999999999999999E-2</v>
      </c>
      <c r="G36" s="1849"/>
      <c r="H36" s="1857"/>
      <c r="I36" s="1858"/>
      <c r="J36" s="1859"/>
      <c r="K36" s="750"/>
      <c r="L36" s="1857"/>
      <c r="M36" s="1857"/>
    </row>
    <row r="37" spans="1:18" ht="18" customHeight="1">
      <c r="A37" s="1201" t="s">
        <v>1075</v>
      </c>
      <c r="B37" s="346" t="s">
        <v>1453</v>
      </c>
      <c r="C37" s="23">
        <f ca="1">ROUND(C13*F37,1)</f>
        <v>5.8</v>
      </c>
      <c r="D37" s="1796" t="s">
        <v>1454</v>
      </c>
      <c r="E37" s="346" t="s">
        <v>1455</v>
      </c>
      <c r="F37" s="375">
        <f ca="1">INDIRECT("'数据-取费表'!Al"&amp;$G$1)</f>
        <v>1.5E-3</v>
      </c>
      <c r="G37" s="1849"/>
      <c r="H37" s="1857"/>
      <c r="I37" s="1858"/>
      <c r="J37" s="1859"/>
      <c r="K37" s="750"/>
      <c r="L37" s="1857"/>
      <c r="M37" s="1857"/>
    </row>
    <row r="38" spans="1:18" ht="18" customHeight="1" thickBot="1">
      <c r="A38" s="1339" t="s">
        <v>1393</v>
      </c>
      <c r="B38" s="1340" t="s">
        <v>1439</v>
      </c>
      <c r="C38" s="1341">
        <f ca="1">ROUND(C5*F38,1)</f>
        <v>15.3</v>
      </c>
      <c r="D38" s="1342" t="s">
        <v>1459</v>
      </c>
      <c r="E38" s="1340" t="s">
        <v>1455</v>
      </c>
      <c r="F38" s="1336">
        <f ca="1">INDIRECT("'数据-取费表'!Am"&amp;$G$1)</f>
        <v>0.01</v>
      </c>
      <c r="G38" s="1849"/>
      <c r="H38" s="1857"/>
      <c r="I38" s="1858"/>
      <c r="J38" s="1859"/>
      <c r="K38" s="1863"/>
      <c r="L38" s="1857"/>
      <c r="M38" s="1857"/>
    </row>
    <row r="39" spans="1:18" ht="24.6" customHeight="1" thickTop="1">
      <c r="A39" s="1329" t="s">
        <v>1031</v>
      </c>
      <c r="B39" s="1344" t="s">
        <v>1483</v>
      </c>
      <c r="C39" s="354">
        <f ca="1">C5-C30</f>
        <v>1162</v>
      </c>
      <c r="D39" s="1345" t="s">
        <v>1484</v>
      </c>
      <c r="E39" s="1346"/>
      <c r="F39" s="1347"/>
      <c r="G39" s="1849"/>
      <c r="H39" s="1857"/>
      <c r="I39" s="1858"/>
      <c r="J39" s="1859"/>
      <c r="K39" s="1863"/>
      <c r="L39" s="1857"/>
      <c r="M39" s="1857"/>
    </row>
    <row r="40" spans="1:18" ht="18" customHeight="1">
      <c r="A40" s="343" t="s">
        <v>1032</v>
      </c>
      <c r="B40" s="344" t="s">
        <v>1485</v>
      </c>
      <c r="C40" s="345">
        <f ca="1">ROUND(C39*(1-((1+F42)/(1+F40))^F41)/(F40-F42),0)</f>
        <v>25181</v>
      </c>
      <c r="D40" s="369" t="s">
        <v>1469</v>
      </c>
      <c r="E40" s="346" t="s">
        <v>1470</v>
      </c>
      <c r="F40" s="356">
        <f ca="1">INDIRECT("'数据-取费表'!I"&amp;$G$1)</f>
        <v>5.5E-2</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32.54</v>
      </c>
      <c r="G41" s="1849"/>
      <c r="H41" s="731"/>
      <c r="I41" s="1858"/>
      <c r="J41" s="1859"/>
      <c r="K41" s="750"/>
      <c r="L41" s="731"/>
      <c r="M41" s="731"/>
    </row>
    <row r="42" spans="1:18" ht="18" customHeight="1">
      <c r="A42" s="352"/>
      <c r="B42" s="353"/>
      <c r="C42" s="354"/>
      <c r="D42" s="372"/>
      <c r="E42" s="346" t="s">
        <v>1477</v>
      </c>
      <c r="F42" s="356">
        <f ca="1">INDIRECT("'数据-取费表'!v"&amp;$G$1)</f>
        <v>0.03</v>
      </c>
      <c r="G42" s="1849"/>
      <c r="H42" s="731"/>
      <c r="I42" s="1858"/>
      <c r="J42" s="1859"/>
      <c r="K42" s="750"/>
      <c r="L42" s="731"/>
      <c r="M42" s="731"/>
    </row>
    <row r="43" spans="1:18" ht="18" customHeight="1" thickBot="1">
      <c r="A43" s="379" t="s">
        <v>1033</v>
      </c>
      <c r="B43" s="380" t="s">
        <v>1487</v>
      </c>
      <c r="C43" s="381">
        <f ca="1">ROUND(C40*10000/F43,0)</f>
        <v>30424</v>
      </c>
      <c r="D43" s="382" t="s">
        <v>1488</v>
      </c>
      <c r="E43" s="383" t="s">
        <v>1489</v>
      </c>
      <c r="F43" s="384">
        <f ca="1">INDIRECT("'数据-取费表'!k"&amp;$G$1)</f>
        <v>8276.64</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1519</v>
      </c>
      <c r="P45" s="1837"/>
      <c r="Q45" s="1837"/>
      <c r="R45" s="1837"/>
    </row>
    <row r="46" spans="1:18" s="1840" customFormat="1" ht="13.5" thickBot="1">
      <c r="A46" s="1868" t="s">
        <v>1520</v>
      </c>
      <c r="C46" s="1869">
        <f ca="1">C68-C40</f>
        <v>-32740</v>
      </c>
      <c r="D46" s="1870" t="str">
        <f>C2</f>
        <v>万元</v>
      </c>
      <c r="E46" s="1864"/>
      <c r="F46" s="1864"/>
      <c r="I46" s="1871" t="s">
        <v>1521</v>
      </c>
      <c r="J46" s="1872"/>
      <c r="K46" s="1873"/>
      <c r="L46" s="1874" t="str">
        <f ca="1">IF(M47="住宅",0,IF(L48&gt;J51,L60,J60))</f>
        <v>0</v>
      </c>
      <c r="O46" s="1875" t="s">
        <v>1522</v>
      </c>
      <c r="P46" s="1876" t="s">
        <v>1523</v>
      </c>
      <c r="Q46" s="1877" t="s">
        <v>1524</v>
      </c>
      <c r="R46" s="1877" t="s">
        <v>1525</v>
      </c>
    </row>
    <row r="47" spans="1:18" s="1840" customFormat="1" ht="13.5" thickBot="1">
      <c r="A47" s="1165" t="s">
        <v>1396</v>
      </c>
      <c r="B47" s="1197" t="s">
        <v>1397</v>
      </c>
      <c r="C47" s="1367" t="s">
        <v>1398</v>
      </c>
      <c r="D47" s="1197" t="s">
        <v>1399</v>
      </c>
      <c r="E47" s="1279" t="s">
        <v>1400</v>
      </c>
      <c r="F47" s="1280"/>
      <c r="G47" s="791"/>
      <c r="I47" s="1878" t="s">
        <v>1526</v>
      </c>
      <c r="J47" s="1879" t="s">
        <v>3085</v>
      </c>
      <c r="K47" s="1880" t="s">
        <v>1527</v>
      </c>
      <c r="L47" s="1881">
        <f ca="1">INDIRECT("'数据-取费表'!d"&amp;$G$1)</f>
        <v>50</v>
      </c>
      <c r="M47" s="1836" t="str">
        <f>IF(ISNUMBER(FIND("住宅",C1)),"住宅","非住宅")</f>
        <v>非住宅</v>
      </c>
      <c r="O47" s="1882" t="s">
        <v>1040</v>
      </c>
      <c r="P47" s="1883" t="s">
        <v>1528</v>
      </c>
      <c r="Q47" s="1884">
        <f ca="1">C40+J29</f>
        <v>25181</v>
      </c>
      <c r="R47" s="1884" t="s">
        <v>1529</v>
      </c>
    </row>
    <row r="48" spans="1:18" s="1840" customFormat="1" ht="28.5" thickBot="1">
      <c r="A48" s="1360" t="s">
        <v>1135</v>
      </c>
      <c r="B48" s="344" t="s">
        <v>1401</v>
      </c>
      <c r="C48" s="1815">
        <f ca="1">C49+C53+C55</f>
        <v>0</v>
      </c>
      <c r="D48" s="1362"/>
      <c r="E48" s="1363"/>
      <c r="F48" s="1181"/>
      <c r="G48" s="791"/>
      <c r="H48" s="792"/>
      <c r="I48" s="1885" t="s">
        <v>1530</v>
      </c>
      <c r="J48" s="1886" t="s">
        <v>3086</v>
      </c>
      <c r="K48" s="1887" t="s">
        <v>1531</v>
      </c>
      <c r="L48" s="1888">
        <f ca="1">INDIRECT("'数据-取费表'!f"&amp;$G$1)</f>
        <v>32.54</v>
      </c>
      <c r="O48" s="1882" t="s">
        <v>1041</v>
      </c>
      <c r="P48" s="1883" t="s">
        <v>1532</v>
      </c>
      <c r="Q48" s="1884" t="str">
        <f ca="1">J60</f>
        <v>0</v>
      </c>
      <c r="R48" s="1884" t="s">
        <v>1533</v>
      </c>
    </row>
    <row r="49" spans="1:18" s="1840" customFormat="1" ht="13.5" thickBot="1">
      <c r="A49" s="1194" t="s">
        <v>1136</v>
      </c>
      <c r="B49" s="1827" t="s">
        <v>1490</v>
      </c>
      <c r="C49" s="1364">
        <f ca="1">ROUND(F49*F51*F50*(1-F52)/10000,0)</f>
        <v>0</v>
      </c>
      <c r="D49" s="1276" t="s">
        <v>3021</v>
      </c>
      <c r="E49" s="1828" t="s">
        <v>1491</v>
      </c>
      <c r="F49" s="1281"/>
      <c r="G49" s="1889"/>
      <c r="H49" s="792"/>
      <c r="I49" s="1885" t="s">
        <v>1534</v>
      </c>
      <c r="J49" s="1890">
        <v>2003</v>
      </c>
      <c r="K49" s="1887" t="s">
        <v>1535</v>
      </c>
      <c r="L49" s="1891"/>
      <c r="O49" s="1892" t="s">
        <v>1042</v>
      </c>
      <c r="P49" s="1883" t="s">
        <v>1536</v>
      </c>
      <c r="Q49" s="1884">
        <f ca="1">C29</f>
        <v>5006</v>
      </c>
      <c r="R49" s="1884" t="s">
        <v>1529</v>
      </c>
    </row>
    <row r="50" spans="1:18" s="1840" customFormat="1" ht="13.5" thickBot="1">
      <c r="A50" s="1195"/>
      <c r="B50" s="1198"/>
      <c r="C50" s="1368"/>
      <c r="D50" s="1172"/>
      <c r="E50" s="1277" t="s">
        <v>1406</v>
      </c>
      <c r="F50" s="1278">
        <f ca="1">F7</f>
        <v>8276.64</v>
      </c>
      <c r="H50" s="792"/>
      <c r="I50" s="1885" t="s">
        <v>1537</v>
      </c>
      <c r="J50" s="1893">
        <f>SUMPRODUCT((I63:I65=J47)*(J62:L62=J48)*(J63:L65))</f>
        <v>60</v>
      </c>
      <c r="K50" s="1887" t="s">
        <v>1538</v>
      </c>
      <c r="L50" s="1891"/>
      <c r="M50" s="1894"/>
      <c r="O50" s="1892" t="s">
        <v>1043</v>
      </c>
      <c r="P50" s="1883" t="s">
        <v>1539</v>
      </c>
      <c r="Q50" s="1895" t="e">
        <f ca="1">J58</f>
        <v>#VALUE!</v>
      </c>
      <c r="R50" s="1884"/>
    </row>
    <row r="51" spans="1:18" s="1840" customFormat="1" ht="13.5" thickBot="1">
      <c r="A51" s="1196"/>
      <c r="B51" s="1198"/>
      <c r="C51" s="1199"/>
      <c r="D51" s="1172"/>
      <c r="E51" s="1200" t="s">
        <v>1407</v>
      </c>
      <c r="F51" s="347">
        <f ca="1">F8</f>
        <v>365</v>
      </c>
      <c r="I51" s="1896" t="s">
        <v>1540</v>
      </c>
      <c r="J51" s="1897">
        <f>IF(J49="",J50,J49+J50-YEAR('数据-取费表'!B2))</f>
        <v>45</v>
      </c>
      <c r="K51" s="1898" t="s">
        <v>1541</v>
      </c>
      <c r="L51" s="1899">
        <f ca="1">ROUND(-PV(INDIRECT("'数据-取费表'!h"&amp;$G$1),L48,(C39-C13*C76),0),0)</f>
        <v>13242</v>
      </c>
      <c r="M51" s="1900"/>
      <c r="O51" s="1892" t="s">
        <v>1044</v>
      </c>
      <c r="P51" s="1883" t="s">
        <v>1542</v>
      </c>
      <c r="Q51" s="1895">
        <f>J52</f>
        <v>0.09</v>
      </c>
      <c r="R51" s="1884"/>
    </row>
    <row r="52" spans="1:18" s="1840" customFormat="1" ht="13.5" thickBot="1">
      <c r="A52" s="1196"/>
      <c r="B52" s="1198"/>
      <c r="C52" s="1199"/>
      <c r="D52" s="1172"/>
      <c r="E52" s="1200" t="s">
        <v>1408</v>
      </c>
      <c r="F52" s="1275"/>
      <c r="I52" s="1901" t="s">
        <v>1543</v>
      </c>
      <c r="J52" s="1902">
        <v>0.09</v>
      </c>
      <c r="K52" s="1901" t="s">
        <v>1544</v>
      </c>
      <c r="L52" s="1902"/>
      <c r="O52" s="1892" t="s">
        <v>1045</v>
      </c>
      <c r="P52" s="1883" t="s">
        <v>1545</v>
      </c>
      <c r="Q52" s="1884">
        <f ca="1">J53</f>
        <v>32.54</v>
      </c>
      <c r="R52" s="1884" t="s">
        <v>1546</v>
      </c>
    </row>
    <row r="53" spans="1:18" s="1840" customFormat="1" ht="24.75" thickBot="1">
      <c r="A53" s="1404" t="s">
        <v>1137</v>
      </c>
      <c r="B53" s="1829" t="s">
        <v>1409</v>
      </c>
      <c r="C53" s="360">
        <f ca="1">ROUND(IF(F53="押一",C49/12*F11,IF(F53="押二",C49/12*2*F11,IF(F53="押三",C49/12*3*F11,C54*F11))),0)</f>
        <v>0</v>
      </c>
      <c r="D53" s="1822" t="s">
        <v>3028</v>
      </c>
      <c r="E53" s="357" t="s">
        <v>1410</v>
      </c>
      <c r="F53" s="1366"/>
      <c r="I53" s="1903" t="s">
        <v>1547</v>
      </c>
      <c r="J53" s="1904">
        <f ca="1">IF(M47="住宅",IF(D1="——",MAX(J51,L48),IF(D1="在建（套用方法）",MAX(J51,L48-'数据-取费表'!B24),MAX(J51,L48-'数据-取费表'!B20))),IF(D1="——",MIN(J51,L48),IF(D1="在建（套用方法）",MIN(J51,L48-'数据-取费表'!B24),IF(D1="土地（套用方法）",MIN(J51,L48-'数据-取费表'!B20)))))</f>
        <v>32.54</v>
      </c>
      <c r="K53" s="3187" t="s">
        <v>1548</v>
      </c>
      <c r="L53" s="3188"/>
      <c r="O53" s="1882" t="s">
        <v>1046</v>
      </c>
      <c r="P53" s="1883" t="s">
        <v>1549</v>
      </c>
      <c r="Q53" s="1884">
        <f ca="1">Q47+Q48</f>
        <v>25181</v>
      </c>
      <c r="R53" s="1884" t="s">
        <v>1047</v>
      </c>
    </row>
    <row r="54" spans="1:18" s="1840" customFormat="1" ht="13.5" thickBot="1">
      <c r="A54" s="1405"/>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#VALUE!</v>
      </c>
      <c r="K55" s="1910" t="s">
        <v>1552</v>
      </c>
      <c r="L55" s="1911" t="s">
        <v>1553</v>
      </c>
      <c r="O55" s="1875" t="s">
        <v>1522</v>
      </c>
      <c r="P55" s="1876" t="s">
        <v>1523</v>
      </c>
      <c r="Q55" s="1877" t="s">
        <v>1524</v>
      </c>
      <c r="R55" s="1877" t="s">
        <v>1525</v>
      </c>
    </row>
    <row r="56" spans="1:18" s="1840" customFormat="1" ht="25.5" thickTop="1" thickBot="1">
      <c r="A56" s="1176">
        <v>2</v>
      </c>
      <c r="B56" s="1177" t="s">
        <v>1414</v>
      </c>
      <c r="C56" s="275">
        <f ca="1">C13</f>
        <v>3880</v>
      </c>
      <c r="D56" s="1912"/>
      <c r="E56" s="1913"/>
      <c r="F56" s="1905"/>
      <c r="I56" s="1914" t="s">
        <v>1554</v>
      </c>
      <c r="J56" s="1915" t="s">
        <v>3051</v>
      </c>
      <c r="K56" s="1885" t="s">
        <v>1555</v>
      </c>
      <c r="L56" s="1888" t="str">
        <f ca="1">IF(L48&lt;J51,"——",L48-J53)</f>
        <v>——</v>
      </c>
      <c r="O56" s="1882" t="s">
        <v>1040</v>
      </c>
      <c r="P56" s="1883" t="s">
        <v>1528</v>
      </c>
      <c r="Q56" s="1884">
        <f ca="1">C40+J29</f>
        <v>25181</v>
      </c>
      <c r="R56" s="1884" t="s">
        <v>1529</v>
      </c>
    </row>
    <row r="57" spans="1:18" s="1840" customFormat="1" ht="24.75" thickBot="1">
      <c r="A57" s="1916"/>
      <c r="B57" s="1169" t="s">
        <v>1478</v>
      </c>
      <c r="C57" s="281">
        <f ca="1">C29</f>
        <v>5006</v>
      </c>
      <c r="D57" s="1917"/>
      <c r="E57" s="1918"/>
      <c r="F57" s="1919"/>
      <c r="I57" s="1920" t="s">
        <v>1556</v>
      </c>
      <c r="J57" s="1921" t="str">
        <f ca="1">IF(OR(M47="住宅",J51&lt;L48,J56="是"),"——",J51-L48)</f>
        <v>——</v>
      </c>
      <c r="K57" s="1885" t="s">
        <v>1557</v>
      </c>
      <c r="L57" s="1888" t="str">
        <f ca="1">IF(L48&lt;J51,"——",IF(L55="比较法",L49,IF(L55="基准地价",L50,L51)))</f>
        <v>——</v>
      </c>
      <c r="O57" s="1882" t="s">
        <v>1041</v>
      </c>
      <c r="P57" s="1883" t="s">
        <v>1558</v>
      </c>
      <c r="Q57" s="1884">
        <f ca="1">L60</f>
        <v>0</v>
      </c>
      <c r="R57" s="1884" t="s">
        <v>1559</v>
      </c>
    </row>
    <row r="58" spans="1:18" s="1840" customFormat="1" ht="24.75" thickBot="1">
      <c r="A58" s="359" t="s">
        <v>1030</v>
      </c>
      <c r="B58" s="1177" t="s">
        <v>1424</v>
      </c>
      <c r="C58" s="360">
        <f ca="1">ROUND(C59+C64+C65+C66,0)</f>
        <v>504</v>
      </c>
      <c r="D58" s="1179" t="s">
        <v>1425</v>
      </c>
      <c r="E58" s="1180"/>
      <c r="F58" s="1181"/>
      <c r="I58" s="1920" t="s">
        <v>1560</v>
      </c>
      <c r="J58" s="1922" t="e">
        <f ca="1">IF(J55&lt;0.4,0.4,J55)</f>
        <v>#VALUE!</v>
      </c>
      <c r="K58" s="1898" t="s">
        <v>1561</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3">
        <f ca="1">ROUND(IF(项目基本情况!B11="自然人",C48*F59,C60+C61+C62),1)</f>
        <v>422.7</v>
      </c>
      <c r="D59" s="1182" t="s">
        <v>1430</v>
      </c>
      <c r="E59" s="1183" t="s">
        <v>1431</v>
      </c>
      <c r="F59" s="367" t="str">
        <f ca="1">IF(项目基本情况!B11="企业","",IF(INDIRECT("'数据-取费表'!c"&amp;$G$1)="住宅",5%,IF(F49*F50*F51/12/(1+'数据-取费表'!C42)&gt;20000,12%,7%)))</f>
        <v/>
      </c>
      <c r="I59" s="1920" t="s">
        <v>1563</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3">
        <f ca="1">IF(项目基本情况!B11="自然人","——",ROUND(C48*F60/(1+'数据-取费表'!C42),2))</f>
        <v>0</v>
      </c>
      <c r="D60" s="1183" t="s">
        <v>1434</v>
      </c>
      <c r="E60" s="1169" t="s">
        <v>1422</v>
      </c>
      <c r="F60" s="376">
        <f t="shared" ref="F60:F66" si="0">F32</f>
        <v>5.6000000000000001E-2</v>
      </c>
      <c r="I60" s="1923" t="s">
        <v>1565</v>
      </c>
      <c r="J60" s="1924" t="str">
        <f ca="1">IF(OR(M47="住宅",J51&lt;L48,J56="是"),"0",ROUND(J59/(1+J52)^J53,0))</f>
        <v>0</v>
      </c>
      <c r="K60" s="1925" t="s">
        <v>1566</v>
      </c>
      <c r="L60" s="1924">
        <f ca="1">IF(OR(M47="住宅",L48&lt;J51),0,ROUND(L57*(L58/L59-1),0))</f>
        <v>0</v>
      </c>
      <c r="O60" s="1892" t="s">
        <v>1044</v>
      </c>
      <c r="P60" s="1883" t="s">
        <v>1567</v>
      </c>
      <c r="Q60" s="1884" t="e">
        <f ca="1">L58</f>
        <v>#DIV/0!</v>
      </c>
      <c r="R60" s="1884" t="s">
        <v>1568</v>
      </c>
    </row>
    <row r="61" spans="1:18" s="1840" customFormat="1" ht="13.5" thickBot="1">
      <c r="A61" s="1201" t="s">
        <v>1492</v>
      </c>
      <c r="B61" s="1169" t="s">
        <v>1493</v>
      </c>
      <c r="C61" s="23">
        <f ca="1">IF(项目基本情况!B11="自然人","——",IF(D61="按租金收入计税",ROUND(C48*F61,2),IF(D61="按房产原值计税",ROUND(C57*F61*0.7,2),INDIRECT("'数据-取费表'!Aj"&amp;$G$1))))</f>
        <v>420.5</v>
      </c>
      <c r="D61" s="1826" t="s">
        <v>1438</v>
      </c>
      <c r="E61" s="1169" t="s">
        <v>1494</v>
      </c>
      <c r="F61" s="366">
        <f t="shared" si="0"/>
        <v>0.12</v>
      </c>
      <c r="I61" s="1926"/>
      <c r="J61" s="1926"/>
      <c r="K61" s="1926"/>
      <c r="L61" s="1926"/>
      <c r="O61" s="1892" t="s">
        <v>1045</v>
      </c>
      <c r="P61" s="1883" t="str">
        <f>K59</f>
        <v>建筑物剩余耐用年限下的土地年期修正系数Kn</v>
      </c>
      <c r="Q61" s="1884" t="e">
        <f ca="1">L59</f>
        <v>#DIV/0!</v>
      </c>
      <c r="R61" s="1884" t="s">
        <v>1569</v>
      </c>
    </row>
    <row r="62" spans="1:18" s="1840" customFormat="1" ht="13.5" thickBot="1">
      <c r="A62" s="1201" t="s">
        <v>1495</v>
      </c>
      <c r="B62" s="1168" t="s">
        <v>1496</v>
      </c>
      <c r="C62" s="24">
        <f ca="1">IF(项目基本情况!B11="自然人","——",ROUND(F62*F63/10000,2))</f>
        <v>2.23</v>
      </c>
      <c r="D62" s="1184" t="s">
        <v>1497</v>
      </c>
      <c r="E62" s="1169" t="s">
        <v>1498</v>
      </c>
      <c r="F62" s="370">
        <f t="shared" si="0"/>
        <v>24</v>
      </c>
      <c r="I62" s="1927" t="s">
        <v>1570</v>
      </c>
      <c r="J62" s="1928" t="s">
        <v>1571</v>
      </c>
      <c r="K62" s="1928" t="s">
        <v>1572</v>
      </c>
      <c r="L62" s="1928" t="s">
        <v>1573</v>
      </c>
      <c r="M62" s="1929" t="s">
        <v>1574</v>
      </c>
      <c r="O62" s="1882" t="s">
        <v>1046</v>
      </c>
      <c r="P62" s="1883" t="s">
        <v>1575</v>
      </c>
      <c r="Q62" s="1884">
        <f ca="1">Q56+Q57</f>
        <v>25181</v>
      </c>
      <c r="R62" s="1884" t="s">
        <v>1047</v>
      </c>
    </row>
    <row r="63" spans="1:18" s="1840" customFormat="1" ht="13.5" thickBot="1">
      <c r="A63" s="371"/>
      <c r="B63" s="1175"/>
      <c r="C63" s="28"/>
      <c r="D63" s="1185"/>
      <c r="E63" s="1169" t="s">
        <v>1499</v>
      </c>
      <c r="F63" s="347">
        <f t="shared" ca="1" si="0"/>
        <v>927.85</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3">
        <f ca="1">ROUND(C57*F64,1)</f>
        <v>75.099999999999994</v>
      </c>
      <c r="D64" s="1183" t="s">
        <v>1502</v>
      </c>
      <c r="E64" s="1169" t="s">
        <v>1494</v>
      </c>
      <c r="F64" s="373">
        <f t="shared" ca="1" si="0"/>
        <v>1.4999999999999999E-2</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3">
        <f ca="1">ROUND(C56*F65,1)</f>
        <v>5.8</v>
      </c>
      <c r="D65" s="1183" t="s">
        <v>1454</v>
      </c>
      <c r="E65" s="1169" t="s">
        <v>1455</v>
      </c>
      <c r="F65" s="375">
        <f t="shared" ca="1" si="0"/>
        <v>1.5E-3</v>
      </c>
      <c r="I65" s="1927" t="s">
        <v>1579</v>
      </c>
      <c r="J65" s="1928">
        <v>40</v>
      </c>
      <c r="K65" s="1928">
        <v>30</v>
      </c>
      <c r="L65" s="1928">
        <v>50</v>
      </c>
      <c r="M65" s="1930">
        <v>0.02</v>
      </c>
      <c r="O65" s="1882" t="s">
        <v>1040</v>
      </c>
      <c r="P65" s="1883" t="s">
        <v>1580</v>
      </c>
      <c r="Q65" s="1884">
        <f ca="1">C40+J29</f>
        <v>25181</v>
      </c>
      <c r="R65" s="1884" t="s">
        <v>1529</v>
      </c>
    </row>
    <row r="66" spans="1:18" s="1840" customFormat="1" ht="16.5" thickBot="1">
      <c r="A66" s="1201" t="s">
        <v>1504</v>
      </c>
      <c r="B66" s="1169" t="s">
        <v>1439</v>
      </c>
      <c r="C66" s="23">
        <f ca="1">ROUND(C48*F66,1)</f>
        <v>0</v>
      </c>
      <c r="D66" s="1183" t="s">
        <v>1505</v>
      </c>
      <c r="E66" s="1169" t="s">
        <v>1422</v>
      </c>
      <c r="F66" s="356">
        <f t="shared" ca="1" si="0"/>
        <v>0.01</v>
      </c>
      <c r="O66" s="1882" t="s">
        <v>1041</v>
      </c>
      <c r="P66" s="1883" t="s">
        <v>1558</v>
      </c>
      <c r="Q66" s="1884">
        <f ca="1">L60</f>
        <v>0</v>
      </c>
      <c r="R66" s="1884" t="s">
        <v>1581</v>
      </c>
    </row>
    <row r="67" spans="1:18" s="1840" customFormat="1" ht="16.5" thickBot="1">
      <c r="A67" s="1176" t="s">
        <v>1031</v>
      </c>
      <c r="B67" s="1186" t="s">
        <v>1463</v>
      </c>
      <c r="C67" s="360">
        <f ca="1">C48-C58</f>
        <v>-504</v>
      </c>
      <c r="D67" s="1182" t="s">
        <v>1464</v>
      </c>
      <c r="E67" s="1187"/>
      <c r="F67" s="1188"/>
      <c r="O67" s="1892" t="s">
        <v>1042</v>
      </c>
      <c r="P67" s="1883" t="s">
        <v>1562</v>
      </c>
      <c r="Q67" s="1931">
        <f ca="1">L51</f>
        <v>13242</v>
      </c>
      <c r="R67" s="1884" t="s">
        <v>1582</v>
      </c>
    </row>
    <row r="68" spans="1:18" s="1840" customFormat="1" ht="16.5" thickBot="1">
      <c r="A68" s="1166" t="s">
        <v>1032</v>
      </c>
      <c r="B68" s="1167" t="s">
        <v>1485</v>
      </c>
      <c r="C68" s="345">
        <f ca="1">ROUND(C67*(1-((1+F70)/(1+F68))^F69)/(F68-F70),0)</f>
        <v>-7559</v>
      </c>
      <c r="D68" s="1184" t="s">
        <v>1469</v>
      </c>
      <c r="E68" s="1169" t="s">
        <v>1470</v>
      </c>
      <c r="F68" s="356">
        <f ca="1">F40</f>
        <v>5.5E-2</v>
      </c>
      <c r="O68" s="1892" t="s">
        <v>1043</v>
      </c>
      <c r="P68" s="1932" t="s">
        <v>1583</v>
      </c>
      <c r="Q68" s="1884">
        <f ca="1">ROUND(Q69-Q70*Q71,0)</f>
        <v>832</v>
      </c>
      <c r="R68" s="1884" t="s">
        <v>1051</v>
      </c>
    </row>
    <row r="69" spans="1:18" s="1840" customFormat="1" ht="13.5" thickBot="1">
      <c r="A69" s="1170"/>
      <c r="B69" s="1171"/>
      <c r="C69" s="350"/>
      <c r="D69" s="1189" t="s">
        <v>1473</v>
      </c>
      <c r="E69" s="1169" t="s">
        <v>1474</v>
      </c>
      <c r="F69" s="378">
        <f ca="1">F41</f>
        <v>32.54</v>
      </c>
      <c r="O69" s="1892" t="s">
        <v>1048</v>
      </c>
      <c r="P69" s="1932" t="s">
        <v>1584</v>
      </c>
      <c r="Q69" s="1884">
        <f ca="1">C39</f>
        <v>1162</v>
      </c>
      <c r="R69" s="1884" t="s">
        <v>1529</v>
      </c>
    </row>
    <row r="70" spans="1:18" s="1840" customFormat="1" ht="13.5" thickBot="1">
      <c r="A70" s="1173"/>
      <c r="B70" s="1174"/>
      <c r="C70" s="354"/>
      <c r="D70" s="1185"/>
      <c r="E70" s="1169" t="s">
        <v>1477</v>
      </c>
      <c r="F70" s="1275"/>
      <c r="O70" s="1892" t="s">
        <v>1049</v>
      </c>
      <c r="P70" s="1932" t="s">
        <v>1585</v>
      </c>
      <c r="Q70" s="1884">
        <f ca="1">C13</f>
        <v>3880</v>
      </c>
      <c r="R70" s="1884" t="s">
        <v>1529</v>
      </c>
    </row>
    <row r="71" spans="1:18" s="1840" customFormat="1" ht="13.5" thickBot="1">
      <c r="A71" s="1190" t="s">
        <v>1033</v>
      </c>
      <c r="B71" s="1191" t="s">
        <v>1487</v>
      </c>
      <c r="C71" s="381">
        <f ca="1">ROUND(C68*10000/F71,0)</f>
        <v>-9133</v>
      </c>
      <c r="D71" s="1192" t="s">
        <v>1488</v>
      </c>
      <c r="E71" s="1193" t="s">
        <v>1489</v>
      </c>
      <c r="F71" s="384">
        <f ca="1">F43</f>
        <v>8276.64</v>
      </c>
      <c r="O71" s="1892" t="s">
        <v>1050</v>
      </c>
      <c r="P71" s="1932" t="s">
        <v>1586</v>
      </c>
      <c r="Q71" s="1895">
        <f ca="1">C76</f>
        <v>8.5000000000000006E-2</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建筑物剩余耐用年限下的土地年期修正系数Kn</v>
      </c>
      <c r="Q74" s="1884" t="e">
        <f ca="1">L59</f>
        <v>#DIV/0!</v>
      </c>
      <c r="R74" s="1884" t="s">
        <v>1569</v>
      </c>
    </row>
    <row r="75" spans="1:18" ht="13.5" thickBot="1">
      <c r="A75" s="1840"/>
      <c r="B75" s="385" t="s">
        <v>1506</v>
      </c>
      <c r="C75" s="386">
        <f ca="1">ROUND(C13*C76,0)</f>
        <v>330</v>
      </c>
      <c r="D75" s="1840"/>
      <c r="E75" s="1840"/>
      <c r="F75" s="1840"/>
      <c r="K75" s="1866"/>
      <c r="L75" s="1840"/>
      <c r="O75" s="1882" t="s">
        <v>1046</v>
      </c>
      <c r="P75" s="1883" t="s">
        <v>1549</v>
      </c>
      <c r="Q75" s="1884">
        <f ca="1">Q65+Q66</f>
        <v>25181</v>
      </c>
      <c r="R75" s="1884" t="s">
        <v>1047</v>
      </c>
    </row>
    <row r="76" spans="1:18">
      <c r="B76" s="387" t="s">
        <v>1507</v>
      </c>
      <c r="C76" s="388">
        <f ca="1">INDIRECT("'数据-取费表'!j"&amp;$G$1)</f>
        <v>8.5000000000000006E-2</v>
      </c>
      <c r="I76" s="1840"/>
      <c r="J76" s="1840"/>
      <c r="K76" s="1866"/>
      <c r="L76" s="1840"/>
    </row>
    <row r="77" spans="1:18">
      <c r="B77" s="389" t="s">
        <v>1508</v>
      </c>
      <c r="C77" s="390"/>
      <c r="I77" s="1840"/>
      <c r="J77" s="1840"/>
      <c r="K77" s="1866"/>
      <c r="L77" s="1840"/>
    </row>
    <row r="78" spans="1:18">
      <c r="B78" s="313" t="s">
        <v>1509</v>
      </c>
      <c r="C78" s="391"/>
    </row>
    <row r="79" spans="1:18">
      <c r="B79" s="385" t="s">
        <v>1510</v>
      </c>
      <c r="C79" s="317">
        <f ca="1">1-C80</f>
        <v>0.71599999999999997</v>
      </c>
    </row>
    <row r="80" spans="1:18">
      <c r="B80" s="385" t="s">
        <v>1511</v>
      </c>
      <c r="C80" s="317">
        <f ca="1">ROUND(C75/C39,3)</f>
        <v>0.28399999999999997</v>
      </c>
    </row>
    <row r="81" spans="2:3">
      <c r="B81" s="313" t="s">
        <v>1512</v>
      </c>
      <c r="C81" s="281"/>
    </row>
    <row r="82" spans="2:3">
      <c r="B82" s="316" t="s">
        <v>1513</v>
      </c>
      <c r="C82" s="318">
        <f ca="1">1-C83</f>
        <v>0.84599999999999997</v>
      </c>
    </row>
    <row r="83" spans="2:3">
      <c r="B83" s="316" t="s">
        <v>1514</v>
      </c>
      <c r="C83" s="317">
        <f ca="1">ROUND(C13/C40,3)</f>
        <v>0.154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5" sqref="C5:C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1589</v>
      </c>
      <c r="B1" s="781"/>
      <c r="C1" s="1835"/>
      <c r="D1" s="1818"/>
      <c r="E1" s="1819" t="s">
        <v>1387</v>
      </c>
      <c r="F1" s="1283" t="b">
        <f>J53</f>
        <v>0</v>
      </c>
      <c r="G1" s="1834">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1590</v>
      </c>
      <c r="B2" s="1842" t="e">
        <f ca="1">ROUND(D2/10000,0)</f>
        <v>#DIV/0!</v>
      </c>
      <c r="C2" s="1843" t="s">
        <v>1591</v>
      </c>
      <c r="D2" s="1936" t="e">
        <f ca="1">C40+J29+L46</f>
        <v>#DIV/0!</v>
      </c>
      <c r="E2" s="1844" t="s">
        <v>1592</v>
      </c>
      <c r="F2" s="1845"/>
      <c r="G2" s="1846"/>
      <c r="H2" s="1838"/>
      <c r="I2" s="1838"/>
      <c r="J2" s="1838"/>
      <c r="K2" s="1839"/>
      <c r="L2" s="1838"/>
      <c r="M2" s="1838"/>
    </row>
    <row r="3" spans="1:37" ht="18" customHeight="1" thickBot="1">
      <c r="A3" s="1847" t="s">
        <v>1593</v>
      </c>
      <c r="B3" s="1848">
        <f ca="1">IF(ISERROR(D2/F43),0,ROUND(D2/F43,0))</f>
        <v>0</v>
      </c>
      <c r="C3" s="1843" t="s">
        <v>1594</v>
      </c>
      <c r="D3" s="1843"/>
      <c r="E3" s="1844"/>
      <c r="F3" s="1845"/>
      <c r="G3" s="1846"/>
      <c r="H3" s="743" t="s">
        <v>1588</v>
      </c>
      <c r="I3" s="1838"/>
      <c r="J3" s="1838"/>
      <c r="K3" s="1839"/>
      <c r="L3" s="1838"/>
      <c r="M3" s="1838"/>
    </row>
    <row r="4" spans="1:37" ht="18" customHeight="1">
      <c r="A4" s="339" t="s">
        <v>1595</v>
      </c>
      <c r="B4" s="340" t="s">
        <v>1596</v>
      </c>
      <c r="C4" s="340" t="s">
        <v>1597</v>
      </c>
      <c r="D4" s="340" t="s">
        <v>1598</v>
      </c>
      <c r="E4" s="341" t="s">
        <v>1599</v>
      </c>
      <c r="F4" s="342"/>
      <c r="G4" s="1849"/>
      <c r="H4" s="339" t="s">
        <v>1595</v>
      </c>
      <c r="I4" s="340" t="s">
        <v>1596</v>
      </c>
      <c r="J4" s="340" t="s">
        <v>1597</v>
      </c>
      <c r="K4" s="340" t="s">
        <v>1598</v>
      </c>
      <c r="L4" s="341" t="s">
        <v>1599</v>
      </c>
      <c r="M4" s="342"/>
    </row>
    <row r="5" spans="1:37" ht="18" customHeight="1">
      <c r="A5" s="343">
        <v>1</v>
      </c>
      <c r="B5" s="344" t="s">
        <v>1600</v>
      </c>
      <c r="C5" s="1292">
        <f ca="1">C6+C10+C12</f>
        <v>0</v>
      </c>
      <c r="D5" s="1820" t="s">
        <v>1601</v>
      </c>
      <c r="E5" s="1293"/>
      <c r="F5" s="1294"/>
      <c r="G5" s="1849"/>
      <c r="H5" s="343">
        <v>1</v>
      </c>
      <c r="I5" s="344" t="s">
        <v>1600</v>
      </c>
      <c r="J5" s="1292">
        <f ca="1">J6+J10+J12</f>
        <v>0</v>
      </c>
      <c r="K5" s="1820" t="s">
        <v>1601</v>
      </c>
      <c r="L5" s="1293"/>
      <c r="M5" s="1294"/>
    </row>
    <row r="6" spans="1:37" ht="18" customHeight="1">
      <c r="A6" s="1291" t="s">
        <v>1035</v>
      </c>
      <c r="B6" s="3189" t="s">
        <v>1403</v>
      </c>
      <c r="C6" s="1296">
        <f ca="1">ROUND(F6*F8*F7*(1-F9),0)</f>
        <v>0</v>
      </c>
      <c r="D6" s="163" t="s">
        <v>3017</v>
      </c>
      <c r="E6" s="346" t="s">
        <v>1405</v>
      </c>
      <c r="F6" s="347">
        <f ca="1">INDIRECT("'数据-取费表'!u"&amp;$G$1)</f>
        <v>0</v>
      </c>
      <c r="G6" s="1849"/>
      <c r="H6" s="1291" t="s">
        <v>1035</v>
      </c>
      <c r="I6" s="3189" t="s">
        <v>1403</v>
      </c>
      <c r="J6" s="345">
        <f ca="1">ROUND(M6*M8*M7*(1-M9),0)</f>
        <v>0</v>
      </c>
      <c r="K6" s="1832" t="s">
        <v>3018</v>
      </c>
      <c r="L6" s="346" t="s">
        <v>1405</v>
      </c>
      <c r="M6" s="347">
        <f ca="1">INDIRECT("'数据-取费表'!z"&amp;$G$1)</f>
        <v>0</v>
      </c>
    </row>
    <row r="7" spans="1:37" ht="18" customHeight="1">
      <c r="A7" s="1295"/>
      <c r="B7" s="3190"/>
      <c r="C7" s="1297"/>
      <c r="D7" s="351"/>
      <c r="E7" s="1298" t="s">
        <v>1406</v>
      </c>
      <c r="F7" s="347">
        <f ca="1">IF(INDIRECT("'数据-取费表'!ah"&amp;$G$1)="",INDIRECT("'数据-取费表'!k"&amp;$G$1),INDIRECT("'数据-取费表'!ah"&amp;$G$1))</f>
        <v>0</v>
      </c>
      <c r="G7" s="1849"/>
      <c r="H7" s="348"/>
      <c r="I7" s="3190"/>
      <c r="J7" s="350"/>
      <c r="K7" s="351"/>
      <c r="L7" s="346" t="s">
        <v>1406</v>
      </c>
      <c r="M7" s="347">
        <f ca="1">F7</f>
        <v>0</v>
      </c>
    </row>
    <row r="8" spans="1:37" ht="18" customHeight="1">
      <c r="A8" s="348"/>
      <c r="B8" s="3190"/>
      <c r="C8" s="350"/>
      <c r="D8" s="351"/>
      <c r="E8" s="346" t="s">
        <v>1407</v>
      </c>
      <c r="F8" s="347">
        <f ca="1">INDIRECT("'数据-取费表'!ai"&amp;$G$1)</f>
        <v>0</v>
      </c>
      <c r="G8" s="1849"/>
      <c r="H8" s="348"/>
      <c r="I8" s="3190"/>
      <c r="J8" s="350"/>
      <c r="K8" s="351"/>
      <c r="L8" s="346" t="s">
        <v>1407</v>
      </c>
      <c r="M8" s="347">
        <f ca="1">INDIRECT("'数据-取费表'!ai"&amp;$G$1)</f>
        <v>0</v>
      </c>
    </row>
    <row r="9" spans="1:37" ht="18" customHeight="1">
      <c r="A9" s="348"/>
      <c r="B9" s="3191"/>
      <c r="C9" s="350"/>
      <c r="D9" s="351"/>
      <c r="E9" s="346" t="s">
        <v>1408</v>
      </c>
      <c r="F9" s="356">
        <f ca="1">INDIRECT("'数据-取费表'!w"&amp;$G$1)</f>
        <v>0</v>
      </c>
      <c r="G9" s="1849"/>
      <c r="H9" s="348"/>
      <c r="I9" s="3191"/>
      <c r="J9" s="350"/>
      <c r="K9" s="351"/>
      <c r="L9" s="357" t="s">
        <v>1408</v>
      </c>
      <c r="M9" s="358">
        <f ca="1">INDIRECT("'数据-取费表'!ab"&amp;$G$1)</f>
        <v>0</v>
      </c>
    </row>
    <row r="10" spans="1:37" ht="18" customHeight="1">
      <c r="A10" s="1291" t="s">
        <v>1039</v>
      </c>
      <c r="B10" s="1821" t="s">
        <v>1409</v>
      </c>
      <c r="C10" s="360">
        <f ca="1">ROUND(IF(F10="押一",C6/12*F11,IF(F10="押二",C6/12*2*F11,IF(F10="押三",C6/12*3*F11,C11*F11))),0)</f>
        <v>0</v>
      </c>
      <c r="D10" s="1822" t="s">
        <v>3028</v>
      </c>
      <c r="E10" s="357" t="s">
        <v>1410</v>
      </c>
      <c r="F10" s="1366"/>
      <c r="G10" s="1849"/>
      <c r="H10" s="1291" t="s">
        <v>1039</v>
      </c>
      <c r="I10" s="1821" t="s">
        <v>1409</v>
      </c>
      <c r="J10" s="345">
        <f ca="1">ROUND(IF(M10="押一",J6/12*M11,IF(M10="押二",J6/12*2*M11,IF(M10="押三",J6/12*3*M11,J11*M11))),0)</f>
        <v>0</v>
      </c>
      <c r="K10" s="1833" t="s">
        <v>3030</v>
      </c>
      <c r="L10" s="357" t="s">
        <v>1410</v>
      </c>
      <c r="M10" s="1366"/>
    </row>
    <row r="11" spans="1:37" ht="18" customHeight="1">
      <c r="A11" s="352"/>
      <c r="B11" s="1823" t="s">
        <v>1602</v>
      </c>
      <c r="C11" s="1178"/>
      <c r="D11" s="351"/>
      <c r="E11" s="357" t="s">
        <v>1412</v>
      </c>
      <c r="F11" s="358">
        <f ca="1">'数据-取费表'!B39</f>
        <v>1.4999999999999999E-2</v>
      </c>
      <c r="G11" s="1849"/>
      <c r="H11" s="1299"/>
      <c r="I11" s="1823" t="s">
        <v>1603</v>
      </c>
      <c r="J11" s="1178"/>
      <c r="K11" s="747"/>
      <c r="L11" s="357" t="s">
        <v>1412</v>
      </c>
      <c r="M11" s="1056">
        <f ca="1">'数据-取费表'!B39</f>
        <v>1.4999999999999999E-2</v>
      </c>
    </row>
    <row r="12" spans="1:37" ht="18" customHeight="1" thickBot="1">
      <c r="A12" s="1333" t="s">
        <v>1075</v>
      </c>
      <c r="B12" s="1825" t="s">
        <v>1413</v>
      </c>
      <c r="C12" s="1334"/>
      <c r="D12" s="1335"/>
      <c r="E12" s="1340"/>
      <c r="F12" s="1336"/>
      <c r="G12" s="1849"/>
      <c r="H12" s="1333" t="s">
        <v>1075</v>
      </c>
      <c r="I12" s="1825" t="s">
        <v>1413</v>
      </c>
      <c r="J12" s="1334"/>
      <c r="K12" s="1348"/>
      <c r="L12" s="1340"/>
      <c r="M12" s="1349"/>
    </row>
    <row r="13" spans="1:37" ht="18" customHeight="1" thickTop="1">
      <c r="A13" s="1329">
        <v>2</v>
      </c>
      <c r="B13" s="1330" t="s">
        <v>1414</v>
      </c>
      <c r="C13" s="354">
        <f ca="1">ROUND(C29*F13,0)</f>
        <v>0</v>
      </c>
      <c r="D13" s="1331" t="s">
        <v>1415</v>
      </c>
      <c r="E13" s="1331" t="s">
        <v>1416</v>
      </c>
      <c r="F13" s="1332">
        <f ca="1">INDIRECT("'数据-取费表'!y"&amp;$G$1)</f>
        <v>0</v>
      </c>
      <c r="G13" s="1849"/>
      <c r="H13" s="1329">
        <v>2</v>
      </c>
      <c r="I13" s="1330" t="s">
        <v>1414</v>
      </c>
      <c r="J13" s="1290">
        <f ca="1">ROUND(J14*J15,0)</f>
        <v>0</v>
      </c>
      <c r="K13" s="1337" t="s">
        <v>1415</v>
      </c>
      <c r="L13" s="1850"/>
      <c r="M13" s="1851"/>
    </row>
    <row r="14" spans="1:37" ht="18" customHeight="1">
      <c r="A14" s="1201" t="s">
        <v>1034</v>
      </c>
      <c r="B14" s="346" t="s">
        <v>1417</v>
      </c>
      <c r="C14" s="362">
        <f ca="1">ROUND(INDIRECT("'数据-取费表'!l"&amp;$G$1)*F43+'数据-取费表'!L14*INDIRECT("'数据-取费表'!S"&amp;$G$1),0)</f>
        <v>0</v>
      </c>
      <c r="D14" s="1798" t="s">
        <v>1418</v>
      </c>
      <c r="E14" s="1792"/>
      <c r="F14" s="363"/>
      <c r="G14" s="1849"/>
      <c r="H14" s="1201" t="s">
        <v>1035</v>
      </c>
      <c r="I14" s="346" t="s">
        <v>1419</v>
      </c>
      <c r="J14" s="23">
        <f ca="1">C29</f>
        <v>0</v>
      </c>
      <c r="K14" s="14"/>
      <c r="L14" s="981"/>
      <c r="M14" s="982"/>
    </row>
    <row r="15" spans="1:37" s="1856" customFormat="1" ht="18" customHeight="1" thickBot="1">
      <c r="A15" s="1201" t="s">
        <v>1036</v>
      </c>
      <c r="B15" s="346" t="s">
        <v>1420</v>
      </c>
      <c r="C15" s="23">
        <f ca="1">ROUND(C14*F15,0)</f>
        <v>0</v>
      </c>
      <c r="D15" s="364" t="s">
        <v>1421</v>
      </c>
      <c r="E15" s="364" t="s">
        <v>1422</v>
      </c>
      <c r="F15" s="365">
        <f>'数据-取费表'!B33</f>
        <v>0.03</v>
      </c>
      <c r="G15" s="1852"/>
      <c r="H15" s="1339" t="s">
        <v>1039</v>
      </c>
      <c r="I15" s="1340" t="s">
        <v>1416</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6" t="s">
        <v>1423</v>
      </c>
      <c r="C16" s="23">
        <f ca="1">ROUND(INDIRECT("'数据-取费表'!l"&amp;$G$1)*F43*F16,0)</f>
        <v>0</v>
      </c>
      <c r="D16" s="346" t="s">
        <v>1421</v>
      </c>
      <c r="E16" s="346" t="s">
        <v>1422</v>
      </c>
      <c r="F16" s="366">
        <f ca="1">IF(INDIRECT("'数据-取费表'!c"&amp;$G$1)="住宅",'数据-取费表'!B34,0)</f>
        <v>0</v>
      </c>
      <c r="G16" s="1849"/>
      <c r="H16" s="1329" t="s">
        <v>1030</v>
      </c>
      <c r="I16" s="1330" t="s">
        <v>1424</v>
      </c>
      <c r="J16" s="354">
        <f ca="1">ROUND(J17+J22+J23+J24,0)</f>
        <v>0</v>
      </c>
      <c r="K16" s="1337" t="s">
        <v>1425</v>
      </c>
      <c r="L16" s="1338"/>
      <c r="M16" s="1294"/>
    </row>
    <row r="17" spans="1:37" s="1856" customFormat="1" ht="18" customHeight="1">
      <c r="A17" s="1201" t="s">
        <v>1390</v>
      </c>
      <c r="B17" s="346" t="s">
        <v>1426</v>
      </c>
      <c r="C17" s="23">
        <f ca="1">ROUND(F17*(F43+INDIRECT("'数据-取费表'!S"&amp;$G$1)),0)</f>
        <v>0</v>
      </c>
      <c r="D17" s="346" t="s">
        <v>1427</v>
      </c>
      <c r="E17" s="346" t="s">
        <v>1428</v>
      </c>
      <c r="F17" s="25">
        <f>'数据-取费表'!B35</f>
        <v>200</v>
      </c>
      <c r="G17" s="1852"/>
      <c r="H17" s="1201" t="s">
        <v>1035</v>
      </c>
      <c r="I17" s="346" t="s">
        <v>1429</v>
      </c>
      <c r="J17" s="23">
        <f ca="1">ROUND(IF(项目基本情况!B11="自然人",J5*M17,J18+J19+J20),0)</f>
        <v>0</v>
      </c>
      <c r="K17" s="1798" t="s">
        <v>1430</v>
      </c>
      <c r="L17" s="1796" t="s">
        <v>1431</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6" t="s">
        <v>1432</v>
      </c>
      <c r="C18" s="23">
        <f ca="1">ROUND(C14*F18,0)</f>
        <v>0</v>
      </c>
      <c r="D18" s="346" t="s">
        <v>1421</v>
      </c>
      <c r="E18" s="346" t="s">
        <v>1422</v>
      </c>
      <c r="F18" s="366">
        <f>'数据-取费表'!B36</f>
        <v>1.4999999999999999E-2</v>
      </c>
      <c r="G18" s="1852"/>
      <c r="H18" s="1201" t="s">
        <v>1034</v>
      </c>
      <c r="I18" s="346" t="s">
        <v>1433</v>
      </c>
      <c r="J18" s="23">
        <f ca="1">ROUND(J5*M18/(1+'数据-取费表'!C42),0)</f>
        <v>0</v>
      </c>
      <c r="K18" s="1796" t="s">
        <v>1434</v>
      </c>
      <c r="L18" s="346" t="s">
        <v>1422</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6" t="s">
        <v>1435</v>
      </c>
      <c r="C19" s="23">
        <f ca="1">SUM(C14:C18)</f>
        <v>0</v>
      </c>
      <c r="D19" s="139" t="s">
        <v>1436</v>
      </c>
      <c r="E19" s="1816"/>
      <c r="F19" s="25"/>
      <c r="G19" s="1849"/>
      <c r="H19" s="1201" t="s">
        <v>1036</v>
      </c>
      <c r="I19" s="346" t="s">
        <v>1437</v>
      </c>
      <c r="J19" s="23">
        <f ca="1">IF(K19="按租金收入计税",ROUND(J5*M19,0),ROUND(C29*M19*0.7,0))</f>
        <v>0</v>
      </c>
      <c r="K19" s="1826" t="s">
        <v>1438</v>
      </c>
      <c r="L19" s="346" t="s">
        <v>1422</v>
      </c>
      <c r="M19" s="366">
        <f>IF(K19="按租金收入计税",'数据-取费表'!B51,'数据-取费表'!B50)</f>
        <v>1.2E-2</v>
      </c>
    </row>
    <row r="20" spans="1:37" s="1856" customFormat="1" ht="18" customHeight="1">
      <c r="A20" s="1201" t="s">
        <v>1039</v>
      </c>
      <c r="B20" s="346" t="s">
        <v>1439</v>
      </c>
      <c r="C20" s="23">
        <f ca="1">ROUND(C19*F20,0)</f>
        <v>0</v>
      </c>
      <c r="D20" s="368" t="s">
        <v>1440</v>
      </c>
      <c r="E20" s="346" t="s">
        <v>1422</v>
      </c>
      <c r="F20" s="366">
        <f>'数据-取费表'!B37</f>
        <v>0.02</v>
      </c>
      <c r="G20" s="1852"/>
      <c r="H20" s="1201" t="s">
        <v>1389</v>
      </c>
      <c r="I20" s="163" t="s">
        <v>1441</v>
      </c>
      <c r="J20" s="24">
        <f ca="1">ROUND(M20*M21,0)</f>
        <v>0</v>
      </c>
      <c r="K20" s="369" t="s">
        <v>1442</v>
      </c>
      <c r="L20" s="346" t="s">
        <v>1443</v>
      </c>
      <c r="M20" s="370">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6" t="s">
        <v>1444</v>
      </c>
      <c r="C21" s="23" t="s">
        <v>1</v>
      </c>
      <c r="D21" s="368" t="s">
        <v>1445</v>
      </c>
      <c r="E21" s="346" t="s">
        <v>1446</v>
      </c>
      <c r="F21" s="366">
        <f>'数据-取费表'!B38</f>
        <v>0.02</v>
      </c>
      <c r="G21" s="1852"/>
      <c r="H21" s="371"/>
      <c r="I21" s="355"/>
      <c r="J21" s="28"/>
      <c r="K21" s="372"/>
      <c r="L21" s="346" t="s">
        <v>1447</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6" t="s">
        <v>1448</v>
      </c>
      <c r="C22" s="23"/>
      <c r="D22" s="139" t="str">
        <f>IF(F23&lt;=1,"单利计息。","复利计息。")&amp;"建造成本、管理费用、销售费用产生的利息。"</f>
        <v>复利计息。建造成本、管理费用、销售费用产生的利息。</v>
      </c>
      <c r="E22" s="1816"/>
      <c r="F22" s="25"/>
      <c r="G22" s="1849"/>
      <c r="H22" s="1201" t="s">
        <v>1039</v>
      </c>
      <c r="I22" s="346" t="s">
        <v>1449</v>
      </c>
      <c r="J22" s="23">
        <f ca="1">ROUND(J14*M22,0)</f>
        <v>0</v>
      </c>
      <c r="K22" s="1796" t="s">
        <v>1450</v>
      </c>
      <c r="L22" s="346" t="s">
        <v>1422</v>
      </c>
      <c r="M22" s="373">
        <f ca="1">INDIRECT("'数据-取费表'!Ak"&amp;$G$1)</f>
        <v>0</v>
      </c>
    </row>
    <row r="23" spans="1:37" s="1856" customFormat="1" ht="18" customHeight="1">
      <c r="A23" s="1201"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2"/>
      <c r="H23" s="1201" t="s">
        <v>1075</v>
      </c>
      <c r="I23" s="346" t="s">
        <v>1453</v>
      </c>
      <c r="J23" s="23">
        <f ca="1">ROUND(J13*M23,0)</f>
        <v>0</v>
      </c>
      <c r="K23" s="1796" t="s">
        <v>1454</v>
      </c>
      <c r="L23" s="346" t="s">
        <v>1455</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1456</v>
      </c>
      <c r="B24" s="346" t="s">
        <v>1457</v>
      </c>
      <c r="C24" s="23">
        <f ca="1">ROUND(IF('数据-取费表'!B22&lt;=1,F21*F24*F23/2,F21*(POWER((1+F24),F23/2)-1)),4)</f>
        <v>1E-3</v>
      </c>
      <c r="D24" s="374" t="str">
        <f>IF(F23&lt;=1,"销售费用×利率×(建设周期÷2)","销售费用×((1+利率)^(建设周期÷2)-1)")</f>
        <v>销售费用×((1+利率)^(建设周期÷2)-1)</v>
      </c>
      <c r="E24" s="346" t="s">
        <v>1458</v>
      </c>
      <c r="F24" s="376">
        <f ca="1">'数据-取费表'!B40</f>
        <v>4.7500000000000001E-2</v>
      </c>
      <c r="G24" s="1852"/>
      <c r="H24" s="1339" t="s">
        <v>1393</v>
      </c>
      <c r="I24" s="1340" t="s">
        <v>1439</v>
      </c>
      <c r="J24" s="1341">
        <f ca="1">ROUND(J5*M24,0)</f>
        <v>0</v>
      </c>
      <c r="K24" s="1342" t="s">
        <v>1459</v>
      </c>
      <c r="L24" s="1340" t="s">
        <v>1455</v>
      </c>
      <c r="M24" s="1336">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1460</v>
      </c>
      <c r="B25" s="346" t="s">
        <v>1461</v>
      </c>
      <c r="C25" s="23"/>
      <c r="D25" s="139" t="s">
        <v>1462</v>
      </c>
      <c r="E25" s="1816"/>
      <c r="F25" s="25"/>
      <c r="G25" s="1849"/>
      <c r="H25" s="1329" t="s">
        <v>1031</v>
      </c>
      <c r="I25" s="1344" t="s">
        <v>1463</v>
      </c>
      <c r="J25" s="354">
        <f ca="1">J5-J16</f>
        <v>0</v>
      </c>
      <c r="K25" s="1345" t="s">
        <v>1464</v>
      </c>
      <c r="L25" s="1346"/>
      <c r="M25" s="1347"/>
    </row>
    <row r="26" spans="1:37" ht="18" customHeight="1">
      <c r="A26" s="1201" t="s">
        <v>1034</v>
      </c>
      <c r="B26" s="346" t="s">
        <v>1465</v>
      </c>
      <c r="C26" s="23">
        <f ca="1">ROUND((C19+C20)*F26,0)</f>
        <v>0</v>
      </c>
      <c r="D26" s="368" t="s">
        <v>1466</v>
      </c>
      <c r="E26" s="357" t="s">
        <v>1467</v>
      </c>
      <c r="F26" s="356">
        <f ca="1">INDIRECT("'数据-取费表'!q"&amp;$G$1)</f>
        <v>0</v>
      </c>
      <c r="G26" s="1849"/>
      <c r="H26" s="343" t="s">
        <v>1032</v>
      </c>
      <c r="I26" s="344" t="s">
        <v>1468</v>
      </c>
      <c r="J26" s="345">
        <f ca="1">IF(J5&lt;&gt;0,ROUND(J25*(1-((1+M28)/(1+M26))^M27)/(M26-M28),0),0)</f>
        <v>0</v>
      </c>
      <c r="K26" s="369" t="s">
        <v>1469</v>
      </c>
      <c r="L26" s="346" t="s">
        <v>1470</v>
      </c>
      <c r="M26" s="356">
        <f ca="1">INDIRECT("'数据-取费表'!I"&amp;$G$1)</f>
        <v>0</v>
      </c>
    </row>
    <row r="27" spans="1:37" ht="18" customHeight="1">
      <c r="A27" s="1201" t="s">
        <v>1036</v>
      </c>
      <c r="B27" s="346" t="s">
        <v>1471</v>
      </c>
      <c r="C27" s="23">
        <f ca="1">ROUND(F21*F26,4)</f>
        <v>0</v>
      </c>
      <c r="D27" s="368" t="s">
        <v>1472</v>
      </c>
      <c r="E27" s="364"/>
      <c r="F27" s="365"/>
      <c r="G27" s="1849"/>
      <c r="H27" s="348"/>
      <c r="I27" s="349"/>
      <c r="J27" s="350"/>
      <c r="K27" s="377" t="s">
        <v>1473</v>
      </c>
      <c r="L27" s="346" t="s">
        <v>1474</v>
      </c>
      <c r="M27" s="378">
        <f ca="1">INDIRECT("'数据-取费表'!ag"&amp;$G$1)</f>
        <v>0</v>
      </c>
    </row>
    <row r="28" spans="1:37" s="1856" customFormat="1" ht="18" customHeight="1">
      <c r="A28" s="1201" t="s">
        <v>1037</v>
      </c>
      <c r="B28" s="346" t="s">
        <v>1475</v>
      </c>
      <c r="C28" s="23">
        <f>ROUND(F28/(1+'数据-取费表'!C42),4)</f>
        <v>5.33E-2</v>
      </c>
      <c r="D28" s="368" t="s">
        <v>1476</v>
      </c>
      <c r="E28" s="346" t="s">
        <v>1422</v>
      </c>
      <c r="F28" s="366">
        <f>'数据-取费表'!B41</f>
        <v>5.6000000000000001E-2</v>
      </c>
      <c r="G28" s="1852"/>
      <c r="H28" s="352"/>
      <c r="I28" s="353"/>
      <c r="J28" s="354"/>
      <c r="K28" s="372"/>
      <c r="L28" s="346" t="s">
        <v>1477</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1478</v>
      </c>
      <c r="C29" s="1341">
        <f ca="1">ROUND((C19+C20+C23+C26)/(1-F21-C24-C27-C28),0)</f>
        <v>0</v>
      </c>
      <c r="D29" s="1342"/>
      <c r="E29" s="1340"/>
      <c r="F29" s="1343"/>
      <c r="G29" s="1852"/>
      <c r="H29" s="379" t="s">
        <v>1033</v>
      </c>
      <c r="I29" s="380" t="s">
        <v>1479</v>
      </c>
      <c r="J29" s="381">
        <f ca="1">ROUND(J26/(1+F40)^F41,0)</f>
        <v>0</v>
      </c>
      <c r="K29" s="382" t="s">
        <v>1480</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1424</v>
      </c>
      <c r="C30" s="354">
        <f ca="1">ROUND(C31+C36+C37+C38,0)</f>
        <v>0</v>
      </c>
      <c r="D30" s="1337" t="s">
        <v>1425</v>
      </c>
      <c r="E30" s="1338"/>
      <c r="F30" s="1294"/>
      <c r="G30" s="1849"/>
      <c r="H30" s="744"/>
      <c r="I30" s="745"/>
      <c r="J30" s="746"/>
      <c r="K30" s="747"/>
      <c r="L30" s="748"/>
      <c r="M30" s="749"/>
    </row>
    <row r="31" spans="1:37" ht="18" customHeight="1">
      <c r="A31" s="1201" t="s">
        <v>1035</v>
      </c>
      <c r="B31" s="346" t="s">
        <v>1429</v>
      </c>
      <c r="C31" s="23">
        <f ca="1">ROUND(IF(项目基本情况!B11="自然人",C5*F31,C32+C33+C34),0)</f>
        <v>0</v>
      </c>
      <c r="D31" s="1798" t="s">
        <v>1430</v>
      </c>
      <c r="E31" s="1796" t="s">
        <v>1481</v>
      </c>
      <c r="F31" s="367"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6" t="s">
        <v>1433</v>
      </c>
      <c r="C32" s="23">
        <f ca="1">IF(项目基本情况!B11="自然人","——",ROUND(C5*F32/(1+'数据-取费表'!C42),0))</f>
        <v>0</v>
      </c>
      <c r="D32" s="1796" t="s">
        <v>1434</v>
      </c>
      <c r="E32" s="346" t="s">
        <v>1422</v>
      </c>
      <c r="F32" s="376">
        <f>'数据-取费表'!B41</f>
        <v>5.6000000000000001E-2</v>
      </c>
      <c r="G32" s="1849"/>
      <c r="H32" s="744"/>
      <c r="I32" s="745"/>
      <c r="J32" s="746"/>
      <c r="K32" s="747"/>
      <c r="L32" s="748"/>
      <c r="M32" s="749"/>
    </row>
    <row r="33" spans="1:18" ht="18" customHeight="1">
      <c r="A33" s="1201" t="s">
        <v>1036</v>
      </c>
      <c r="B33" s="346" t="s">
        <v>1437</v>
      </c>
      <c r="C33" s="23">
        <f ca="1">IF(项目基本情况!B11="自然人","——",IF(D33="按租金收入计税",ROUND(C5*F33,0),IF(D33="按房产原值计税",ROUND(C29*F33*0.7,0),INDIRECT("'数据-取费表'!Aj"&amp;$G$1))))</f>
        <v>0</v>
      </c>
      <c r="D33" s="1826" t="s">
        <v>1438</v>
      </c>
      <c r="E33" s="346" t="s">
        <v>1422</v>
      </c>
      <c r="F33" s="366">
        <f>IF(D33="按票据","——",IF(D33="按租金收入计税",'数据-取费表'!B51,'数据-取费表'!B50))</f>
        <v>1.2E-2</v>
      </c>
      <c r="G33" s="1849"/>
      <c r="H33" s="1857"/>
      <c r="I33" s="1858"/>
      <c r="J33" s="1859"/>
      <c r="K33" s="1860"/>
      <c r="L33" s="1857"/>
      <c r="M33" s="1857"/>
    </row>
    <row r="34" spans="1:18" ht="18" customHeight="1">
      <c r="A34" s="1291" t="s">
        <v>1389</v>
      </c>
      <c r="B34" s="163" t="s">
        <v>1441</v>
      </c>
      <c r="C34" s="24">
        <f ca="1">IF(项目基本情况!B11="自然人","——",ROUND(F34*F35,))</f>
        <v>0</v>
      </c>
      <c r="D34" s="369" t="s">
        <v>1442</v>
      </c>
      <c r="E34" s="346" t="s">
        <v>1443</v>
      </c>
      <c r="F34" s="370">
        <f>'数据-取费表'!B52</f>
        <v>24</v>
      </c>
      <c r="G34" s="1849"/>
      <c r="H34" s="744"/>
      <c r="I34" s="1858"/>
      <c r="J34" s="1859"/>
      <c r="K34" s="1861"/>
      <c r="L34" s="1862"/>
      <c r="M34" s="1862"/>
    </row>
    <row r="35" spans="1:18" ht="18" customHeight="1">
      <c r="A35" s="1353"/>
      <c r="B35" s="1351"/>
      <c r="C35" s="28"/>
      <c r="D35" s="372"/>
      <c r="E35" s="346" t="s">
        <v>1447</v>
      </c>
      <c r="F35" s="347">
        <f ca="1">INDIRECT("'数据-取费表'!r"&amp;$G$1)</f>
        <v>0</v>
      </c>
      <c r="G35" s="1849"/>
      <c r="H35" s="744"/>
      <c r="I35" s="1858"/>
      <c r="J35" s="1859"/>
      <c r="K35" s="1860"/>
      <c r="L35" s="1857"/>
      <c r="M35" s="1857"/>
    </row>
    <row r="36" spans="1:18" ht="18" customHeight="1">
      <c r="A36" s="1352" t="s">
        <v>1039</v>
      </c>
      <c r="B36" s="346" t="s">
        <v>1449</v>
      </c>
      <c r="C36" s="23">
        <f ca="1">ROUND(C29*F36,0)</f>
        <v>0</v>
      </c>
      <c r="D36" s="1796" t="s">
        <v>1482</v>
      </c>
      <c r="E36" s="346" t="s">
        <v>1422</v>
      </c>
      <c r="F36" s="373">
        <f ca="1">INDIRECT("'数据-取费表'!Ak"&amp;$G$1)</f>
        <v>0</v>
      </c>
      <c r="G36" s="1849"/>
      <c r="H36" s="1857"/>
      <c r="I36" s="1858"/>
      <c r="J36" s="1859"/>
      <c r="K36" s="750"/>
      <c r="L36" s="1857"/>
      <c r="M36" s="1857"/>
    </row>
    <row r="37" spans="1:18" ht="18" customHeight="1">
      <c r="A37" s="1201" t="s">
        <v>1075</v>
      </c>
      <c r="B37" s="346" t="s">
        <v>1453</v>
      </c>
      <c r="C37" s="23">
        <f ca="1">ROUND(C13*F37,0)</f>
        <v>0</v>
      </c>
      <c r="D37" s="1796" t="s">
        <v>1454</v>
      </c>
      <c r="E37" s="346" t="s">
        <v>1455</v>
      </c>
      <c r="F37" s="375">
        <f ca="1">INDIRECT("'数据-取费表'!Al"&amp;$G$1)</f>
        <v>0</v>
      </c>
      <c r="G37" s="1849"/>
      <c r="H37" s="1857"/>
      <c r="I37" s="1858"/>
      <c r="J37" s="1859"/>
      <c r="K37" s="750"/>
      <c r="L37" s="1857"/>
      <c r="M37" s="1857"/>
    </row>
    <row r="38" spans="1:18" ht="18" customHeight="1" thickBot="1">
      <c r="A38" s="1339" t="s">
        <v>1393</v>
      </c>
      <c r="B38" s="1340" t="s">
        <v>1439</v>
      </c>
      <c r="C38" s="1341">
        <f ca="1">ROUND(C5*F38,1)</f>
        <v>0</v>
      </c>
      <c r="D38" s="1342" t="s">
        <v>1459</v>
      </c>
      <c r="E38" s="1340" t="s">
        <v>1455</v>
      </c>
      <c r="F38" s="1336">
        <f ca="1">INDIRECT("'数据-取费表'!Am"&amp;$G$1)</f>
        <v>0</v>
      </c>
      <c r="G38" s="1849"/>
      <c r="H38" s="1857"/>
      <c r="I38" s="1858"/>
      <c r="J38" s="1859"/>
      <c r="K38" s="1863"/>
      <c r="L38" s="1857"/>
      <c r="M38" s="1857"/>
    </row>
    <row r="39" spans="1:18" ht="24.6" customHeight="1" thickTop="1">
      <c r="A39" s="1329" t="s">
        <v>1031</v>
      </c>
      <c r="B39" s="1344" t="s">
        <v>1483</v>
      </c>
      <c r="C39" s="354">
        <f ca="1">C5-C30</f>
        <v>0</v>
      </c>
      <c r="D39" s="1345" t="s">
        <v>1484</v>
      </c>
      <c r="E39" s="1346"/>
      <c r="F39" s="1347"/>
      <c r="G39" s="1849"/>
      <c r="H39" s="1857"/>
      <c r="I39" s="1858"/>
      <c r="J39" s="1859"/>
      <c r="K39" s="1863"/>
      <c r="L39" s="1857"/>
      <c r="M39" s="1857"/>
    </row>
    <row r="40" spans="1:18" ht="18" customHeight="1">
      <c r="A40" s="343" t="s">
        <v>1032</v>
      </c>
      <c r="B40" s="344" t="s">
        <v>1485</v>
      </c>
      <c r="C40" s="345" t="e">
        <f ca="1">ROUND(C39*(1-((1+F42)/(1+F40))^F41)/(F40-F42),0)</f>
        <v>#DIV/0!</v>
      </c>
      <c r="D40" s="369" t="s">
        <v>1469</v>
      </c>
      <c r="E40" s="346" t="s">
        <v>1470</v>
      </c>
      <c r="F40" s="356">
        <f ca="1">INDIRECT("'数据-取费表'!I"&amp;$G$1)</f>
        <v>0</v>
      </c>
      <c r="G40" s="1849"/>
      <c r="H40" s="1837"/>
      <c r="I40" s="1858"/>
      <c r="J40" s="1859"/>
      <c r="K40" s="1863"/>
      <c r="L40" s="1837"/>
      <c r="M40" s="1837"/>
    </row>
    <row r="41" spans="1:18" ht="18" customHeight="1">
      <c r="A41" s="348"/>
      <c r="B41" s="349"/>
      <c r="C41" s="350"/>
      <c r="D41" s="377" t="s">
        <v>1486</v>
      </c>
      <c r="E41" s="346" t="s">
        <v>1474</v>
      </c>
      <c r="F41" s="378">
        <f ca="1">IF(INDIRECT("'数据-取费表'!af"&amp;$G$1)=0,INDIRECT("'数据-取费表'!ae"&amp;$G$1),INDIRECT("'数据-取费表'!af"&amp;$G$1))</f>
        <v>0</v>
      </c>
      <c r="G41" s="1849"/>
      <c r="H41" s="731"/>
      <c r="I41" s="1858"/>
      <c r="J41" s="1859"/>
      <c r="K41" s="750"/>
      <c r="L41" s="731"/>
      <c r="M41" s="731"/>
    </row>
    <row r="42" spans="1:18" ht="18" customHeight="1">
      <c r="A42" s="352"/>
      <c r="B42" s="353"/>
      <c r="C42" s="354"/>
      <c r="D42" s="372"/>
      <c r="E42" s="346" t="s">
        <v>1477</v>
      </c>
      <c r="F42" s="356">
        <f ca="1">INDIRECT("'数据-取费表'!v"&amp;$G$1)</f>
        <v>0</v>
      </c>
      <c r="G42" s="1849"/>
      <c r="H42" s="731"/>
      <c r="I42" s="1858"/>
      <c r="J42" s="1859"/>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1604</v>
      </c>
      <c r="E45" s="1864"/>
      <c r="F45" s="1864"/>
      <c r="O45" s="1867" t="s">
        <v>1519</v>
      </c>
      <c r="P45" s="1837"/>
      <c r="Q45" s="1837"/>
      <c r="R45" s="1837"/>
    </row>
    <row r="46" spans="1:18" s="1840" customFormat="1" ht="13.5" thickBot="1">
      <c r="A46" s="1868" t="s">
        <v>1520</v>
      </c>
      <c r="C46" s="1869" t="e">
        <f ca="1">ROUND(C45/10000,0)</f>
        <v>#DIV/0!</v>
      </c>
      <c r="D46" s="1870" t="str">
        <f>C2</f>
        <v>万元</v>
      </c>
      <c r="I46" s="1871" t="s">
        <v>1521</v>
      </c>
      <c r="J46" s="1872"/>
      <c r="K46" s="1873"/>
      <c r="L46" s="1874" t="e">
        <f ca="1">IF(M47="住宅",0,IF(L48&gt;J51,L60,J60))</f>
        <v>#DIV/0!</v>
      </c>
      <c r="O46" s="1875" t="s">
        <v>1522</v>
      </c>
      <c r="P46" s="1876" t="s">
        <v>1523</v>
      </c>
      <c r="Q46" s="1877" t="s">
        <v>1524</v>
      </c>
      <c r="R46" s="1877" t="s">
        <v>1525</v>
      </c>
    </row>
    <row r="47" spans="1:18" s="1840" customFormat="1" ht="13.5" thickBot="1">
      <c r="A47" s="1165" t="s">
        <v>1396</v>
      </c>
      <c r="B47" s="1197" t="s">
        <v>1397</v>
      </c>
      <c r="C47" s="1197" t="s">
        <v>1398</v>
      </c>
      <c r="D47" s="1197" t="s">
        <v>1399</v>
      </c>
      <c r="E47" s="1279" t="s">
        <v>1400</v>
      </c>
      <c r="F47" s="1280"/>
      <c r="G47" s="791"/>
      <c r="I47" s="1878" t="s">
        <v>1526</v>
      </c>
      <c r="J47" s="1879"/>
      <c r="K47" s="1880" t="s">
        <v>1527</v>
      </c>
      <c r="L47" s="1881">
        <f ca="1">INDIRECT("'数据-取费表'!d"&amp;$G$1)</f>
        <v>0</v>
      </c>
      <c r="M47" s="1836" t="str">
        <f>IF(ISNUMBER(FIND("住宅",C1)),"住宅","非住宅")</f>
        <v>非住宅</v>
      </c>
      <c r="O47" s="1882" t="s">
        <v>1040</v>
      </c>
      <c r="P47" s="1883" t="s">
        <v>1528</v>
      </c>
      <c r="Q47" s="1884" t="e">
        <f ca="1">C40+J29</f>
        <v>#DIV/0!</v>
      </c>
      <c r="R47" s="1884" t="s">
        <v>1529</v>
      </c>
    </row>
    <row r="48" spans="1:18" s="1840" customFormat="1" ht="28.5" thickBot="1">
      <c r="A48" s="1360" t="s">
        <v>1135</v>
      </c>
      <c r="B48" s="344" t="s">
        <v>1401</v>
      </c>
      <c r="C48" s="1815">
        <f ca="1">C49+C53+C55</f>
        <v>0</v>
      </c>
      <c r="D48" s="1362"/>
      <c r="E48" s="1363"/>
      <c r="F48" s="1181"/>
      <c r="G48" s="791"/>
      <c r="H48" s="792"/>
      <c r="I48" s="1885" t="s">
        <v>1530</v>
      </c>
      <c r="J48" s="1886"/>
      <c r="K48" s="1887" t="s">
        <v>1531</v>
      </c>
      <c r="L48" s="1888">
        <f ca="1">INDIRECT("'数据-取费表'!f"&amp;$G$1)</f>
        <v>0</v>
      </c>
      <c r="O48" s="1882" t="s">
        <v>1041</v>
      </c>
      <c r="P48" s="1883" t="s">
        <v>1532</v>
      </c>
      <c r="Q48" s="1884" t="e">
        <f ca="1">J60</f>
        <v>#DIV/0!</v>
      </c>
      <c r="R48" s="1884" t="s">
        <v>1533</v>
      </c>
    </row>
    <row r="49" spans="1:18" s="1840" customFormat="1" ht="13.5" thickBot="1">
      <c r="A49" s="1194" t="s">
        <v>1136</v>
      </c>
      <c r="B49" s="1827" t="s">
        <v>1490</v>
      </c>
      <c r="C49" s="1364">
        <f ca="1">ROUND(F49*F51*F50*(1-F52),0)</f>
        <v>0</v>
      </c>
      <c r="D49" s="1276" t="s">
        <v>1404</v>
      </c>
      <c r="E49" s="1828" t="s">
        <v>1491</v>
      </c>
      <c r="F49" s="1281"/>
      <c r="G49" s="1889"/>
      <c r="H49" s="792"/>
      <c r="I49" s="1885" t="s">
        <v>1534</v>
      </c>
      <c r="J49" s="1890"/>
      <c r="K49" s="1887" t="s">
        <v>1535</v>
      </c>
      <c r="L49" s="1891"/>
      <c r="O49" s="1892" t="s">
        <v>1042</v>
      </c>
      <c r="P49" s="1883" t="s">
        <v>1536</v>
      </c>
      <c r="Q49" s="1884">
        <f ca="1">C29</f>
        <v>0</v>
      </c>
      <c r="R49" s="1884" t="s">
        <v>1529</v>
      </c>
    </row>
    <row r="50" spans="1:18" s="1840" customFormat="1" ht="13.5" thickBot="1">
      <c r="A50" s="1195"/>
      <c r="B50" s="1198"/>
      <c r="C50" s="1199"/>
      <c r="D50" s="1172"/>
      <c r="E50" s="1277" t="s">
        <v>1406</v>
      </c>
      <c r="F50" s="1278">
        <f ca="1">F7</f>
        <v>0</v>
      </c>
      <c r="H50" s="792"/>
      <c r="I50" s="1885" t="s">
        <v>1537</v>
      </c>
      <c r="J50" s="1893">
        <f>SUMPRODUCT((I63:I65=J47)*(J62:L62=J48)*(J63:L65))</f>
        <v>0</v>
      </c>
      <c r="K50" s="1887" t="s">
        <v>1538</v>
      </c>
      <c r="L50" s="1891"/>
      <c r="M50" s="1894"/>
      <c r="O50" s="1892" t="s">
        <v>1043</v>
      </c>
      <c r="P50" s="1883" t="s">
        <v>1539</v>
      </c>
      <c r="Q50" s="1895" t="e">
        <f ca="1">J58</f>
        <v>#DIV/0!</v>
      </c>
      <c r="R50" s="1884"/>
    </row>
    <row r="51" spans="1:18" s="1840" customFormat="1" ht="13.5" thickBot="1">
      <c r="A51" s="1196"/>
      <c r="B51" s="1198"/>
      <c r="C51" s="1199"/>
      <c r="D51" s="1172"/>
      <c r="E51" s="1200" t="s">
        <v>1407</v>
      </c>
      <c r="F51" s="347">
        <f ca="1">F8</f>
        <v>0</v>
      </c>
      <c r="I51" s="1896" t="s">
        <v>1540</v>
      </c>
      <c r="J51" s="1897">
        <f>IF(J49="",J50,J49+J50-YEAR('数据-取费表'!B2))</f>
        <v>0</v>
      </c>
      <c r="K51" s="1898" t="s">
        <v>1541</v>
      </c>
      <c r="L51" s="1899">
        <f ca="1">ROUND(-PV(INDIRECT("'数据-取费表'!h"&amp;$G$1),L48,(C39-C13*C76),0),0)</f>
        <v>0</v>
      </c>
      <c r="M51" s="1900"/>
      <c r="O51" s="1892" t="s">
        <v>1044</v>
      </c>
      <c r="P51" s="1883" t="s">
        <v>1542</v>
      </c>
      <c r="Q51" s="1895">
        <f>J52</f>
        <v>0</v>
      </c>
      <c r="R51" s="1884"/>
    </row>
    <row r="52" spans="1:18" s="1840" customFormat="1" ht="13.5" thickBot="1">
      <c r="A52" s="1196"/>
      <c r="B52" s="1198"/>
      <c r="C52" s="1199"/>
      <c r="D52" s="1172"/>
      <c r="E52" s="1200" t="s">
        <v>1408</v>
      </c>
      <c r="F52" s="1275"/>
      <c r="I52" s="1901" t="s">
        <v>1543</v>
      </c>
      <c r="J52" s="1902"/>
      <c r="K52" s="1901" t="s">
        <v>1544</v>
      </c>
      <c r="L52" s="1902"/>
      <c r="O52" s="1892" t="s">
        <v>1045</v>
      </c>
      <c r="P52" s="1883" t="s">
        <v>1545</v>
      </c>
      <c r="Q52" s="1884" t="b">
        <f>J53</f>
        <v>0</v>
      </c>
      <c r="R52" s="1884" t="s">
        <v>1546</v>
      </c>
    </row>
    <row r="53" spans="1:18" s="1840" customFormat="1" ht="30.75" customHeight="1" thickBot="1">
      <c r="A53" s="1361" t="s">
        <v>1137</v>
      </c>
      <c r="B53" s="368" t="s">
        <v>1409</v>
      </c>
      <c r="C53" s="360">
        <f ca="1">ROUND(IF(F53="押一",C49/12*F11,IF(F53="押二",C49/12*2*F11,IF(F53="押三",C49/12*3*F11,C54*F11))),0)</f>
        <v>0</v>
      </c>
      <c r="D53" s="1822" t="s">
        <v>3031</v>
      </c>
      <c r="E53" s="357" t="s">
        <v>1410</v>
      </c>
      <c r="F53" s="1366"/>
      <c r="I53" s="1903" t="s">
        <v>1547</v>
      </c>
      <c r="J53" s="1904" t="b">
        <f>IF(M47="住宅",IF(D1="——",MAX(J51,L48),IF(D1="在建（套用方法）",MAX(J51,L48-'数据-取费表'!B24),MAX(J51,L48-'数据-取费表'!B20))),IF(D1="——",MIN(J51,L48),IF(D1="在建（套用方法）",MIN(J51,L48-'数据-取费表'!B24),IF(D1="土地（套用方法）",MIN(J51,L48-'数据-取费表'!B20)))))</f>
        <v>0</v>
      </c>
      <c r="K53" s="3187" t="s">
        <v>1548</v>
      </c>
      <c r="L53" s="3188"/>
      <c r="O53" s="1882" t="s">
        <v>1046</v>
      </c>
      <c r="P53" s="1883" t="s">
        <v>1549</v>
      </c>
      <c r="Q53" s="1884" t="e">
        <f ca="1">Q47+Q48</f>
        <v>#DIV/0!</v>
      </c>
      <c r="R53" s="1884" t="s">
        <v>1047</v>
      </c>
    </row>
    <row r="54" spans="1:18" s="1840" customFormat="1" ht="13.5" thickBot="1">
      <c r="A54" s="1194"/>
      <c r="B54" s="1939" t="s">
        <v>1603</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1550</v>
      </c>
      <c r="P54" s="1837"/>
      <c r="Q54" s="1837"/>
      <c r="R54" s="1837"/>
    </row>
    <row r="55" spans="1:18" s="1840" customFormat="1" ht="13.5" thickBot="1">
      <c r="A55" s="1333" t="s">
        <v>1075</v>
      </c>
      <c r="B55" s="1825" t="s">
        <v>1413</v>
      </c>
      <c r="C55" s="1334"/>
      <c r="D55" s="1822"/>
      <c r="E55" s="1830"/>
      <c r="F55" s="1905"/>
      <c r="I55" s="1908" t="s">
        <v>1551</v>
      </c>
      <c r="J55" s="1909" t="e">
        <f ca="1">ROUND(IF(J47="钢混",J57/J50,1-(1-2%)*(J50-J57)/J50),3)</f>
        <v>#DIV/0!</v>
      </c>
      <c r="K55" s="1910" t="s">
        <v>1552</v>
      </c>
      <c r="L55" s="1911"/>
      <c r="O55" s="1875" t="s">
        <v>1522</v>
      </c>
      <c r="P55" s="1876" t="s">
        <v>1523</v>
      </c>
      <c r="Q55" s="1877" t="s">
        <v>1524</v>
      </c>
      <c r="R55" s="1877" t="s">
        <v>1525</v>
      </c>
    </row>
    <row r="56" spans="1:18" s="1840" customFormat="1" ht="36" customHeight="1" thickTop="1" thickBot="1">
      <c r="A56" s="1176">
        <v>2</v>
      </c>
      <c r="B56" s="1177" t="s">
        <v>1414</v>
      </c>
      <c r="C56" s="275">
        <f ca="1">C13</f>
        <v>0</v>
      </c>
      <c r="D56" s="1912"/>
      <c r="E56" s="1913"/>
      <c r="F56" s="1905"/>
      <c r="I56" s="1914" t="s">
        <v>1554</v>
      </c>
      <c r="J56" s="1915"/>
      <c r="K56" s="1885" t="s">
        <v>1555</v>
      </c>
      <c r="L56" s="1888">
        <f ca="1">IF(L48&lt;J51,"——",L48-J51)</f>
        <v>0</v>
      </c>
      <c r="O56" s="1882" t="s">
        <v>1040</v>
      </c>
      <c r="P56" s="1883" t="s">
        <v>1528</v>
      </c>
      <c r="Q56" s="1884" t="e">
        <f ca="1">C40+J29</f>
        <v>#DIV/0!</v>
      </c>
      <c r="R56" s="1884" t="s">
        <v>1529</v>
      </c>
    </row>
    <row r="57" spans="1:18" s="1840" customFormat="1" ht="24.75" thickBot="1">
      <c r="A57" s="1916"/>
      <c r="B57" s="1169" t="s">
        <v>1478</v>
      </c>
      <c r="C57" s="281">
        <f ca="1">C29</f>
        <v>0</v>
      </c>
      <c r="D57" s="1917"/>
      <c r="E57" s="1918"/>
      <c r="F57" s="1919"/>
      <c r="I57" s="1920" t="s">
        <v>1556</v>
      </c>
      <c r="J57" s="1921">
        <f ca="1">IF(OR(M47="住宅",J51&lt;L48,J56="是"),"——",J51-L48)</f>
        <v>0</v>
      </c>
      <c r="K57" s="1885" t="s">
        <v>1605</v>
      </c>
      <c r="L57" s="1888">
        <f ca="1">IF(L48&lt;J51,"——",IF(L55="比较法",L49,IF(L55="基准地价",L50,L51)))</f>
        <v>0</v>
      </c>
      <c r="O57" s="1882" t="s">
        <v>1041</v>
      </c>
      <c r="P57" s="1883" t="s">
        <v>1606</v>
      </c>
      <c r="Q57" s="1884" t="e">
        <f ca="1">L60</f>
        <v>#DIV/0!</v>
      </c>
      <c r="R57" s="1884" t="s">
        <v>1607</v>
      </c>
    </row>
    <row r="58" spans="1:18" s="1840" customFormat="1" ht="24.75" thickBot="1">
      <c r="A58" s="359" t="s">
        <v>1030</v>
      </c>
      <c r="B58" s="1177" t="s">
        <v>1424</v>
      </c>
      <c r="C58" s="360">
        <f ca="1">ROUND(C59+C64+C65+C66,0)</f>
        <v>0</v>
      </c>
      <c r="D58" s="1179" t="s">
        <v>1425</v>
      </c>
      <c r="E58" s="1180"/>
      <c r="F58" s="1181"/>
      <c r="I58" s="1920" t="s">
        <v>1560</v>
      </c>
      <c r="J58" s="1922" t="e">
        <f ca="1">IF(J55&lt;0.4,0.4,J55)</f>
        <v>#DIV/0!</v>
      </c>
      <c r="K58" s="1898" t="s">
        <v>1608</v>
      </c>
      <c r="L58" s="1888" t="e">
        <f ca="1">ROUND(POWER(1+L52,L47-L48)*(POWER(1+L52,L48)-1)/(POWER(1+L52,L47)-1),4)</f>
        <v>#DIV/0!</v>
      </c>
      <c r="O58" s="1892" t="s">
        <v>1042</v>
      </c>
      <c r="P58" s="1883" t="s">
        <v>1562</v>
      </c>
      <c r="Q58" s="1884">
        <f>IF(L55="比较法",L49,IF(L55="基准地价",L50,0))</f>
        <v>0</v>
      </c>
      <c r="R58" s="1884" t="s">
        <v>1529</v>
      </c>
    </row>
    <row r="59" spans="1:18" s="1840" customFormat="1" ht="24.75" thickBot="1">
      <c r="A59" s="1201" t="s">
        <v>1035</v>
      </c>
      <c r="B59" s="1169" t="s">
        <v>1429</v>
      </c>
      <c r="C59" s="23">
        <f ca="1">ROUND(IF(项目基本情况!B11="自然人",C48*F59,C60+C61+C62),0)</f>
        <v>0</v>
      </c>
      <c r="D59" s="1182" t="s">
        <v>1430</v>
      </c>
      <c r="E59" s="1183" t="s">
        <v>1431</v>
      </c>
      <c r="F59" s="367" t="str">
        <f ca="1">IF(项目基本情况!B11="企业","",IF(INDIRECT("'数据-取费表'!c"&amp;$G$1)="住宅",5%,IF(F49*F50*F51/12/(1+'数据-取费表'!C42)&gt;20000,12%,7%)))</f>
        <v/>
      </c>
      <c r="I59" s="1920" t="s">
        <v>1563</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1564</v>
      </c>
      <c r="Q59" s="1895">
        <f>L52</f>
        <v>0</v>
      </c>
      <c r="R59" s="1884"/>
    </row>
    <row r="60" spans="1:18" s="1840" customFormat="1" ht="16.5" thickBot="1">
      <c r="A60" s="1201" t="s">
        <v>1034</v>
      </c>
      <c r="B60" s="1169" t="s">
        <v>1433</v>
      </c>
      <c r="C60" s="23">
        <f ca="1">IF(项目基本情况!B11="自然人","——",ROUND(C48*F60/(1+'数据-取费表'!C42),0))</f>
        <v>0</v>
      </c>
      <c r="D60" s="1183" t="s">
        <v>1434</v>
      </c>
      <c r="E60" s="1169" t="s">
        <v>1422</v>
      </c>
      <c r="F60" s="376">
        <f t="shared" ref="F60:F66" si="0">F32</f>
        <v>5.6000000000000001E-2</v>
      </c>
      <c r="I60" s="1923" t="s">
        <v>1565</v>
      </c>
      <c r="J60" s="1924" t="e">
        <f ca="1">IF(OR(M47="住宅",J51&lt;L48,J56="是"),"0",ROUND(J59/(1+J52)^J53,0))</f>
        <v>#DIV/0!</v>
      </c>
      <c r="K60" s="1925" t="s">
        <v>1566</v>
      </c>
      <c r="L60" s="1924" t="e">
        <f ca="1">IF(OR(M47="住宅",L48&lt;J51),0,ROUND(L57*(L58/L59-1),0))</f>
        <v>#DIV/0!</v>
      </c>
      <c r="O60" s="1892" t="s">
        <v>1044</v>
      </c>
      <c r="P60" s="1883" t="s">
        <v>1567</v>
      </c>
      <c r="Q60" s="1884" t="e">
        <f ca="1">L58</f>
        <v>#DIV/0!</v>
      </c>
      <c r="R60" s="1884" t="s">
        <v>1568</v>
      </c>
    </row>
    <row r="61" spans="1:18" s="1840" customFormat="1" ht="13.5" thickBot="1">
      <c r="A61" s="1201" t="s">
        <v>1492</v>
      </c>
      <c r="B61" s="1169" t="s">
        <v>1493</v>
      </c>
      <c r="C61" s="23">
        <f ca="1">IF(项目基本情况!B11="自然人","——",IF(D61="按租金收入计税",ROUND(C48*F61,0),IF(D61="按房产原值计税",ROUND(C57*F61*0.7,0),INDIRECT("'数据-取费表'!Aj"&amp;$G$1))))</f>
        <v>0</v>
      </c>
      <c r="D61" s="1826" t="s">
        <v>1438</v>
      </c>
      <c r="E61" s="1169" t="s">
        <v>1494</v>
      </c>
      <c r="F61" s="366">
        <f t="shared" si="0"/>
        <v>1.2E-2</v>
      </c>
      <c r="I61" s="1926"/>
      <c r="J61" s="1926"/>
      <c r="K61" s="1926"/>
      <c r="L61" s="1926"/>
      <c r="O61" s="1892" t="s">
        <v>1045</v>
      </c>
      <c r="P61" s="1883" t="str">
        <f>K59</f>
        <v>建设期及建筑物耐用年限下的土地年期修正系数Kn</v>
      </c>
      <c r="Q61" s="1884" t="e">
        <f ca="1">L59</f>
        <v>#DIV/0!</v>
      </c>
      <c r="R61" s="1884" t="s">
        <v>1569</v>
      </c>
    </row>
    <row r="62" spans="1:18" s="1840" customFormat="1" ht="13.5" thickBot="1">
      <c r="A62" s="1201" t="s">
        <v>1495</v>
      </c>
      <c r="B62" s="1168" t="s">
        <v>1496</v>
      </c>
      <c r="C62" s="24">
        <f ca="1">IF(项目基本情况!B11="自然人","——",ROUND(F62*F63,0))</f>
        <v>0</v>
      </c>
      <c r="D62" s="1184" t="s">
        <v>1497</v>
      </c>
      <c r="E62" s="1169" t="s">
        <v>1498</v>
      </c>
      <c r="F62" s="370">
        <f t="shared" si="0"/>
        <v>24</v>
      </c>
      <c r="I62" s="1927" t="s">
        <v>1570</v>
      </c>
      <c r="J62" s="1928" t="s">
        <v>1571</v>
      </c>
      <c r="K62" s="1928" t="s">
        <v>1572</v>
      </c>
      <c r="L62" s="1928" t="s">
        <v>1573</v>
      </c>
      <c r="M62" s="1929" t="s">
        <v>1574</v>
      </c>
      <c r="O62" s="1882" t="s">
        <v>1046</v>
      </c>
      <c r="P62" s="1883" t="s">
        <v>1575</v>
      </c>
      <c r="Q62" s="1884" t="e">
        <f ca="1">Q56+Q57</f>
        <v>#DIV/0!</v>
      </c>
      <c r="R62" s="1884" t="s">
        <v>1047</v>
      </c>
    </row>
    <row r="63" spans="1:18" s="1840" customFormat="1" ht="13.5" thickBot="1">
      <c r="A63" s="371"/>
      <c r="B63" s="1175"/>
      <c r="C63" s="28"/>
      <c r="D63" s="1185"/>
      <c r="E63" s="1169" t="s">
        <v>1499</v>
      </c>
      <c r="F63" s="347">
        <f t="shared" ca="1" si="0"/>
        <v>0</v>
      </c>
      <c r="I63" s="1927" t="s">
        <v>1576</v>
      </c>
      <c r="J63" s="1928">
        <v>70</v>
      </c>
      <c r="K63" s="1928">
        <v>50</v>
      </c>
      <c r="L63" s="1928">
        <v>80</v>
      </c>
      <c r="M63" s="1930">
        <v>0.02</v>
      </c>
      <c r="O63" s="1867" t="s">
        <v>1577</v>
      </c>
      <c r="P63" s="1837"/>
      <c r="Q63" s="1837"/>
      <c r="R63" s="1837"/>
    </row>
    <row r="64" spans="1:18" s="1840" customFormat="1" ht="13.5" thickBot="1">
      <c r="A64" s="1201" t="s">
        <v>1500</v>
      </c>
      <c r="B64" s="1169" t="s">
        <v>1501</v>
      </c>
      <c r="C64" s="23">
        <f ca="1">ROUND(C57*F64,0)</f>
        <v>0</v>
      </c>
      <c r="D64" s="1183" t="s">
        <v>1502</v>
      </c>
      <c r="E64" s="1169" t="s">
        <v>1494</v>
      </c>
      <c r="F64" s="373">
        <f t="shared" ca="1" si="0"/>
        <v>0</v>
      </c>
      <c r="I64" s="1927" t="s">
        <v>1578</v>
      </c>
      <c r="J64" s="1928">
        <v>50</v>
      </c>
      <c r="K64" s="1928">
        <v>35</v>
      </c>
      <c r="L64" s="1928">
        <v>60</v>
      </c>
      <c r="M64" s="1929">
        <v>0</v>
      </c>
      <c r="O64" s="1875" t="s">
        <v>1522</v>
      </c>
      <c r="P64" s="1876" t="s">
        <v>1523</v>
      </c>
      <c r="Q64" s="1877" t="s">
        <v>1524</v>
      </c>
      <c r="R64" s="1877" t="s">
        <v>1525</v>
      </c>
    </row>
    <row r="65" spans="1:18" s="1840" customFormat="1" ht="13.5" thickBot="1">
      <c r="A65" s="1201" t="s">
        <v>1503</v>
      </c>
      <c r="B65" s="1169" t="s">
        <v>1453</v>
      </c>
      <c r="C65" s="23">
        <f ca="1">ROUND(C56*F65,0)</f>
        <v>0</v>
      </c>
      <c r="D65" s="1183" t="s">
        <v>1454</v>
      </c>
      <c r="E65" s="1169" t="s">
        <v>1455</v>
      </c>
      <c r="F65" s="375">
        <f t="shared" ca="1" si="0"/>
        <v>0</v>
      </c>
      <c r="I65" s="1927" t="s">
        <v>1579</v>
      </c>
      <c r="J65" s="1928">
        <v>40</v>
      </c>
      <c r="K65" s="1928">
        <v>30</v>
      </c>
      <c r="L65" s="1928">
        <v>50</v>
      </c>
      <c r="M65" s="1930">
        <v>0.02</v>
      </c>
      <c r="O65" s="1882" t="s">
        <v>1040</v>
      </c>
      <c r="P65" s="1883" t="s">
        <v>1580</v>
      </c>
      <c r="Q65" s="1884" t="e">
        <f ca="1">C40+J29</f>
        <v>#DIV/0!</v>
      </c>
      <c r="R65" s="1884" t="s">
        <v>1529</v>
      </c>
    </row>
    <row r="66" spans="1:18" s="1840" customFormat="1" ht="16.5" thickBot="1">
      <c r="A66" s="1201" t="s">
        <v>1504</v>
      </c>
      <c r="B66" s="1169" t="s">
        <v>1439</v>
      </c>
      <c r="C66" s="23">
        <f ca="1">ROUND(C48*F66,0)</f>
        <v>0</v>
      </c>
      <c r="D66" s="1183" t="s">
        <v>1505</v>
      </c>
      <c r="E66" s="1169" t="s">
        <v>1422</v>
      </c>
      <c r="F66" s="356">
        <f t="shared" ca="1" si="0"/>
        <v>0</v>
      </c>
      <c r="O66" s="1882" t="s">
        <v>1041</v>
      </c>
      <c r="P66" s="1883" t="s">
        <v>1558</v>
      </c>
      <c r="Q66" s="1884" t="e">
        <f ca="1">L60</f>
        <v>#DIV/0!</v>
      </c>
      <c r="R66" s="1884" t="s">
        <v>1581</v>
      </c>
    </row>
    <row r="67" spans="1:18" s="1840" customFormat="1" ht="16.5" thickBot="1">
      <c r="A67" s="1176" t="s">
        <v>1031</v>
      </c>
      <c r="B67" s="1186" t="s">
        <v>1463</v>
      </c>
      <c r="C67" s="360">
        <f ca="1">C48-C58</f>
        <v>0</v>
      </c>
      <c r="D67" s="1182" t="s">
        <v>1464</v>
      </c>
      <c r="E67" s="1187"/>
      <c r="F67" s="1188"/>
      <c r="O67" s="1892" t="s">
        <v>1042</v>
      </c>
      <c r="P67" s="1883" t="s">
        <v>1562</v>
      </c>
      <c r="Q67" s="1931">
        <f ca="1">L51</f>
        <v>0</v>
      </c>
      <c r="R67" s="1884" t="s">
        <v>1582</v>
      </c>
    </row>
    <row r="68" spans="1:18" s="1840" customFormat="1" ht="16.5" thickBot="1">
      <c r="A68" s="1166" t="s">
        <v>1032</v>
      </c>
      <c r="B68" s="1167" t="s">
        <v>1485</v>
      </c>
      <c r="C68" s="345" t="e">
        <f ca="1">ROUND(C67*(1-((1+F70)/(1+F68))^F69)/(F68-F70),0)</f>
        <v>#DIV/0!</v>
      </c>
      <c r="D68" s="1184" t="s">
        <v>1469</v>
      </c>
      <c r="E68" s="1169" t="s">
        <v>1470</v>
      </c>
      <c r="F68" s="356">
        <f ca="1">F40</f>
        <v>0</v>
      </c>
      <c r="O68" s="1892" t="s">
        <v>1043</v>
      </c>
      <c r="P68" s="1932" t="s">
        <v>1583</v>
      </c>
      <c r="Q68" s="1884">
        <f ca="1">ROUND(Q69-Q70*Q71,0)</f>
        <v>0</v>
      </c>
      <c r="R68" s="1884" t="s">
        <v>1051</v>
      </c>
    </row>
    <row r="69" spans="1:18" s="1840" customFormat="1" ht="13.5" thickBot="1">
      <c r="A69" s="1170"/>
      <c r="B69" s="1171"/>
      <c r="C69" s="350"/>
      <c r="D69" s="1189" t="s">
        <v>1473</v>
      </c>
      <c r="E69" s="1169" t="s">
        <v>1474</v>
      </c>
      <c r="F69" s="378">
        <f ca="1">F41</f>
        <v>0</v>
      </c>
      <c r="O69" s="1892" t="s">
        <v>1048</v>
      </c>
      <c r="P69" s="1932" t="s">
        <v>1584</v>
      </c>
      <c r="Q69" s="1884">
        <f ca="1">C39</f>
        <v>0</v>
      </c>
      <c r="R69" s="1884" t="s">
        <v>1529</v>
      </c>
    </row>
    <row r="70" spans="1:18" s="1840" customFormat="1" ht="13.5" thickBot="1">
      <c r="A70" s="1173"/>
      <c r="B70" s="1174"/>
      <c r="C70" s="354"/>
      <c r="D70" s="1185"/>
      <c r="E70" s="1169" t="s">
        <v>1477</v>
      </c>
      <c r="F70" s="1275">
        <f ca="1">F42</f>
        <v>0</v>
      </c>
      <c r="O70" s="1892" t="s">
        <v>1049</v>
      </c>
      <c r="P70" s="1932" t="s">
        <v>1585</v>
      </c>
      <c r="Q70" s="1884">
        <f ca="1">C13</f>
        <v>0</v>
      </c>
      <c r="R70" s="1884" t="s">
        <v>1529</v>
      </c>
    </row>
    <row r="71" spans="1:18" s="1840" customFormat="1" ht="13.5" thickBot="1">
      <c r="A71" s="1190" t="s">
        <v>1033</v>
      </c>
      <c r="B71" s="1191" t="s">
        <v>1487</v>
      </c>
      <c r="C71" s="381" t="e">
        <f ca="1">ROUND(C68/F71,0)</f>
        <v>#DIV/0!</v>
      </c>
      <c r="D71" s="1192" t="s">
        <v>1488</v>
      </c>
      <c r="E71" s="1193" t="s">
        <v>1489</v>
      </c>
      <c r="F71" s="384">
        <f ca="1">F43</f>
        <v>0</v>
      </c>
      <c r="O71" s="1892" t="s">
        <v>1050</v>
      </c>
      <c r="P71" s="1932" t="s">
        <v>1586</v>
      </c>
      <c r="Q71" s="1895">
        <f ca="1">C76</f>
        <v>0</v>
      </c>
      <c r="R71" s="1884"/>
    </row>
    <row r="72" spans="1:18" s="1840" customFormat="1" ht="13.5" thickBot="1">
      <c r="B72" s="795"/>
      <c r="C72" s="795"/>
      <c r="O72" s="1892" t="s">
        <v>1044</v>
      </c>
      <c r="P72" s="1883" t="s">
        <v>1564</v>
      </c>
      <c r="Q72" s="1895">
        <f>L52</f>
        <v>0</v>
      </c>
      <c r="R72" s="1884"/>
    </row>
    <row r="73" spans="1:18" ht="16.5" thickBot="1">
      <c r="A73" s="1840"/>
      <c r="B73" s="795"/>
      <c r="C73" s="795"/>
      <c r="D73" s="1840"/>
      <c r="E73" s="1840"/>
      <c r="F73" s="1840"/>
      <c r="O73" s="1892" t="s">
        <v>1045</v>
      </c>
      <c r="P73" s="1883" t="s">
        <v>1567</v>
      </c>
      <c r="Q73" s="1884" t="e">
        <f ca="1">L58</f>
        <v>#DIV/0!</v>
      </c>
      <c r="R73" s="1884" t="s">
        <v>1568</v>
      </c>
    </row>
    <row r="74" spans="1:18" ht="13.5" thickBot="1">
      <c r="A74" s="1840"/>
      <c r="B74" s="316" t="s">
        <v>1587</v>
      </c>
      <c r="C74" s="1934"/>
      <c r="D74" s="1840"/>
      <c r="E74" s="1840"/>
      <c r="F74" s="1840"/>
      <c r="O74" s="1892" t="s">
        <v>1052</v>
      </c>
      <c r="P74" s="1883" t="str">
        <f>K59</f>
        <v>建设期及建筑物耐用年限下的土地年期修正系数Kn</v>
      </c>
      <c r="Q74" s="1884" t="e">
        <f ca="1">L59</f>
        <v>#DIV/0!</v>
      </c>
      <c r="R74" s="1884" t="s">
        <v>1569</v>
      </c>
    </row>
    <row r="75" spans="1:18" ht="13.5" thickBot="1">
      <c r="A75" s="1840"/>
      <c r="B75" s="385" t="s">
        <v>1506</v>
      </c>
      <c r="C75" s="386">
        <f ca="1">ROUND(C13*C76,0)</f>
        <v>0</v>
      </c>
      <c r="D75" s="1840"/>
      <c r="E75" s="1840"/>
      <c r="F75" s="1840"/>
      <c r="K75" s="1866"/>
      <c r="L75" s="1840"/>
      <c r="O75" s="1882" t="s">
        <v>1046</v>
      </c>
      <c r="P75" s="1883" t="s">
        <v>1549</v>
      </c>
      <c r="Q75" s="1884" t="e">
        <f ca="1">Q65+Q66</f>
        <v>#DIV/0!</v>
      </c>
      <c r="R75" s="1884" t="s">
        <v>1047</v>
      </c>
    </row>
    <row r="76" spans="1:18">
      <c r="B76" s="387" t="s">
        <v>1507</v>
      </c>
      <c r="C76" s="388">
        <f ca="1">INDIRECT("'数据-取费表'!j"&amp;$G$1)</f>
        <v>0</v>
      </c>
      <c r="I76" s="1840"/>
      <c r="J76" s="1840"/>
      <c r="K76" s="1866"/>
      <c r="L76" s="1840"/>
    </row>
    <row r="77" spans="1:18">
      <c r="B77" s="389" t="s">
        <v>1508</v>
      </c>
      <c r="C77" s="390"/>
      <c r="I77" s="1840"/>
      <c r="J77" s="1840"/>
      <c r="K77" s="1866"/>
      <c r="L77" s="1840"/>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8" priority="4">
      <formula>$L$48&gt;$J$51</formula>
    </cfRule>
  </conditionalFormatting>
  <conditionalFormatting sqref="I55 I60">
    <cfRule type="expression" dxfId="137" priority="5">
      <formula>$J$51&gt;$L$48</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5" sqref="C5:C10"/>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2515</v>
      </c>
      <c r="B1" s="2561"/>
      <c r="C1" s="2561"/>
      <c r="D1" s="2561"/>
      <c r="E1" s="2562"/>
    </row>
    <row r="2" spans="1:6" ht="15.75">
      <c r="A2" s="2563" t="s">
        <v>2316</v>
      </c>
      <c r="B2" s="2564">
        <f ca="1">SUMIF(B6:B13,"&lt;&gt;#ref!",B6:B13)</f>
        <v>25181</v>
      </c>
      <c r="C2" s="2565" t="s">
        <v>2508</v>
      </c>
      <c r="D2" s="2566" t="s">
        <v>2509</v>
      </c>
      <c r="E2" s="2567">
        <f>SUM(E6:E13)</f>
        <v>8276.64</v>
      </c>
    </row>
    <row r="3" spans="1:6" ht="15.75">
      <c r="A3" s="2563" t="s">
        <v>1395</v>
      </c>
      <c r="B3" s="2564">
        <f ca="1">ROUND(B2*10000/E2,0)</f>
        <v>30424</v>
      </c>
      <c r="C3" s="2565" t="s">
        <v>2516</v>
      </c>
      <c r="D3" s="2568"/>
      <c r="E3" s="2569"/>
    </row>
    <row r="4" spans="1:6" ht="15.75">
      <c r="A4" s="2570"/>
      <c r="B4" s="2568"/>
      <c r="C4" s="2568"/>
      <c r="D4" s="2568"/>
      <c r="E4" s="2569"/>
    </row>
    <row r="5" spans="1:6" ht="15">
      <c r="A5" s="2571" t="s">
        <v>2510</v>
      </c>
      <c r="B5" s="3192" t="s">
        <v>2511</v>
      </c>
      <c r="C5" s="3192"/>
      <c r="D5" s="2572"/>
      <c r="E5" s="2573" t="s">
        <v>2512</v>
      </c>
      <c r="F5" s="2574" t="s">
        <v>2513</v>
      </c>
    </row>
    <row r="6" spans="1:6">
      <c r="A6" s="2575" t="str">
        <f>'数据-取费表'!AN6</f>
        <v>收益法</v>
      </c>
      <c r="B6" s="2574">
        <f ca="1">IF(F6="是",'数据-取费表'!AO6,0)</f>
        <v>25181</v>
      </c>
      <c r="C6" s="2565" t="s">
        <v>2508</v>
      </c>
      <c r="D6" s="2568"/>
      <c r="E6" s="2576">
        <f>IF(OR(A6=0,F6="否"),0,'数据-取费表'!K6+'数据-取费表'!S6)</f>
        <v>8276.64</v>
      </c>
      <c r="F6" s="2577" t="s">
        <v>2514</v>
      </c>
    </row>
    <row r="7" spans="1:6">
      <c r="A7" s="2575">
        <f>'数据-取费表'!AN7</f>
        <v>0</v>
      </c>
      <c r="B7" s="2574" t="e">
        <f ca="1">IF(F7="是",'数据-取费表'!AO7,0)</f>
        <v>#REF!</v>
      </c>
      <c r="C7" s="2565" t="s">
        <v>2508</v>
      </c>
      <c r="D7" s="2568"/>
      <c r="E7" s="2576">
        <f>IF(OR(A7=0,F7="否"),0,'数据-取费表'!K7+'数据-取费表'!S7)</f>
        <v>0</v>
      </c>
      <c r="F7" s="2577" t="s">
        <v>2514</v>
      </c>
    </row>
    <row r="8" spans="1:6">
      <c r="A8" s="2575">
        <f>'数据-取费表'!AN8</f>
        <v>0</v>
      </c>
      <c r="B8" s="2574" t="e">
        <f ca="1">IF(F8="是",'数据-取费表'!AO8,0)</f>
        <v>#REF!</v>
      </c>
      <c r="C8" s="2565" t="s">
        <v>2508</v>
      </c>
      <c r="D8" s="2568"/>
      <c r="E8" s="2576">
        <f>IF(OR(A8=0,F8="否"),0,'数据-取费表'!K8+'数据-取费表'!S8)</f>
        <v>0</v>
      </c>
      <c r="F8" s="2577" t="s">
        <v>2514</v>
      </c>
    </row>
    <row r="9" spans="1:6">
      <c r="A9" s="2575">
        <f>'数据-取费表'!AN9</f>
        <v>0</v>
      </c>
      <c r="B9" s="2574" t="e">
        <f ca="1">IF(F9="是",'数据-取费表'!AO9,0)</f>
        <v>#REF!</v>
      </c>
      <c r="C9" s="2565" t="s">
        <v>2508</v>
      </c>
      <c r="D9" s="2568"/>
      <c r="E9" s="2576">
        <f>IF(OR(A9=0,F9="否"),0,'数据-取费表'!K9+'数据-取费表'!S9)</f>
        <v>0</v>
      </c>
      <c r="F9" s="2577" t="s">
        <v>2514</v>
      </c>
    </row>
    <row r="10" spans="1:6">
      <c r="A10" s="2575">
        <f>'数据-取费表'!AN10</f>
        <v>0</v>
      </c>
      <c r="B10" s="2574" t="e">
        <f ca="1">IF(F10="是",'数据-取费表'!AO10,0)</f>
        <v>#REF!</v>
      </c>
      <c r="C10" s="2565" t="s">
        <v>2508</v>
      </c>
      <c r="D10" s="2568"/>
      <c r="E10" s="2576">
        <f>IF(OR(A10=0,F10="否"),0,'数据-取费表'!K10+'数据-取费表'!S10)</f>
        <v>0</v>
      </c>
      <c r="F10" s="2577" t="s">
        <v>2514</v>
      </c>
    </row>
    <row r="11" spans="1:6">
      <c r="A11" s="2575">
        <f>'数据-取费表'!AN11</f>
        <v>0</v>
      </c>
      <c r="B11" s="2574" t="e">
        <f ca="1">IF(F11="是",'数据-取费表'!AO11,0)</f>
        <v>#REF!</v>
      </c>
      <c r="C11" s="2565" t="s">
        <v>2508</v>
      </c>
      <c r="D11" s="2568"/>
      <c r="E11" s="2576">
        <f>IF(OR(A11=0,F11="否"),0,'数据-取费表'!K11+'数据-取费表'!S11)</f>
        <v>0</v>
      </c>
      <c r="F11" s="2577" t="s">
        <v>2514</v>
      </c>
    </row>
    <row r="12" spans="1:6">
      <c r="A12" s="2575">
        <f>'数据-取费表'!AN12</f>
        <v>0</v>
      </c>
      <c r="B12" s="2574" t="e">
        <f ca="1">IF(F12="是",'数据-取费表'!AO12,0)</f>
        <v>#REF!</v>
      </c>
      <c r="C12" s="2565" t="s">
        <v>2508</v>
      </c>
      <c r="D12" s="2568"/>
      <c r="E12" s="2576">
        <f>IF(OR(A12=0,F12="否"),0,'数据-取费表'!K12+'数据-取费表'!S12)</f>
        <v>0</v>
      </c>
      <c r="F12" s="2577" t="s">
        <v>2514</v>
      </c>
    </row>
    <row r="13" spans="1:6" ht="15" thickBot="1">
      <c r="A13" s="2578">
        <f>'数据-取费表'!AN13</f>
        <v>0</v>
      </c>
      <c r="B13" s="2574" t="e">
        <f ca="1">IF(F13="是",'数据-取费表'!AO13,0)</f>
        <v>#REF!</v>
      </c>
      <c r="C13" s="2579" t="s">
        <v>2508</v>
      </c>
      <c r="D13" s="2580"/>
      <c r="E13" s="2576">
        <f>IF(OR(A13=0,F13="否"),0,'数据-取费表'!K13+'数据-取费表'!S13)</f>
        <v>0</v>
      </c>
      <c r="F13" s="257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5" sqref="C5:C10"/>
    </sheetView>
  </sheetViews>
  <sheetFormatPr defaultRowHeight="13.5"/>
  <cols>
    <col min="1" max="1" width="10.5" customWidth="1"/>
    <col min="2" max="2" width="12.875" customWidth="1"/>
    <col min="3" max="3" width="8.75" customWidth="1"/>
  </cols>
  <sheetData>
    <row r="1" spans="1:9" ht="14.25">
      <c r="A1" s="3193" t="s">
        <v>1076</v>
      </c>
      <c r="B1" s="3194"/>
      <c r="C1" s="3195"/>
      <c r="D1" s="3196">
        <f>SUM(I10,I15,I20,I21,I23)</f>
        <v>0</v>
      </c>
      <c r="E1" s="3196"/>
      <c r="F1" s="3196"/>
      <c r="G1" s="3196"/>
      <c r="H1" s="3196"/>
      <c r="I1" s="3197"/>
    </row>
    <row r="2" spans="1:9">
      <c r="A2" s="3198" t="s">
        <v>1077</v>
      </c>
      <c r="B2" s="3199" t="s">
        <v>1078</v>
      </c>
      <c r="C2" s="3199"/>
      <c r="D2" s="1301" t="s">
        <v>1079</v>
      </c>
      <c r="E2" s="1301" t="s">
        <v>1080</v>
      </c>
      <c r="F2" s="1301" t="s">
        <v>1081</v>
      </c>
      <c r="G2" s="1301" t="s">
        <v>1082</v>
      </c>
      <c r="H2" s="1301" t="s">
        <v>1083</v>
      </c>
      <c r="I2" s="1302" t="s">
        <v>1084</v>
      </c>
    </row>
    <row r="3" spans="1:9">
      <c r="A3" s="3198"/>
      <c r="B3" s="3199" t="s">
        <v>1085</v>
      </c>
      <c r="C3" s="3199"/>
      <c r="D3" s="1303"/>
      <c r="E3" s="1301"/>
      <c r="F3" s="1304"/>
      <c r="G3" s="1304"/>
      <c r="H3" s="1305"/>
      <c r="I3" s="1306">
        <f>ROUND(D3*E3*F3*G3*H3/10000,0)</f>
        <v>0</v>
      </c>
    </row>
    <row r="4" spans="1:9">
      <c r="A4" s="3198"/>
      <c r="B4" s="3199" t="s">
        <v>1086</v>
      </c>
      <c r="C4" s="3199"/>
      <c r="D4" s="1303"/>
      <c r="E4" s="1301"/>
      <c r="F4" s="1304"/>
      <c r="G4" s="1304"/>
      <c r="H4" s="1305"/>
      <c r="I4" s="1306">
        <f t="shared" ref="I4:I9" si="0">ROUND(D4*E4*F4*G4*H4/10000,0)</f>
        <v>0</v>
      </c>
    </row>
    <row r="5" spans="1:9">
      <c r="A5" s="3198"/>
      <c r="B5" s="3199" t="s">
        <v>1087</v>
      </c>
      <c r="C5" s="3199"/>
      <c r="D5" s="1303"/>
      <c r="E5" s="1301"/>
      <c r="F5" s="1304"/>
      <c r="G5" s="1304"/>
      <c r="H5" s="1305"/>
      <c r="I5" s="1306">
        <f t="shared" si="0"/>
        <v>0</v>
      </c>
    </row>
    <row r="6" spans="1:9">
      <c r="A6" s="3198"/>
      <c r="B6" s="3199" t="s">
        <v>1088</v>
      </c>
      <c r="C6" s="3199"/>
      <c r="D6" s="1303"/>
      <c r="E6" s="1301"/>
      <c r="F6" s="1304"/>
      <c r="G6" s="1304"/>
      <c r="H6" s="1305"/>
      <c r="I6" s="1306">
        <f t="shared" si="0"/>
        <v>0</v>
      </c>
    </row>
    <row r="7" spans="1:9">
      <c r="A7" s="3198"/>
      <c r="B7" s="3199" t="s">
        <v>1089</v>
      </c>
      <c r="C7" s="3199"/>
      <c r="D7" s="1303"/>
      <c r="E7" s="1301"/>
      <c r="F7" s="1304"/>
      <c r="G7" s="1304"/>
      <c r="H7" s="1305"/>
      <c r="I7" s="1306">
        <f t="shared" si="0"/>
        <v>0</v>
      </c>
    </row>
    <row r="8" spans="1:9">
      <c r="A8" s="3198"/>
      <c r="B8" s="3199" t="s">
        <v>1090</v>
      </c>
      <c r="C8" s="3199"/>
      <c r="D8" s="1303"/>
      <c r="E8" s="1301"/>
      <c r="F8" s="1304"/>
      <c r="G8" s="1304"/>
      <c r="H8" s="1305"/>
      <c r="I8" s="1306">
        <f t="shared" si="0"/>
        <v>0</v>
      </c>
    </row>
    <row r="9" spans="1:9">
      <c r="A9" s="3198"/>
      <c r="B9" s="3199" t="s">
        <v>1091</v>
      </c>
      <c r="C9" s="3199"/>
      <c r="D9" s="1303"/>
      <c r="E9" s="1301"/>
      <c r="F9" s="1304"/>
      <c r="G9" s="1304"/>
      <c r="H9" s="1305"/>
      <c r="I9" s="1306">
        <f t="shared" si="0"/>
        <v>0</v>
      </c>
    </row>
    <row r="10" spans="1:9">
      <c r="A10" s="3198"/>
      <c r="B10" s="3200" t="s">
        <v>1092</v>
      </c>
      <c r="C10" s="3200"/>
      <c r="D10" s="1307"/>
      <c r="E10" s="1307" t="e">
        <f>ROUND(D1*10000/D10/H9,0)</f>
        <v>#DIV/0!</v>
      </c>
      <c r="F10" s="1308"/>
      <c r="G10" s="1308"/>
      <c r="H10" s="1309"/>
      <c r="I10" s="1310">
        <f>SUM(I3:I9)</f>
        <v>0</v>
      </c>
    </row>
    <row r="11" spans="1:9" ht="14.25">
      <c r="A11" s="3198" t="s">
        <v>1093</v>
      </c>
      <c r="B11" s="3199" t="s">
        <v>1094</v>
      </c>
      <c r="C11" s="3199"/>
      <c r="D11" s="1303" t="s">
        <v>1095</v>
      </c>
      <c r="E11" s="1303" t="s">
        <v>1096</v>
      </c>
      <c r="F11" s="1304" t="s">
        <v>1097</v>
      </c>
      <c r="G11" s="1304" t="s">
        <v>1083</v>
      </c>
      <c r="H11" s="1311" t="s">
        <v>1098</v>
      </c>
      <c r="I11" s="1302" t="s">
        <v>1084</v>
      </c>
    </row>
    <row r="12" spans="1:9">
      <c r="A12" s="3198"/>
      <c r="B12" s="3199" t="s">
        <v>1099</v>
      </c>
      <c r="C12" s="3199"/>
      <c r="D12" s="1303"/>
      <c r="E12" s="1303"/>
      <c r="F12" s="1304"/>
      <c r="G12" s="1305"/>
      <c r="H12" s="1312"/>
      <c r="I12" s="1302">
        <f>ROUND(D12*E12*F12*G12/10000,0)</f>
        <v>0</v>
      </c>
    </row>
    <row r="13" spans="1:9">
      <c r="A13" s="3198"/>
      <c r="B13" s="3199" t="s">
        <v>1100</v>
      </c>
      <c r="C13" s="3199"/>
      <c r="D13" s="1303"/>
      <c r="E13" s="1303"/>
      <c r="F13" s="1304"/>
      <c r="G13" s="1305"/>
      <c r="H13" s="1312"/>
      <c r="I13" s="1302">
        <f>ROUND(D13*E13*F13*G13/10000,0)</f>
        <v>0</v>
      </c>
    </row>
    <row r="14" spans="1:9">
      <c r="A14" s="3198"/>
      <c r="B14" s="3199" t="s">
        <v>1101</v>
      </c>
      <c r="C14" s="3199"/>
      <c r="D14" s="1303"/>
      <c r="E14" s="1303"/>
      <c r="F14" s="1304"/>
      <c r="G14" s="1305"/>
      <c r="H14" s="1312"/>
      <c r="I14" s="1302">
        <f>ROUND(D14*E14*F14*G14/10000,0)</f>
        <v>0</v>
      </c>
    </row>
    <row r="15" spans="1:9">
      <c r="A15" s="3198"/>
      <c r="B15" s="3200" t="s">
        <v>1092</v>
      </c>
      <c r="C15" s="3200"/>
      <c r="D15" s="1307"/>
      <c r="E15" s="1307">
        <f>SUM(E12:E14)</f>
        <v>0</v>
      </c>
      <c r="F15" s="1308"/>
      <c r="G15" s="1305"/>
      <c r="H15" s="1312"/>
      <c r="I15" s="1313">
        <f>SUM(I12:I14)</f>
        <v>0</v>
      </c>
    </row>
    <row r="16" spans="1:9" ht="24">
      <c r="A16" s="3198" t="s">
        <v>1102</v>
      </c>
      <c r="B16" s="3199" t="s">
        <v>1103</v>
      </c>
      <c r="C16" s="3199"/>
      <c r="D16" s="1303" t="s">
        <v>1079</v>
      </c>
      <c r="E16" s="1314" t="s">
        <v>1104</v>
      </c>
      <c r="F16" s="1304" t="s">
        <v>1105</v>
      </c>
      <c r="G16" s="1305" t="s">
        <v>1083</v>
      </c>
      <c r="H16" s="1311" t="s">
        <v>1098</v>
      </c>
      <c r="I16" s="1302" t="s">
        <v>1084</v>
      </c>
    </row>
    <row r="17" spans="1:9" ht="14.25">
      <c r="A17" s="3198"/>
      <c r="B17" s="3199" t="s">
        <v>1106</v>
      </c>
      <c r="C17" s="3199"/>
      <c r="D17" s="1303"/>
      <c r="E17" s="1303"/>
      <c r="F17" s="1304"/>
      <c r="G17" s="1305"/>
      <c r="H17" s="1315"/>
      <c r="I17" s="1316">
        <f>ROUND(D17*E17*F17*G17/10000,0)</f>
        <v>0</v>
      </c>
    </row>
    <row r="18" spans="1:9" ht="14.25">
      <c r="A18" s="3198"/>
      <c r="B18" s="3199" t="s">
        <v>1107</v>
      </c>
      <c r="C18" s="3199"/>
      <c r="D18" s="1303"/>
      <c r="E18" s="1303"/>
      <c r="F18" s="1304"/>
      <c r="G18" s="1305"/>
      <c r="H18" s="1315"/>
      <c r="I18" s="1316">
        <f>ROUND(D18*E18*F18*G18/10000,0)</f>
        <v>0</v>
      </c>
    </row>
    <row r="19" spans="1:9" ht="14.25">
      <c r="A19" s="3198"/>
      <c r="B19" s="3199" t="s">
        <v>1108</v>
      </c>
      <c r="C19" s="3199"/>
      <c r="D19" s="1303"/>
      <c r="E19" s="1303"/>
      <c r="F19" s="1304"/>
      <c r="G19" s="1305"/>
      <c r="H19" s="1315"/>
      <c r="I19" s="1316">
        <f>ROUND(D19*E19*F19*G19/10000,0)</f>
        <v>0</v>
      </c>
    </row>
    <row r="20" spans="1:9">
      <c r="A20" s="3198"/>
      <c r="B20" s="3200" t="s">
        <v>1092</v>
      </c>
      <c r="C20" s="3200"/>
      <c r="D20" s="1307">
        <f>SUM(D17:D19)</f>
        <v>0</v>
      </c>
      <c r="E20" s="1307"/>
      <c r="F20" s="1308"/>
      <c r="G20" s="1305"/>
      <c r="H20" s="1312"/>
      <c r="I20" s="1313">
        <f>SUM(I17:I19)</f>
        <v>0</v>
      </c>
    </row>
    <row r="21" spans="1:9">
      <c r="A21" s="3198" t="s">
        <v>1109</v>
      </c>
      <c r="B21" s="3202"/>
      <c r="C21" s="3202"/>
      <c r="D21" s="3202"/>
      <c r="E21" s="3202"/>
      <c r="F21" s="3202"/>
      <c r="G21" s="3202"/>
      <c r="H21" s="1763">
        <v>0.1</v>
      </c>
      <c r="I21" s="1310">
        <f>ROUND(I10*H21,0)</f>
        <v>0</v>
      </c>
    </row>
    <row r="22" spans="1:9" ht="14.25">
      <c r="A22" s="3203" t="s">
        <v>1110</v>
      </c>
      <c r="B22" s="3204"/>
      <c r="C22" s="3205"/>
      <c r="D22" s="1317" t="s">
        <v>1111</v>
      </c>
      <c r="E22" s="1317" t="s">
        <v>1112</v>
      </c>
      <c r="F22" s="1318" t="s">
        <v>1113</v>
      </c>
      <c r="G22" s="1318" t="s">
        <v>1114</v>
      </c>
      <c r="H22" s="1311" t="s">
        <v>1115</v>
      </c>
      <c r="I22" s="1302" t="s">
        <v>1116</v>
      </c>
    </row>
    <row r="23" spans="1:9" ht="14.25" thickBot="1">
      <c r="A23" s="3206"/>
      <c r="B23" s="3207"/>
      <c r="C23" s="3208"/>
      <c r="D23" s="1319"/>
      <c r="E23" s="1319"/>
      <c r="F23" s="1319"/>
      <c r="G23" s="1320"/>
      <c r="H23" s="1321"/>
      <c r="I23" s="1322">
        <f>ROUND(E23*D23*F23*(1-G23)/10000,0)</f>
        <v>0</v>
      </c>
    </row>
    <row r="26" spans="1:9">
      <c r="A26" s="1323" t="s">
        <v>1117</v>
      </c>
      <c r="B26" s="1323"/>
      <c r="C26" s="1323"/>
      <c r="D26" s="1323"/>
      <c r="E26" s="3209">
        <f>C27-C30-C31-C32</f>
        <v>0</v>
      </c>
      <c r="F26" s="3209"/>
      <c r="G26" s="3209"/>
      <c r="H26" s="1735" t="s">
        <v>1340</v>
      </c>
    </row>
    <row r="27" spans="1:9">
      <c r="A27" s="1324">
        <v>1</v>
      </c>
      <c r="B27" s="1325" t="s">
        <v>1118</v>
      </c>
      <c r="C27" s="1325">
        <f>C28+C29</f>
        <v>0</v>
      </c>
      <c r="D27" s="1325"/>
      <c r="E27" s="3210"/>
      <c r="F27" s="3210"/>
      <c r="G27" s="3210"/>
    </row>
    <row r="28" spans="1:9">
      <c r="A28" s="1326" t="s">
        <v>1119</v>
      </c>
      <c r="B28" s="1325" t="s">
        <v>1120</v>
      </c>
      <c r="C28" s="1325"/>
      <c r="D28" s="1325"/>
      <c r="E28" s="3210"/>
      <c r="F28" s="3210"/>
      <c r="G28" s="3210"/>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01"/>
      <c r="F32" s="3201"/>
      <c r="G32" s="3201"/>
    </row>
    <row r="33" spans="1:7" hidden="1">
      <c r="A33" s="3211" t="s">
        <v>1129</v>
      </c>
      <c r="B33" s="3212"/>
      <c r="C33" s="3212"/>
      <c r="D33" s="3213"/>
      <c r="E33" s="3209"/>
      <c r="F33" s="3209"/>
      <c r="G33" s="3209"/>
    </row>
    <row r="34" spans="1:7" hidden="1">
      <c r="A34" s="1328">
        <v>1</v>
      </c>
      <c r="B34" s="1325" t="s">
        <v>1130</v>
      </c>
      <c r="C34" s="1325"/>
      <c r="D34" s="1325"/>
      <c r="E34" s="3210"/>
      <c r="F34" s="3210"/>
      <c r="G34" s="3210"/>
    </row>
    <row r="35" spans="1:7" hidden="1">
      <c r="A35" s="1328">
        <v>2</v>
      </c>
      <c r="B35" s="1325" t="s">
        <v>1131</v>
      </c>
      <c r="C35" s="1325"/>
      <c r="D35" s="1325"/>
      <c r="E35" s="3210"/>
      <c r="F35" s="3210"/>
      <c r="G35" s="3210"/>
    </row>
    <row r="36" spans="1:7" hidden="1">
      <c r="A36" s="1328">
        <v>3</v>
      </c>
      <c r="B36" s="1325" t="s">
        <v>1132</v>
      </c>
      <c r="C36" s="1325"/>
      <c r="D36" s="1325"/>
      <c r="E36" s="3210"/>
      <c r="F36" s="3210"/>
      <c r="G36" s="3210"/>
    </row>
    <row r="37" spans="1:7" hidden="1">
      <c r="A37" s="1328">
        <v>4</v>
      </c>
      <c r="B37" s="1325" t="s">
        <v>1133</v>
      </c>
      <c r="C37" s="1325"/>
      <c r="D37" s="1325"/>
      <c r="E37" s="3210"/>
      <c r="F37" s="3210"/>
      <c r="G37" s="3210"/>
    </row>
    <row r="38" spans="1:7" hidden="1">
      <c r="A38" s="3211" t="s">
        <v>1134</v>
      </c>
      <c r="B38" s="3212"/>
      <c r="C38" s="3212"/>
      <c r="D38" s="3213"/>
      <c r="E38" s="3209"/>
      <c r="F38" s="3209"/>
      <c r="G38" s="32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581" t="s">
        <v>2518</v>
      </c>
      <c r="C1" s="1632" t="s">
        <v>2519</v>
      </c>
      <c r="D1" s="1619"/>
      <c r="E1" s="2582"/>
      <c r="F1" s="2583" t="s">
        <v>2520</v>
      </c>
      <c r="G1" s="1629" t="s">
        <v>2521</v>
      </c>
      <c r="H1" s="1628"/>
      <c r="I1" s="1628"/>
      <c r="J1" s="1628"/>
      <c r="K1" s="1630"/>
      <c r="L1" s="1631"/>
      <c r="M1" s="1632"/>
      <c r="N1" s="1632"/>
      <c r="O1" s="1632"/>
      <c r="P1" s="2584"/>
      <c r="Q1" s="1618"/>
      <c r="R1" s="1618"/>
      <c r="S1" s="1618"/>
      <c r="T1" s="1618"/>
      <c r="U1" s="1618"/>
      <c r="V1" s="1618"/>
      <c r="W1" s="1618"/>
      <c r="X1" s="1618"/>
      <c r="Y1" s="1618"/>
      <c r="Z1" s="1618"/>
      <c r="AA1" s="1618"/>
      <c r="AB1" s="1618"/>
      <c r="AC1" s="1626"/>
    </row>
    <row r="2" spans="1:29" s="392" customFormat="1" ht="28.5" customHeight="1" thickTop="1">
      <c r="A2" s="1615" t="s">
        <v>1394</v>
      </c>
      <c r="B2" s="1417" t="e">
        <f ca="1">IF(C2="——",ROUND(C49*D3/10000,0),ROUND(C49*D3/10000,0)-D2)</f>
        <v>#DIV/0!</v>
      </c>
      <c r="C2" s="2585"/>
      <c r="D2" s="1365" t="e">
        <f ca="1">SUMIF(INDIRECT("'"&amp;F2&amp;"'"&amp;"!A:A"),"承租人权益价值",INDIRECT("'"&amp;F2&amp;"'"&amp;"!c:c"))</f>
        <v>#REF!</v>
      </c>
      <c r="E2" s="2586" t="s">
        <v>2522</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1395</v>
      </c>
      <c r="B3" s="398" t="e">
        <f ca="1">IF(C2="——",C49,ROUND(B2*10000/D3,0))</f>
        <v>#DIV/0!</v>
      </c>
      <c r="C3" s="399" t="s">
        <v>2523</v>
      </c>
      <c r="D3" s="398">
        <f>IF(D1="",'数据-汇总表'!E3,SUMIF('数据-汇总表'!$C19:$C33,D1,'数据-汇总表'!$E19:$E33))</f>
        <v>8276.64</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0" t="s">
        <v>2524</v>
      </c>
      <c r="B4" s="401"/>
      <c r="C4" s="3232" t="s">
        <v>2525</v>
      </c>
      <c r="D4" s="3233"/>
      <c r="E4" s="3234" t="s">
        <v>2526</v>
      </c>
      <c r="F4" s="3235"/>
      <c r="G4" s="3232" t="s">
        <v>2527</v>
      </c>
      <c r="H4" s="3233"/>
      <c r="I4" s="3232" t="s">
        <v>2528</v>
      </c>
      <c r="J4" s="3233"/>
      <c r="K4" s="2595" t="s">
        <v>2529</v>
      </c>
      <c r="L4" s="1130"/>
      <c r="M4" s="1131"/>
      <c r="N4" s="1131"/>
      <c r="O4" s="1131"/>
      <c r="P4" s="3236" t="s">
        <v>2530</v>
      </c>
      <c r="Q4" s="3237"/>
      <c r="R4" s="3219" t="s">
        <v>2526</v>
      </c>
      <c r="S4" s="3220"/>
      <c r="T4" s="3219" t="s">
        <v>2527</v>
      </c>
      <c r="U4" s="3220"/>
      <c r="V4" s="3244" t="s">
        <v>2528</v>
      </c>
      <c r="W4" s="3244"/>
      <c r="X4" s="1811"/>
      <c r="Y4" s="3219" t="s">
        <v>2530</v>
      </c>
      <c r="Z4" s="3220"/>
      <c r="AA4" s="3214" t="s">
        <v>2526</v>
      </c>
      <c r="AB4" s="3214" t="s">
        <v>2527</v>
      </c>
      <c r="AC4" s="3214" t="s">
        <v>2528</v>
      </c>
    </row>
    <row r="5" spans="1:29" ht="15">
      <c r="A5" s="403"/>
      <c r="B5" s="404"/>
      <c r="C5" s="3225" t="s">
        <v>2531</v>
      </c>
      <c r="D5" s="3226"/>
      <c r="E5" s="3223" t="s">
        <v>2532</v>
      </c>
      <c r="F5" s="3224"/>
      <c r="G5" s="3225" t="s">
        <v>2533</v>
      </c>
      <c r="H5" s="3226"/>
      <c r="I5" s="3225" t="s">
        <v>2534</v>
      </c>
      <c r="J5" s="3226"/>
      <c r="K5" s="2596"/>
      <c r="L5" s="1130"/>
      <c r="M5" s="1131"/>
      <c r="N5" s="1131"/>
      <c r="O5" s="1131"/>
      <c r="P5" s="3238"/>
      <c r="Q5" s="3239"/>
      <c r="R5" s="3221"/>
      <c r="S5" s="3222"/>
      <c r="T5" s="3221"/>
      <c r="U5" s="3222"/>
      <c r="V5" s="3244"/>
      <c r="W5" s="3244"/>
      <c r="X5" s="1811"/>
      <c r="Y5" s="3221"/>
      <c r="Z5" s="3222"/>
      <c r="AA5" s="3215"/>
      <c r="AB5" s="3215"/>
      <c r="AC5" s="3215"/>
    </row>
    <row r="6" spans="1:29" ht="15.75" thickBot="1">
      <c r="A6" s="405"/>
      <c r="B6" s="406"/>
      <c r="C6" s="3227" t="s">
        <v>2535</v>
      </c>
      <c r="D6" s="3228"/>
      <c r="E6" s="3229" t="s">
        <v>2535</v>
      </c>
      <c r="F6" s="3230"/>
      <c r="G6" s="3227" t="s">
        <v>2535</v>
      </c>
      <c r="H6" s="3228"/>
      <c r="I6" s="3227" t="s">
        <v>2535</v>
      </c>
      <c r="J6" s="3228"/>
      <c r="K6" s="2596" t="s">
        <v>2536</v>
      </c>
      <c r="L6" s="1130"/>
      <c r="M6" s="1131"/>
      <c r="N6" s="1131"/>
      <c r="O6" s="1131"/>
      <c r="P6" s="3240"/>
      <c r="Q6" s="3241"/>
      <c r="R6" s="3221"/>
      <c r="S6" s="3222"/>
      <c r="T6" s="3242"/>
      <c r="U6" s="3243"/>
      <c r="V6" s="3244"/>
      <c r="W6" s="3244"/>
      <c r="X6" s="1811"/>
      <c r="Y6" s="3242"/>
      <c r="Z6" s="3243"/>
      <c r="AA6" s="3216"/>
      <c r="AB6" s="3216"/>
      <c r="AC6" s="3216"/>
    </row>
    <row r="7" spans="1:29" s="116" customFormat="1" ht="15.75" thickBot="1">
      <c r="A7" s="407" t="s">
        <v>2537</v>
      </c>
      <c r="B7" s="408"/>
      <c r="C7" s="409">
        <f>'数据-取费表'!B2</f>
        <v>43452</v>
      </c>
      <c r="D7" s="410">
        <v>100</v>
      </c>
      <c r="E7" s="411"/>
      <c r="F7" s="412">
        <f>SUMIF(58:58,YEAR(E7)&amp;"-"&amp;MONTH(E7),59:59)</f>
        <v>0</v>
      </c>
      <c r="G7" s="411"/>
      <c r="H7" s="410">
        <f>SUMIF(58:58,YEAR(G7)&amp;"-"&amp;MONTH(G7),59:59)</f>
        <v>0</v>
      </c>
      <c r="I7" s="411"/>
      <c r="J7" s="410">
        <f>SUMIF(58:58,YEAR(I7)&amp;"-"&amp;MONTH(I7),59:59)</f>
        <v>0</v>
      </c>
      <c r="K7" s="2597"/>
      <c r="L7" s="1132"/>
      <c r="M7" s="1133"/>
      <c r="N7" s="1133"/>
      <c r="O7" s="1133"/>
      <c r="P7" s="3217" t="s">
        <v>2538</v>
      </c>
      <c r="Q7" s="3245"/>
      <c r="R7" s="769" t="s">
        <v>23</v>
      </c>
      <c r="S7" s="770">
        <f t="shared" ref="S7:S15" si="0">F7</f>
        <v>0</v>
      </c>
      <c r="T7" s="769" t="s">
        <v>23</v>
      </c>
      <c r="U7" s="770">
        <f t="shared" ref="U7:U15" si="1">H7</f>
        <v>0</v>
      </c>
      <c r="V7" s="769" t="s">
        <v>23</v>
      </c>
      <c r="W7" s="770">
        <f t="shared" ref="W7:W15" si="2">J7</f>
        <v>0</v>
      </c>
      <c r="X7" s="771"/>
      <c r="Y7" s="3217" t="s">
        <v>2538</v>
      </c>
      <c r="Z7" s="3218"/>
      <c r="AA7" s="772" t="e">
        <f>D7/F7</f>
        <v>#DIV/0!</v>
      </c>
      <c r="AB7" s="772" t="e">
        <f>D7/H7</f>
        <v>#DIV/0!</v>
      </c>
      <c r="AC7" s="772" t="e">
        <f>D7/J7</f>
        <v>#DIV/0!</v>
      </c>
    </row>
    <row r="8" spans="1:29" s="116" customFormat="1" ht="15.75" thickBot="1">
      <c r="A8" s="407" t="s">
        <v>2539</v>
      </c>
      <c r="B8" s="408"/>
      <c r="C8" s="413" t="s">
        <v>2540</v>
      </c>
      <c r="D8" s="410">
        <v>100</v>
      </c>
      <c r="E8" s="2598"/>
      <c r="F8" s="412">
        <f>SUMIF(61:61,E8,62:62)-SUMIF(61:61,C8,62:62)+100</f>
        <v>0</v>
      </c>
      <c r="G8" s="413"/>
      <c r="H8" s="410">
        <f>SUMIF(61:61,G8,62:62)-SUMIF(61:61,C8,62:62)+100</f>
        <v>0</v>
      </c>
      <c r="I8" s="2598"/>
      <c r="J8" s="410">
        <f>SUMIF(61:61,I8,62:62)-SUMIF(61:61,C8,62:62)+100</f>
        <v>0</v>
      </c>
      <c r="K8" s="2597"/>
      <c r="L8" s="1132"/>
      <c r="M8" s="1133"/>
      <c r="N8" s="1133"/>
      <c r="O8" s="1133"/>
      <c r="P8" s="3217" t="s">
        <v>2541</v>
      </c>
      <c r="Q8" s="3218"/>
      <c r="R8" s="769" t="s">
        <v>23</v>
      </c>
      <c r="S8" s="770">
        <f t="shared" si="0"/>
        <v>0</v>
      </c>
      <c r="T8" s="769" t="s">
        <v>23</v>
      </c>
      <c r="U8" s="770">
        <f t="shared" si="1"/>
        <v>0</v>
      </c>
      <c r="V8" s="769" t="s">
        <v>23</v>
      </c>
      <c r="W8" s="770">
        <f t="shared" si="2"/>
        <v>0</v>
      </c>
      <c r="X8" s="771"/>
      <c r="Y8" s="3217" t="s">
        <v>2541</v>
      </c>
      <c r="Z8" s="3218"/>
      <c r="AA8" s="772" t="e">
        <f t="shared" ref="AA8:AA19" si="3">D8/F8</f>
        <v>#DIV/0!</v>
      </c>
      <c r="AB8" s="772" t="e">
        <f t="shared" ref="AB8:AB19" si="4">D8/H8</f>
        <v>#DIV/0!</v>
      </c>
      <c r="AC8" s="772" t="e">
        <f t="shared" ref="AC8:AC19" si="5">D8/J8</f>
        <v>#DIV/0!</v>
      </c>
    </row>
    <row r="9" spans="1:29" s="116" customFormat="1">
      <c r="A9" s="414" t="s">
        <v>2542</v>
      </c>
      <c r="B9" s="70" t="s">
        <v>2543</v>
      </c>
      <c r="C9" s="415"/>
      <c r="D9" s="134">
        <v>100</v>
      </c>
      <c r="E9" s="416"/>
      <c r="F9" s="417">
        <f>SUMIF(63:63,E9,64:64)-SUMIF(63:63,C9,64:64)+100</f>
        <v>100</v>
      </c>
      <c r="G9" s="418"/>
      <c r="H9" s="134">
        <f>SUMIF(63:63,G9,64:64)-SUMIF(63:63,C9,64:64)+100</f>
        <v>100</v>
      </c>
      <c r="I9" s="418"/>
      <c r="J9" s="134">
        <f>SUMIF(63:63,I9,64:64)-SUMIF(63:63,C9,64:64)+100</f>
        <v>100</v>
      </c>
      <c r="K9" s="2597"/>
      <c r="L9" s="1132"/>
      <c r="M9" s="1133"/>
      <c r="N9" s="1133"/>
      <c r="O9" s="1133"/>
      <c r="P9" s="3231" t="s">
        <v>2544</v>
      </c>
      <c r="Q9" s="1793" t="str">
        <f t="shared" ref="Q9:Q15" si="6">B9</f>
        <v>用途</v>
      </c>
      <c r="R9" s="769" t="s">
        <v>17</v>
      </c>
      <c r="S9" s="770">
        <f t="shared" si="0"/>
        <v>100</v>
      </c>
      <c r="T9" s="769" t="s">
        <v>17</v>
      </c>
      <c r="U9" s="770">
        <f t="shared" si="1"/>
        <v>100</v>
      </c>
      <c r="V9" s="769" t="s">
        <v>17</v>
      </c>
      <c r="W9" s="770">
        <f t="shared" si="2"/>
        <v>100</v>
      </c>
      <c r="X9" s="771"/>
      <c r="Y9" s="3044"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425"/>
      <c r="L10" s="1135"/>
      <c r="M10" s="1136"/>
      <c r="N10" s="1136"/>
      <c r="O10" s="1136"/>
      <c r="P10" s="3231"/>
      <c r="Q10" s="1793" t="str">
        <f t="shared" si="6"/>
        <v>土地使用年限（年）</v>
      </c>
      <c r="R10" s="769" t="s">
        <v>17</v>
      </c>
      <c r="S10" s="770">
        <f t="shared" si="0"/>
        <v>100</v>
      </c>
      <c r="T10" s="769" t="s">
        <v>17</v>
      </c>
      <c r="U10" s="770">
        <f t="shared" si="1"/>
        <v>100</v>
      </c>
      <c r="V10" s="769" t="s">
        <v>17</v>
      </c>
      <c r="W10" s="770">
        <f t="shared" si="2"/>
        <v>100</v>
      </c>
      <c r="X10" s="771"/>
      <c r="Y10" s="3044"/>
      <c r="Z10" s="54"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8"/>
      <c r="M11" s="1131"/>
      <c r="N11" s="1131"/>
      <c r="O11" s="1131"/>
      <c r="P11" s="3231"/>
      <c r="Q11" s="1793" t="str">
        <f t="shared" si="6"/>
        <v>容积率</v>
      </c>
      <c r="R11" s="769" t="s">
        <v>21</v>
      </c>
      <c r="S11" s="770" t="e">
        <f t="shared" si="0"/>
        <v>#N/A</v>
      </c>
      <c r="T11" s="769" t="s">
        <v>21</v>
      </c>
      <c r="U11" s="770" t="e">
        <f t="shared" si="1"/>
        <v>#N/A</v>
      </c>
      <c r="V11" s="769" t="s">
        <v>21</v>
      </c>
      <c r="W11" s="770" t="e">
        <f t="shared" si="2"/>
        <v>#N/A</v>
      </c>
      <c r="X11" s="771"/>
      <c r="Y11" s="3044"/>
      <c r="Z11" s="54"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2"/>
      <c r="M12" s="1133"/>
      <c r="N12" s="1133"/>
      <c r="O12" s="1133"/>
      <c r="P12" s="3231"/>
      <c r="Q12" s="1793">
        <f t="shared" si="6"/>
        <v>111</v>
      </c>
      <c r="R12" s="769" t="s">
        <v>21</v>
      </c>
      <c r="S12" s="770">
        <f t="shared" si="0"/>
        <v>100</v>
      </c>
      <c r="T12" s="769" t="s">
        <v>21</v>
      </c>
      <c r="U12" s="770">
        <f t="shared" si="1"/>
        <v>100</v>
      </c>
      <c r="V12" s="769" t="s">
        <v>21</v>
      </c>
      <c r="W12" s="770">
        <f t="shared" si="2"/>
        <v>100</v>
      </c>
      <c r="X12" s="771"/>
      <c r="Y12" s="3044"/>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0"/>
      <c r="M13" s="1131"/>
      <c r="N13" s="1131"/>
      <c r="O13" s="1131"/>
      <c r="P13" s="3231"/>
      <c r="Q13" s="1793">
        <f t="shared" si="6"/>
        <v>111</v>
      </c>
      <c r="R13" s="769" t="s">
        <v>21</v>
      </c>
      <c r="S13" s="770">
        <f t="shared" si="0"/>
        <v>100</v>
      </c>
      <c r="T13" s="769" t="s">
        <v>21</v>
      </c>
      <c r="U13" s="770">
        <f t="shared" si="1"/>
        <v>100</v>
      </c>
      <c r="V13" s="769" t="s">
        <v>21</v>
      </c>
      <c r="W13" s="770">
        <f t="shared" si="2"/>
        <v>100</v>
      </c>
      <c r="X13" s="771"/>
      <c r="Y13" s="3044"/>
      <c r="Z13" s="54">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0"/>
      <c r="M14" s="1131"/>
      <c r="N14" s="1131"/>
      <c r="O14" s="1131"/>
      <c r="P14" s="3231"/>
      <c r="Q14" s="1793">
        <f t="shared" si="6"/>
        <v>111</v>
      </c>
      <c r="R14" s="769" t="s">
        <v>21</v>
      </c>
      <c r="S14" s="770">
        <f t="shared" si="0"/>
        <v>100</v>
      </c>
      <c r="T14" s="769" t="s">
        <v>21</v>
      </c>
      <c r="U14" s="770">
        <f t="shared" si="1"/>
        <v>100</v>
      </c>
      <c r="V14" s="769" t="s">
        <v>21</v>
      </c>
      <c r="W14" s="770">
        <f t="shared" si="2"/>
        <v>100</v>
      </c>
      <c r="X14" s="771"/>
      <c r="Y14" s="3044"/>
      <c r="Z14" s="54">
        <f t="shared" si="7"/>
        <v>111</v>
      </c>
      <c r="AA14" s="772">
        <f t="shared" si="3"/>
        <v>1</v>
      </c>
      <c r="AB14" s="772">
        <f t="shared" si="4"/>
        <v>1</v>
      </c>
      <c r="AC14" s="772">
        <f t="shared" si="5"/>
        <v>1</v>
      </c>
    </row>
    <row r="15" spans="1:29" ht="15">
      <c r="A15" s="439" t="s">
        <v>2548</v>
      </c>
      <c r="B15" s="68" t="s">
        <v>2085</v>
      </c>
      <c r="C15" s="2602">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58" t="s">
        <v>2549</v>
      </c>
      <c r="Q15" s="1808" t="str">
        <f t="shared" si="6"/>
        <v>居住社区成熟度</v>
      </c>
      <c r="R15" s="773" t="s">
        <v>21</v>
      </c>
      <c r="S15" s="774">
        <f t="shared" si="0"/>
        <v>100</v>
      </c>
      <c r="T15" s="773" t="s">
        <v>21</v>
      </c>
      <c r="U15" s="774">
        <f t="shared" si="1"/>
        <v>100</v>
      </c>
      <c r="V15" s="773" t="s">
        <v>21</v>
      </c>
      <c r="W15" s="774">
        <f t="shared" si="2"/>
        <v>100</v>
      </c>
      <c r="X15" s="1811"/>
      <c r="Y15" s="3251" t="s">
        <v>2549</v>
      </c>
      <c r="Z15" s="1812" t="str">
        <f t="shared" si="7"/>
        <v>居住社区成熟度</v>
      </c>
      <c r="AA15" s="1809">
        <f t="shared" si="3"/>
        <v>1</v>
      </c>
      <c r="AB15" s="1809">
        <f t="shared" si="4"/>
        <v>1</v>
      </c>
      <c r="AC15" s="1809">
        <f t="shared" si="5"/>
        <v>1</v>
      </c>
    </row>
    <row r="16" spans="1:29" ht="15">
      <c r="A16" s="427"/>
      <c r="B16" s="445"/>
      <c r="C16" s="446"/>
      <c r="D16" s="447"/>
      <c r="E16" s="2603"/>
      <c r="F16" s="447"/>
      <c r="G16" s="2604"/>
      <c r="H16" s="449"/>
      <c r="I16" s="2604"/>
      <c r="J16" s="447"/>
      <c r="K16" s="2605"/>
      <c r="L16" s="1140"/>
      <c r="M16" s="1131"/>
      <c r="N16" s="1131"/>
      <c r="O16" s="1131"/>
      <c r="P16" s="3259"/>
      <c r="Q16" s="1808"/>
      <c r="R16" s="773"/>
      <c r="S16" s="774"/>
      <c r="T16" s="773"/>
      <c r="U16" s="774"/>
      <c r="V16" s="773"/>
      <c r="W16" s="774"/>
      <c r="X16" s="1811"/>
      <c r="Y16" s="3252"/>
      <c r="Z16" s="1812"/>
      <c r="AA16" s="1809">
        <v>1</v>
      </c>
      <c r="AB16" s="1809">
        <v>1</v>
      </c>
      <c r="AC16" s="1809">
        <v>1</v>
      </c>
    </row>
    <row r="17" spans="1:29" ht="156.75">
      <c r="A17" s="427"/>
      <c r="B17" s="450" t="s">
        <v>2091</v>
      </c>
      <c r="C17" s="2606" t="str">
        <f>估价对象房地状况!C6</f>
        <v>好</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59"/>
      <c r="Q17" s="1808" t="str">
        <f>B17</f>
        <v>交通便捷度</v>
      </c>
      <c r="R17" s="773" t="s">
        <v>21</v>
      </c>
      <c r="S17" s="774">
        <f>F17</f>
        <v>100</v>
      </c>
      <c r="T17" s="773" t="s">
        <v>21</v>
      </c>
      <c r="U17" s="774">
        <f>H17</f>
        <v>100</v>
      </c>
      <c r="V17" s="773" t="s">
        <v>21</v>
      </c>
      <c r="W17" s="774">
        <f>J17</f>
        <v>100</v>
      </c>
      <c r="X17" s="1811"/>
      <c r="Y17" s="3252"/>
      <c r="Z17" s="1812" t="str">
        <f>Q17</f>
        <v>交通便捷度</v>
      </c>
      <c r="AA17" s="1809">
        <f t="shared" si="3"/>
        <v>1</v>
      </c>
      <c r="AB17" s="1809">
        <f t="shared" si="4"/>
        <v>1</v>
      </c>
      <c r="AC17" s="1809">
        <f t="shared" si="5"/>
        <v>1</v>
      </c>
    </row>
    <row r="18" spans="1:29" ht="15">
      <c r="A18" s="427"/>
      <c r="B18" s="455"/>
      <c r="C18" s="2607"/>
      <c r="D18" s="449"/>
      <c r="E18" s="2608"/>
      <c r="F18" s="449"/>
      <c r="G18" s="2609"/>
      <c r="H18" s="447"/>
      <c r="I18" s="2609"/>
      <c r="J18" s="447"/>
      <c r="K18" s="2605"/>
      <c r="L18" s="1140"/>
      <c r="M18" s="1131"/>
      <c r="N18" s="1131"/>
      <c r="O18" s="1131"/>
      <c r="P18" s="3259"/>
      <c r="Q18" s="1808"/>
      <c r="R18" s="773"/>
      <c r="S18" s="774"/>
      <c r="T18" s="773"/>
      <c r="U18" s="774"/>
      <c r="V18" s="773"/>
      <c r="W18" s="774"/>
      <c r="X18" s="1811"/>
      <c r="Y18" s="3252"/>
      <c r="Z18" s="1812"/>
      <c r="AA18" s="1809">
        <v>1</v>
      </c>
      <c r="AB18" s="1809">
        <v>1</v>
      </c>
      <c r="AC18" s="1809">
        <v>1</v>
      </c>
    </row>
    <row r="19" spans="1:29" ht="71.25">
      <c r="A19" s="427"/>
      <c r="B19" s="450" t="s">
        <v>2090</v>
      </c>
      <c r="C19" s="2606" t="str">
        <f>估价对象房地状况!C7</f>
        <v>较好</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59"/>
      <c r="Q19" s="1808" t="str">
        <f>B19</f>
        <v>公共配套设施</v>
      </c>
      <c r="R19" s="773" t="s">
        <v>21</v>
      </c>
      <c r="S19" s="774">
        <f>F19</f>
        <v>100</v>
      </c>
      <c r="T19" s="773" t="s">
        <v>21</v>
      </c>
      <c r="U19" s="774">
        <f>H19</f>
        <v>100</v>
      </c>
      <c r="V19" s="773" t="s">
        <v>21</v>
      </c>
      <c r="W19" s="774">
        <f>J19</f>
        <v>100</v>
      </c>
      <c r="X19" s="1811"/>
      <c r="Y19" s="3252"/>
      <c r="Z19" s="1812" t="str">
        <f>Q19</f>
        <v>公共配套设施</v>
      </c>
      <c r="AA19" s="1809">
        <f t="shared" si="3"/>
        <v>1</v>
      </c>
      <c r="AB19" s="1809">
        <f t="shared" si="4"/>
        <v>1</v>
      </c>
      <c r="AC19" s="1809">
        <f t="shared" si="5"/>
        <v>1</v>
      </c>
    </row>
    <row r="20" spans="1:29" ht="15">
      <c r="A20" s="427"/>
      <c r="B20" s="455"/>
      <c r="C20" s="446"/>
      <c r="D20" s="447"/>
      <c r="E20" s="2603"/>
      <c r="F20" s="447"/>
      <c r="G20" s="2604"/>
      <c r="H20" s="447"/>
      <c r="I20" s="2604"/>
      <c r="J20" s="447"/>
      <c r="K20" s="2605"/>
      <c r="L20" s="1140"/>
      <c r="M20" s="1131"/>
      <c r="N20" s="1131"/>
      <c r="O20" s="1131"/>
      <c r="P20" s="3259"/>
      <c r="Q20" s="1808"/>
      <c r="R20" s="773"/>
      <c r="S20" s="774"/>
      <c r="T20" s="773"/>
      <c r="U20" s="774"/>
      <c r="V20" s="773"/>
      <c r="W20" s="774"/>
      <c r="X20" s="1811"/>
      <c r="Y20" s="3252"/>
      <c r="Z20" s="1812"/>
      <c r="AA20" s="1809">
        <v>1</v>
      </c>
      <c r="AB20" s="1809">
        <v>1</v>
      </c>
      <c r="AC20" s="1809">
        <v>1</v>
      </c>
    </row>
    <row r="21" spans="1:29" ht="15">
      <c r="A21" s="427"/>
      <c r="B21" s="1384" t="s">
        <v>2092</v>
      </c>
      <c r="C21" s="2606"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59"/>
      <c r="Q21" s="1808" t="str">
        <f>B21</f>
        <v>基础设施水平</v>
      </c>
      <c r="R21" s="773" t="s">
        <v>17</v>
      </c>
      <c r="S21" s="774">
        <f>F21</f>
        <v>100</v>
      </c>
      <c r="T21" s="773" t="s">
        <v>17</v>
      </c>
      <c r="U21" s="774">
        <f>H21</f>
        <v>100</v>
      </c>
      <c r="V21" s="773" t="s">
        <v>17</v>
      </c>
      <c r="W21" s="774">
        <f>J21</f>
        <v>100</v>
      </c>
      <c r="X21" s="1811"/>
      <c r="Y21" s="3252"/>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7"/>
      <c r="G22" s="2610"/>
      <c r="H22" s="447"/>
      <c r="I22" s="446"/>
      <c r="J22" s="447"/>
      <c r="K22" s="2611"/>
      <c r="L22" s="1140"/>
      <c r="M22" s="1131"/>
      <c r="N22" s="1131"/>
      <c r="O22" s="1131"/>
      <c r="P22" s="3259"/>
      <c r="Q22" s="1808"/>
      <c r="R22" s="773"/>
      <c r="S22" s="774"/>
      <c r="T22" s="773"/>
      <c r="U22" s="774"/>
      <c r="V22" s="773"/>
      <c r="W22" s="774"/>
      <c r="X22" s="1811"/>
      <c r="Y22" s="3252"/>
      <c r="Z22" s="1812"/>
      <c r="AA22" s="1809">
        <v>1</v>
      </c>
      <c r="AB22" s="1809">
        <v>1</v>
      </c>
      <c r="AC22" s="1809">
        <v>1</v>
      </c>
    </row>
    <row r="23" spans="1:29" ht="128.25">
      <c r="A23" s="427"/>
      <c r="B23" s="450" t="s">
        <v>2094</v>
      </c>
      <c r="C23" s="2606" t="str">
        <f>估价对象房地状况!C9</f>
        <v>较好</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59"/>
      <c r="Q23" s="1808" t="str">
        <f>B23</f>
        <v>自然及人文环境</v>
      </c>
      <c r="R23" s="773" t="s">
        <v>21</v>
      </c>
      <c r="S23" s="774">
        <f>F23</f>
        <v>100</v>
      </c>
      <c r="T23" s="773" t="s">
        <v>21</v>
      </c>
      <c r="U23" s="774">
        <f>H23</f>
        <v>100</v>
      </c>
      <c r="V23" s="773" t="s">
        <v>21</v>
      </c>
      <c r="W23" s="774">
        <f>J23</f>
        <v>100</v>
      </c>
      <c r="X23" s="1811"/>
      <c r="Y23" s="3252"/>
      <c r="Z23" s="1812" t="str">
        <f>Q23</f>
        <v>自然及人文环境</v>
      </c>
      <c r="AA23" s="1809">
        <f>D23/F23</f>
        <v>1</v>
      </c>
      <c r="AB23" s="1809">
        <f>D23/H23</f>
        <v>1</v>
      </c>
      <c r="AC23" s="1809">
        <f>D23/J23</f>
        <v>1</v>
      </c>
    </row>
    <row r="24" spans="1:29" ht="15">
      <c r="A24" s="427"/>
      <c r="B24" s="455"/>
      <c r="C24" s="446"/>
      <c r="D24" s="447"/>
      <c r="E24" s="2603"/>
      <c r="F24" s="447"/>
      <c r="G24" s="2604"/>
      <c r="H24" s="447"/>
      <c r="I24" s="2604"/>
      <c r="J24" s="447"/>
      <c r="K24" s="2605"/>
      <c r="L24" s="1140"/>
      <c r="M24" s="1131"/>
      <c r="N24" s="1131"/>
      <c r="O24" s="1131"/>
      <c r="P24" s="3259"/>
      <c r="Q24" s="1808"/>
      <c r="R24" s="773"/>
      <c r="S24" s="774"/>
      <c r="T24" s="773"/>
      <c r="U24" s="774"/>
      <c r="V24" s="773"/>
      <c r="W24" s="774"/>
      <c r="X24" s="1811"/>
      <c r="Y24" s="3252"/>
      <c r="Z24" s="1812"/>
      <c r="AA24" s="1809">
        <v>1</v>
      </c>
      <c r="AB24" s="1809">
        <v>1</v>
      </c>
      <c r="AC24" s="1809">
        <v>1</v>
      </c>
    </row>
    <row r="25" spans="1:29" ht="15">
      <c r="A25" s="427"/>
      <c r="B25" s="421" t="s">
        <v>2550</v>
      </c>
      <c r="C25" s="459"/>
      <c r="D25" s="434">
        <v>100</v>
      </c>
      <c r="E25" s="2612"/>
      <c r="F25" s="434">
        <f>SUMIF(86:86,E25,87:87)-SUMIF(86:86,C25,87:87)+100</f>
        <v>100</v>
      </c>
      <c r="G25" s="2613"/>
      <c r="H25" s="434">
        <f>SUMIF(86:86,G25,87:87)-SUMIF(86:86,C25,87:87)+100</f>
        <v>100</v>
      </c>
      <c r="I25" s="2613"/>
      <c r="J25" s="434">
        <f>SUMIF(86:86,I25,87:87)-SUMIF(86:86,C25,87:87)+100</f>
        <v>100</v>
      </c>
      <c r="K25" s="425"/>
      <c r="L25" s="1140"/>
      <c r="M25" s="1131"/>
      <c r="N25" s="1131"/>
      <c r="O25" s="1131"/>
      <c r="P25" s="3259"/>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52"/>
      <c r="Z25" s="1812" t="str">
        <f>Q25</f>
        <v>楼层-1</v>
      </c>
      <c r="AA25" s="1809">
        <f t="shared" ref="AA25:AA46" si="15">D25/F25</f>
        <v>1</v>
      </c>
      <c r="AB25" s="1809">
        <f t="shared" ref="AB25:AB46" si="16">D25/H25</f>
        <v>1</v>
      </c>
      <c r="AC25" s="1809">
        <f t="shared" ref="AC25:AC46" si="17">D25/J25</f>
        <v>1</v>
      </c>
    </row>
    <row r="26" spans="1:29" ht="15">
      <c r="A26" s="427"/>
      <c r="B26" s="421" t="s">
        <v>2551</v>
      </c>
      <c r="C26" s="459"/>
      <c r="D26" s="434">
        <v>100</v>
      </c>
      <c r="E26" s="2612"/>
      <c r="F26" s="434">
        <f>SUMIF(88:88,E26,89:89)-SUMIF(88:88,C26,89:89)+100</f>
        <v>100</v>
      </c>
      <c r="G26" s="2613"/>
      <c r="H26" s="434">
        <f>SUMIF(88:88,G26,89:89)-SUMIF(88:88,C26,89:89)+100</f>
        <v>100</v>
      </c>
      <c r="I26" s="2613"/>
      <c r="J26" s="434">
        <f>SUMIF(88:88,I26,89:89)-SUMIF(88:88,C26,89:89)+100</f>
        <v>100</v>
      </c>
      <c r="K26" s="425"/>
      <c r="L26" s="1140"/>
      <c r="M26" s="1131"/>
      <c r="N26" s="1131"/>
      <c r="O26" s="1131"/>
      <c r="P26" s="3259"/>
      <c r="Q26" s="1808" t="str">
        <f t="shared" si="11"/>
        <v>朝向</v>
      </c>
      <c r="R26" s="773" t="s">
        <v>21</v>
      </c>
      <c r="S26" s="774">
        <f t="shared" si="12"/>
        <v>100</v>
      </c>
      <c r="T26" s="773" t="s">
        <v>21</v>
      </c>
      <c r="U26" s="774">
        <f t="shared" si="13"/>
        <v>100</v>
      </c>
      <c r="V26" s="773" t="s">
        <v>21</v>
      </c>
      <c r="W26" s="774">
        <f t="shared" si="14"/>
        <v>100</v>
      </c>
      <c r="X26" s="1811"/>
      <c r="Y26" s="3252"/>
      <c r="Z26" s="1812" t="str">
        <f>Q26</f>
        <v>朝向</v>
      </c>
      <c r="AA26" s="1809">
        <f t="shared" si="15"/>
        <v>1</v>
      </c>
      <c r="AB26" s="1809">
        <f t="shared" si="16"/>
        <v>1</v>
      </c>
      <c r="AC26" s="1809">
        <f t="shared" si="17"/>
        <v>1</v>
      </c>
    </row>
    <row r="27" spans="1:29" s="116"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600"/>
      <c r="L27" s="1132"/>
      <c r="M27" s="1133"/>
      <c r="N27" s="1133"/>
      <c r="O27" s="1133"/>
      <c r="P27" s="3259"/>
      <c r="Q27" s="1793">
        <f t="shared" si="11"/>
        <v>111</v>
      </c>
      <c r="R27" s="769" t="s">
        <v>21</v>
      </c>
      <c r="S27" s="770">
        <f t="shared" si="12"/>
        <v>100</v>
      </c>
      <c r="T27" s="769" t="s">
        <v>21</v>
      </c>
      <c r="U27" s="770">
        <f t="shared" si="13"/>
        <v>100</v>
      </c>
      <c r="V27" s="769" t="s">
        <v>21</v>
      </c>
      <c r="W27" s="770">
        <f t="shared" si="14"/>
        <v>100</v>
      </c>
      <c r="X27" s="771"/>
      <c r="Y27" s="3252"/>
      <c r="Z27" s="54">
        <f>Q27</f>
        <v>111</v>
      </c>
      <c r="AA27" s="1809">
        <f t="shared" si="15"/>
        <v>1</v>
      </c>
      <c r="AB27" s="1809">
        <f t="shared" si="16"/>
        <v>1</v>
      </c>
      <c r="AC27" s="1809">
        <f t="shared" si="17"/>
        <v>1</v>
      </c>
    </row>
    <row r="28" spans="1:29" ht="15">
      <c r="A28" s="427"/>
      <c r="B28" s="1386">
        <v>111</v>
      </c>
      <c r="C28" s="433"/>
      <c r="D28" s="434">
        <v>100</v>
      </c>
      <c r="E28" s="433"/>
      <c r="F28" s="434">
        <f>SUMIF(92:92,E28,93:93)-SUMIF(92:92,C28,93:93)+100</f>
        <v>100</v>
      </c>
      <c r="G28" s="2614"/>
      <c r="H28" s="434">
        <f>SUMIF(92:92,G28,93:93)-SUMIF(92:92,C28,93:93)+100</f>
        <v>100</v>
      </c>
      <c r="I28" s="433"/>
      <c r="J28" s="434">
        <f>SUMIF(92:92,I28,93:93)-SUMIF(92:92,C28,93:93)+100</f>
        <v>100</v>
      </c>
      <c r="K28" s="2600"/>
      <c r="L28" s="1140"/>
      <c r="M28" s="1131"/>
      <c r="N28" s="1131"/>
      <c r="O28" s="1131"/>
      <c r="P28" s="3259"/>
      <c r="Q28" s="1808">
        <f t="shared" si="11"/>
        <v>111</v>
      </c>
      <c r="R28" s="773" t="s">
        <v>21</v>
      </c>
      <c r="S28" s="774">
        <f t="shared" si="12"/>
        <v>100</v>
      </c>
      <c r="T28" s="773" t="s">
        <v>21</v>
      </c>
      <c r="U28" s="774">
        <f t="shared" si="13"/>
        <v>100</v>
      </c>
      <c r="V28" s="773" t="s">
        <v>21</v>
      </c>
      <c r="W28" s="774">
        <f t="shared" si="14"/>
        <v>100</v>
      </c>
      <c r="X28" s="1811"/>
      <c r="Y28" s="3252"/>
      <c r="Z28" s="1812">
        <f t="shared" ref="Z28:Z46" si="18">Q28</f>
        <v>111</v>
      </c>
      <c r="AA28" s="1809">
        <f t="shared" si="15"/>
        <v>1</v>
      </c>
      <c r="AB28" s="1809">
        <f t="shared" si="16"/>
        <v>1</v>
      </c>
      <c r="AC28" s="1809">
        <f t="shared" si="17"/>
        <v>1</v>
      </c>
    </row>
    <row r="29" spans="1:29" ht="15">
      <c r="A29" s="427"/>
      <c r="B29" s="1386">
        <v>111</v>
      </c>
      <c r="C29" s="433"/>
      <c r="D29" s="434">
        <v>100</v>
      </c>
      <c r="E29" s="433"/>
      <c r="F29" s="434">
        <f>SUMIF(94:94,E29,95:95)-SUMIF(94:94,C29,95:95)+100</f>
        <v>100</v>
      </c>
      <c r="G29" s="2614"/>
      <c r="H29" s="434">
        <f>SUMIF(94:94,G29,95:95)-SUMIF(94:94,C29,95:95)+100</f>
        <v>100</v>
      </c>
      <c r="I29" s="433"/>
      <c r="J29" s="434">
        <f>SUMIF(94:94,I29,95:95)-SUMIF(94:94,C29,95:95)+100</f>
        <v>100</v>
      </c>
      <c r="K29" s="2600"/>
      <c r="L29" s="1140"/>
      <c r="M29" s="1131"/>
      <c r="N29" s="1131"/>
      <c r="O29" s="1131"/>
      <c r="P29" s="3259"/>
      <c r="Q29" s="1808">
        <f t="shared" si="11"/>
        <v>111</v>
      </c>
      <c r="R29" s="773" t="s">
        <v>21</v>
      </c>
      <c r="S29" s="774">
        <f t="shared" si="12"/>
        <v>100</v>
      </c>
      <c r="T29" s="773" t="s">
        <v>21</v>
      </c>
      <c r="U29" s="774">
        <f t="shared" si="13"/>
        <v>100</v>
      </c>
      <c r="V29" s="773" t="s">
        <v>21</v>
      </c>
      <c r="W29" s="774">
        <f t="shared" si="14"/>
        <v>100</v>
      </c>
      <c r="X29" s="1811"/>
      <c r="Y29" s="3252"/>
      <c r="Z29" s="1812">
        <f t="shared" si="18"/>
        <v>111</v>
      </c>
      <c r="AA29" s="1809">
        <f t="shared" si="15"/>
        <v>1</v>
      </c>
      <c r="AB29" s="1809">
        <f t="shared" si="16"/>
        <v>1</v>
      </c>
      <c r="AC29" s="1809">
        <f t="shared" si="17"/>
        <v>1</v>
      </c>
    </row>
    <row r="30" spans="1:29" ht="15">
      <c r="A30" s="427"/>
      <c r="B30" s="1386">
        <v>111</v>
      </c>
      <c r="C30" s="433"/>
      <c r="D30" s="434">
        <v>100</v>
      </c>
      <c r="E30" s="433"/>
      <c r="F30" s="434">
        <f>SUMIF(96:96,E30,97:97)-SUMIF(96:96,C30,97:97)+100</f>
        <v>100</v>
      </c>
      <c r="G30" s="2614"/>
      <c r="H30" s="434">
        <f>SUMIF(96:96,G30,97:97)-SUMIF(96:96,C30,97:97)+100</f>
        <v>100</v>
      </c>
      <c r="I30" s="433"/>
      <c r="J30" s="434">
        <f>SUMIF(96:96,I30,97:97)-SUMIF(96:96,C30,97:97)+100</f>
        <v>100</v>
      </c>
      <c r="K30" s="2600"/>
      <c r="L30" s="1140"/>
      <c r="M30" s="1131"/>
      <c r="N30" s="1131"/>
      <c r="O30" s="1131"/>
      <c r="P30" s="3259"/>
      <c r="Q30" s="1808">
        <f t="shared" si="11"/>
        <v>111</v>
      </c>
      <c r="R30" s="773" t="s">
        <v>21</v>
      </c>
      <c r="S30" s="774">
        <f t="shared" si="12"/>
        <v>100</v>
      </c>
      <c r="T30" s="773" t="s">
        <v>21</v>
      </c>
      <c r="U30" s="774">
        <f t="shared" si="13"/>
        <v>100</v>
      </c>
      <c r="V30" s="773" t="s">
        <v>21</v>
      </c>
      <c r="W30" s="774">
        <f t="shared" si="14"/>
        <v>100</v>
      </c>
      <c r="X30" s="1811"/>
      <c r="Y30" s="3252"/>
      <c r="Z30" s="1812">
        <f t="shared" si="18"/>
        <v>111</v>
      </c>
      <c r="AA30" s="1809">
        <f t="shared" si="15"/>
        <v>1</v>
      </c>
      <c r="AB30" s="1809">
        <f t="shared" si="16"/>
        <v>1</v>
      </c>
      <c r="AC30" s="1809">
        <f t="shared" si="17"/>
        <v>1</v>
      </c>
    </row>
    <row r="31" spans="1:29" ht="15.75" thickBot="1">
      <c r="A31" s="435"/>
      <c r="B31" s="1386">
        <v>111</v>
      </c>
      <c r="C31" s="436"/>
      <c r="D31" s="437">
        <v>100</v>
      </c>
      <c r="E31" s="436"/>
      <c r="F31" s="437">
        <f>SUMIF(98:98,E31,99:99)-SUMIF(98:98,C31,99:99)+100</f>
        <v>100</v>
      </c>
      <c r="G31" s="2615"/>
      <c r="H31" s="437">
        <f>SUMIF(98:98,G31,99:99)-SUMIF(98:98,C31,99:99)+100</f>
        <v>100</v>
      </c>
      <c r="I31" s="436"/>
      <c r="J31" s="437">
        <f>SUMIF(98:98,I31,99:99)-SUMIF(98:98,C31,99:99)+100</f>
        <v>100</v>
      </c>
      <c r="K31" s="2600"/>
      <c r="L31" s="1140"/>
      <c r="M31" s="1131"/>
      <c r="N31" s="1131"/>
      <c r="O31" s="1131"/>
      <c r="P31" s="3259"/>
      <c r="Q31" s="1808">
        <f t="shared" si="11"/>
        <v>111</v>
      </c>
      <c r="R31" s="773" t="s">
        <v>21</v>
      </c>
      <c r="S31" s="774">
        <f t="shared" si="12"/>
        <v>100</v>
      </c>
      <c r="T31" s="773" t="s">
        <v>21</v>
      </c>
      <c r="U31" s="774">
        <f t="shared" si="13"/>
        <v>100</v>
      </c>
      <c r="V31" s="773" t="s">
        <v>21</v>
      </c>
      <c r="W31" s="774">
        <f t="shared" si="14"/>
        <v>100</v>
      </c>
      <c r="X31" s="1811"/>
      <c r="Y31" s="3252"/>
      <c r="Z31" s="1812">
        <f t="shared" si="18"/>
        <v>111</v>
      </c>
      <c r="AA31" s="1809">
        <f t="shared" si="15"/>
        <v>1</v>
      </c>
      <c r="AB31" s="1809">
        <f t="shared" si="16"/>
        <v>1</v>
      </c>
      <c r="AC31" s="1809">
        <f t="shared" si="17"/>
        <v>1</v>
      </c>
    </row>
    <row r="32" spans="1:29" ht="15">
      <c r="A32" s="439" t="s">
        <v>2552</v>
      </c>
      <c r="B32" s="70" t="s">
        <v>2553</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0"/>
      <c r="M32" s="1131"/>
      <c r="N32" s="1131"/>
      <c r="O32" s="1131"/>
      <c r="P32" s="3253" t="s">
        <v>2554</v>
      </c>
      <c r="Q32" s="1808" t="str">
        <f t="shared" si="11"/>
        <v>建筑类型</v>
      </c>
      <c r="R32" s="773" t="s">
        <v>21</v>
      </c>
      <c r="S32" s="774">
        <f t="shared" si="12"/>
        <v>100</v>
      </c>
      <c r="T32" s="773" t="s">
        <v>21</v>
      </c>
      <c r="U32" s="774">
        <f t="shared" si="13"/>
        <v>100</v>
      </c>
      <c r="V32" s="773" t="s">
        <v>21</v>
      </c>
      <c r="W32" s="774">
        <f t="shared" si="14"/>
        <v>100</v>
      </c>
      <c r="X32" s="1811"/>
      <c r="Y32" s="3256" t="s">
        <v>2554</v>
      </c>
      <c r="Z32" s="1812" t="str">
        <f t="shared" si="18"/>
        <v>建筑类型</v>
      </c>
      <c r="AA32" s="1809">
        <f t="shared" si="15"/>
        <v>1</v>
      </c>
      <c r="AB32" s="1809">
        <f t="shared" si="16"/>
        <v>1</v>
      </c>
      <c r="AC32" s="1809">
        <f t="shared" si="17"/>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8"/>
      <c r="M33" s="1141"/>
      <c r="N33" s="1141"/>
      <c r="O33" s="1141"/>
      <c r="P33" s="3254"/>
      <c r="Q33" s="775" t="str">
        <f t="shared" si="11"/>
        <v>项目建筑规模</v>
      </c>
      <c r="R33" s="776" t="s">
        <v>21</v>
      </c>
      <c r="S33" s="777" t="e">
        <f t="shared" si="12"/>
        <v>#N/A</v>
      </c>
      <c r="T33" s="776" t="s">
        <v>21</v>
      </c>
      <c r="U33" s="777" t="e">
        <f t="shared" si="13"/>
        <v>#N/A</v>
      </c>
      <c r="V33" s="776" t="s">
        <v>21</v>
      </c>
      <c r="W33" s="777" t="e">
        <f t="shared" si="14"/>
        <v>#N/A</v>
      </c>
      <c r="X33" s="778"/>
      <c r="Y33" s="3256"/>
      <c r="Z33" s="779" t="str">
        <f t="shared" si="18"/>
        <v>项目建筑规模</v>
      </c>
      <c r="AA33" s="1809" t="e">
        <f t="shared" si="15"/>
        <v>#N/A</v>
      </c>
      <c r="AB33" s="1809" t="e">
        <f t="shared" si="16"/>
        <v>#N/A</v>
      </c>
      <c r="AC33" s="1809" t="e">
        <f t="shared" si="17"/>
        <v>#N/A</v>
      </c>
    </row>
    <row r="34" spans="1:29" ht="15">
      <c r="A34" s="471"/>
      <c r="B34" s="421" t="s">
        <v>2556</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0"/>
      <c r="M34" s="1131"/>
      <c r="N34" s="1131"/>
      <c r="O34" s="1131"/>
      <c r="P34" s="3254"/>
      <c r="Q34" s="1808" t="str">
        <f t="shared" si="11"/>
        <v>建筑结构</v>
      </c>
      <c r="R34" s="773" t="s">
        <v>21</v>
      </c>
      <c r="S34" s="774">
        <f t="shared" si="12"/>
        <v>100</v>
      </c>
      <c r="T34" s="773" t="s">
        <v>21</v>
      </c>
      <c r="U34" s="774">
        <f t="shared" si="13"/>
        <v>100</v>
      </c>
      <c r="V34" s="773" t="s">
        <v>21</v>
      </c>
      <c r="W34" s="774">
        <f t="shared" si="14"/>
        <v>100</v>
      </c>
      <c r="X34" s="1811"/>
      <c r="Y34" s="3256"/>
      <c r="Z34" s="1812" t="str">
        <f t="shared" si="18"/>
        <v>建筑结构</v>
      </c>
      <c r="AA34" s="1809">
        <f t="shared" si="15"/>
        <v>1</v>
      </c>
      <c r="AB34" s="1809">
        <f t="shared" si="16"/>
        <v>1</v>
      </c>
      <c r="AC34" s="1809">
        <f t="shared" si="17"/>
        <v>1</v>
      </c>
    </row>
    <row r="35" spans="1:29" ht="15">
      <c r="A35" s="471"/>
      <c r="B35" s="421" t="s">
        <v>2557</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0"/>
      <c r="M35" s="1131"/>
      <c r="N35" s="1131"/>
      <c r="O35" s="1131"/>
      <c r="P35" s="3254"/>
      <c r="Q35" s="1808" t="str">
        <f t="shared" si="11"/>
        <v>建筑品质</v>
      </c>
      <c r="R35" s="773" t="s">
        <v>21</v>
      </c>
      <c r="S35" s="774">
        <f t="shared" si="12"/>
        <v>100</v>
      </c>
      <c r="T35" s="773" t="s">
        <v>21</v>
      </c>
      <c r="U35" s="774">
        <f t="shared" si="13"/>
        <v>100</v>
      </c>
      <c r="V35" s="773" t="s">
        <v>21</v>
      </c>
      <c r="W35" s="774">
        <f t="shared" si="14"/>
        <v>100</v>
      </c>
      <c r="X35" s="1811"/>
      <c r="Y35" s="3256"/>
      <c r="Z35" s="1812" t="str">
        <f t="shared" si="18"/>
        <v>建筑品质</v>
      </c>
      <c r="AA35" s="1809">
        <f t="shared" si="15"/>
        <v>1</v>
      </c>
      <c r="AB35" s="1809">
        <f t="shared" si="16"/>
        <v>1</v>
      </c>
      <c r="AC35" s="1809">
        <f t="shared" si="17"/>
        <v>1</v>
      </c>
    </row>
    <row r="36" spans="1:29" ht="15">
      <c r="A36" s="471"/>
      <c r="B36" s="421" t="s">
        <v>2558</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0"/>
      <c r="M36" s="1131"/>
      <c r="N36" s="1131"/>
      <c r="O36" s="1131"/>
      <c r="P36" s="3254"/>
      <c r="Q36" s="1808" t="str">
        <f t="shared" si="11"/>
        <v>公共部分装修</v>
      </c>
      <c r="R36" s="773" t="s">
        <v>21</v>
      </c>
      <c r="S36" s="774">
        <f t="shared" si="12"/>
        <v>100</v>
      </c>
      <c r="T36" s="773" t="s">
        <v>21</v>
      </c>
      <c r="U36" s="774">
        <f t="shared" si="13"/>
        <v>100</v>
      </c>
      <c r="V36" s="773" t="s">
        <v>21</v>
      </c>
      <c r="W36" s="774">
        <f t="shared" si="14"/>
        <v>100</v>
      </c>
      <c r="X36" s="1811"/>
      <c r="Y36" s="3256"/>
      <c r="Z36" s="1812" t="str">
        <f t="shared" si="18"/>
        <v>公共部分装修</v>
      </c>
      <c r="AA36" s="1809">
        <f t="shared" si="15"/>
        <v>1</v>
      </c>
      <c r="AB36" s="1809">
        <f t="shared" si="16"/>
        <v>1</v>
      </c>
      <c r="AC36" s="1809">
        <f t="shared" si="17"/>
        <v>1</v>
      </c>
    </row>
    <row r="37" spans="1:29" s="116" customFormat="1" ht="15">
      <c r="A37" s="472"/>
      <c r="B37" s="421" t="s">
        <v>2559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2"/>
      <c r="M37" s="1133"/>
      <c r="N37" s="1133"/>
      <c r="O37" s="1133"/>
      <c r="P37" s="3254"/>
      <c r="Q37" s="1793" t="str">
        <f t="shared" si="11"/>
        <v>成新度</v>
      </c>
      <c r="R37" s="769" t="s">
        <v>21</v>
      </c>
      <c r="S37" s="770" t="e">
        <f t="shared" si="12"/>
        <v>#N/A</v>
      </c>
      <c r="T37" s="769" t="s">
        <v>21</v>
      </c>
      <c r="U37" s="770" t="e">
        <f t="shared" si="13"/>
        <v>#N/A</v>
      </c>
      <c r="V37" s="769" t="s">
        <v>21</v>
      </c>
      <c r="W37" s="770" t="e">
        <f t="shared" si="14"/>
        <v>#N/A</v>
      </c>
      <c r="X37" s="771"/>
      <c r="Y37" s="3256"/>
      <c r="Z37" s="54" t="str">
        <f t="shared" si="18"/>
        <v>成新度</v>
      </c>
      <c r="AA37" s="772" t="e">
        <f t="shared" si="15"/>
        <v>#N/A</v>
      </c>
      <c r="AB37" s="772" t="e">
        <f t="shared" si="16"/>
        <v>#N/A</v>
      </c>
      <c r="AC37" s="772" t="e">
        <f t="shared" si="17"/>
        <v>#N/A</v>
      </c>
    </row>
    <row r="38" spans="1:29" ht="15">
      <c r="A38" s="471"/>
      <c r="B38" s="421" t="s">
        <v>2560</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0"/>
      <c r="M38" s="1131"/>
      <c r="N38" s="1131"/>
      <c r="O38" s="1131"/>
      <c r="P38" s="3254" t="s">
        <v>2554</v>
      </c>
      <c r="Q38" s="1808" t="str">
        <f t="shared" si="11"/>
        <v>物业管理</v>
      </c>
      <c r="R38" s="773" t="s">
        <v>21</v>
      </c>
      <c r="S38" s="774">
        <f t="shared" si="12"/>
        <v>100</v>
      </c>
      <c r="T38" s="773" t="s">
        <v>21</v>
      </c>
      <c r="U38" s="774">
        <f t="shared" si="13"/>
        <v>100</v>
      </c>
      <c r="V38" s="773" t="s">
        <v>21</v>
      </c>
      <c r="W38" s="774">
        <f t="shared" si="14"/>
        <v>100</v>
      </c>
      <c r="X38" s="1811"/>
      <c r="Y38" s="3256" t="s">
        <v>2554</v>
      </c>
      <c r="Z38" s="1812" t="str">
        <f t="shared" si="18"/>
        <v>物业管理</v>
      </c>
      <c r="AA38" s="1809">
        <f t="shared" si="15"/>
        <v>1</v>
      </c>
      <c r="AB38" s="1809">
        <f t="shared" si="16"/>
        <v>1</v>
      </c>
      <c r="AC38" s="1809">
        <f t="shared" si="17"/>
        <v>1</v>
      </c>
    </row>
    <row r="39" spans="1:29" ht="15">
      <c r="A39" s="471"/>
      <c r="B39" s="421" t="s">
        <v>2561</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0"/>
      <c r="M39" s="1131"/>
      <c r="N39" s="1131"/>
      <c r="O39" s="1131"/>
      <c r="P39" s="3254"/>
      <c r="Q39" s="1808" t="str">
        <f t="shared" si="11"/>
        <v>市政基础设施</v>
      </c>
      <c r="R39" s="773" t="s">
        <v>21</v>
      </c>
      <c r="S39" s="774">
        <f t="shared" si="12"/>
        <v>100</v>
      </c>
      <c r="T39" s="773" t="s">
        <v>21</v>
      </c>
      <c r="U39" s="774">
        <f t="shared" si="13"/>
        <v>100</v>
      </c>
      <c r="V39" s="773" t="s">
        <v>21</v>
      </c>
      <c r="W39" s="774">
        <f t="shared" si="14"/>
        <v>100</v>
      </c>
      <c r="X39" s="1811"/>
      <c r="Y39" s="3256"/>
      <c r="Z39" s="1812" t="str">
        <f t="shared" si="18"/>
        <v>市政基础设施</v>
      </c>
      <c r="AA39" s="1809">
        <f t="shared" si="15"/>
        <v>1</v>
      </c>
      <c r="AB39" s="1809">
        <f t="shared" si="16"/>
        <v>1</v>
      </c>
      <c r="AC39" s="1809">
        <f t="shared" si="17"/>
        <v>1</v>
      </c>
    </row>
    <row r="40" spans="1:29" ht="15">
      <c r="A40" s="471"/>
      <c r="B40" s="421" t="s">
        <v>2562</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0"/>
      <c r="M40" s="1131"/>
      <c r="N40" s="1131"/>
      <c r="O40" s="1131"/>
      <c r="P40" s="3254"/>
      <c r="Q40" s="1808" t="str">
        <f t="shared" si="11"/>
        <v>房型</v>
      </c>
      <c r="R40" s="773" t="s">
        <v>21</v>
      </c>
      <c r="S40" s="774">
        <f t="shared" si="12"/>
        <v>100</v>
      </c>
      <c r="T40" s="773" t="s">
        <v>21</v>
      </c>
      <c r="U40" s="774">
        <f t="shared" si="13"/>
        <v>100</v>
      </c>
      <c r="V40" s="773" t="s">
        <v>21</v>
      </c>
      <c r="W40" s="774">
        <f t="shared" si="14"/>
        <v>100</v>
      </c>
      <c r="X40" s="1811"/>
      <c r="Y40" s="3256"/>
      <c r="Z40" s="1812" t="str">
        <f t="shared" si="18"/>
        <v>房型</v>
      </c>
      <c r="AA40" s="1809">
        <f t="shared" si="15"/>
        <v>1</v>
      </c>
      <c r="AB40" s="1809">
        <f t="shared" si="16"/>
        <v>1</v>
      </c>
      <c r="AC40" s="1809">
        <f t="shared" si="17"/>
        <v>1</v>
      </c>
    </row>
    <row r="41" spans="1:29" s="470" customFormat="1" ht="28.5">
      <c r="A41" s="467"/>
      <c r="B41" s="421" t="s">
        <v>2563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8"/>
      <c r="M41" s="1141"/>
      <c r="N41" s="1141"/>
      <c r="O41" s="1141"/>
      <c r="P41" s="3254"/>
      <c r="Q41" s="775" t="str">
        <f t="shared" si="11"/>
        <v>单套/主力户型建筑面积</v>
      </c>
      <c r="R41" s="776" t="s">
        <v>21</v>
      </c>
      <c r="S41" s="777">
        <f t="shared" si="12"/>
        <v>100</v>
      </c>
      <c r="T41" s="776" t="s">
        <v>21</v>
      </c>
      <c r="U41" s="777">
        <f t="shared" si="13"/>
        <v>100</v>
      </c>
      <c r="V41" s="776" t="s">
        <v>21</v>
      </c>
      <c r="W41" s="777">
        <f t="shared" si="14"/>
        <v>100</v>
      </c>
      <c r="X41" s="778"/>
      <c r="Y41" s="3256"/>
      <c r="Z41" s="779" t="str">
        <f t="shared" si="18"/>
        <v>单套/主力户型建筑面积</v>
      </c>
      <c r="AA41" s="1809">
        <f t="shared" si="15"/>
        <v>1</v>
      </c>
      <c r="AB41" s="1809">
        <f t="shared" si="16"/>
        <v>1</v>
      </c>
      <c r="AC41" s="1809">
        <f t="shared" si="17"/>
        <v>1</v>
      </c>
    </row>
    <row r="42" spans="1:29" ht="15">
      <c r="A42" s="471"/>
      <c r="B42" s="421" t="s">
        <v>2564</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0"/>
      <c r="M42" s="1131"/>
      <c r="N42" s="1131"/>
      <c r="O42" s="1131"/>
      <c r="P42" s="3254"/>
      <c r="Q42" s="1808" t="str">
        <f t="shared" si="11"/>
        <v>内部装修</v>
      </c>
      <c r="R42" s="773" t="s">
        <v>21</v>
      </c>
      <c r="S42" s="774">
        <f t="shared" si="12"/>
        <v>100</v>
      </c>
      <c r="T42" s="773" t="s">
        <v>21</v>
      </c>
      <c r="U42" s="774">
        <f t="shared" si="13"/>
        <v>100</v>
      </c>
      <c r="V42" s="773" t="s">
        <v>21</v>
      </c>
      <c r="W42" s="774">
        <f t="shared" si="14"/>
        <v>100</v>
      </c>
      <c r="X42" s="1811"/>
      <c r="Y42" s="3256"/>
      <c r="Z42" s="1812" t="str">
        <f t="shared" si="18"/>
        <v>内部装修</v>
      </c>
      <c r="AA42" s="1809">
        <f t="shared" si="15"/>
        <v>1</v>
      </c>
      <c r="AB42" s="1809">
        <f t="shared" si="16"/>
        <v>1</v>
      </c>
      <c r="AC42" s="1809">
        <f t="shared" si="17"/>
        <v>1</v>
      </c>
    </row>
    <row r="43" spans="1:29" ht="15">
      <c r="A43" s="471"/>
      <c r="B43" s="421" t="s">
        <v>2565</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0"/>
      <c r="M43" s="1131"/>
      <c r="N43" s="1131"/>
      <c r="O43" s="1131"/>
      <c r="P43" s="3254"/>
      <c r="Q43" s="1808" t="str">
        <f t="shared" si="11"/>
        <v>内部装修维护情况</v>
      </c>
      <c r="R43" s="773" t="s">
        <v>21</v>
      </c>
      <c r="S43" s="774">
        <f t="shared" si="12"/>
        <v>100</v>
      </c>
      <c r="T43" s="773" t="s">
        <v>21</v>
      </c>
      <c r="U43" s="774">
        <f t="shared" si="13"/>
        <v>100</v>
      </c>
      <c r="V43" s="773" t="s">
        <v>21</v>
      </c>
      <c r="W43" s="774">
        <f t="shared" si="14"/>
        <v>100</v>
      </c>
      <c r="X43" s="1811"/>
      <c r="Y43" s="3256"/>
      <c r="Z43" s="1812" t="str">
        <f t="shared" si="18"/>
        <v>内部装修维护情况</v>
      </c>
      <c r="AA43" s="1809">
        <f t="shared" si="15"/>
        <v>1</v>
      </c>
      <c r="AB43" s="1809">
        <f t="shared" si="16"/>
        <v>1</v>
      </c>
      <c r="AC43" s="1809">
        <f t="shared" si="17"/>
        <v>1</v>
      </c>
    </row>
    <row r="44" spans="1:29" s="116" customFormat="1" ht="15">
      <c r="A44" s="472"/>
      <c r="B44" s="1386">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2"/>
      <c r="M44" s="1133"/>
      <c r="N44" s="1133"/>
      <c r="O44" s="1133"/>
      <c r="P44" s="3254"/>
      <c r="Q44" s="1793">
        <f t="shared" si="11"/>
        <v>111</v>
      </c>
      <c r="R44" s="769" t="s">
        <v>21</v>
      </c>
      <c r="S44" s="770">
        <f t="shared" si="12"/>
        <v>100</v>
      </c>
      <c r="T44" s="769" t="s">
        <v>21</v>
      </c>
      <c r="U44" s="770">
        <f t="shared" si="13"/>
        <v>100</v>
      </c>
      <c r="V44" s="769" t="s">
        <v>21</v>
      </c>
      <c r="W44" s="770">
        <f t="shared" si="14"/>
        <v>100</v>
      </c>
      <c r="X44" s="771"/>
      <c r="Y44" s="3256"/>
      <c r="Z44" s="54">
        <f t="shared" si="18"/>
        <v>111</v>
      </c>
      <c r="AA44" s="772">
        <f t="shared" si="15"/>
        <v>1</v>
      </c>
      <c r="AB44" s="772">
        <f t="shared" si="16"/>
        <v>1</v>
      </c>
      <c r="AC44" s="772">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0"/>
      <c r="M45" s="1131"/>
      <c r="N45" s="1131"/>
      <c r="O45" s="1131"/>
      <c r="P45" s="3254"/>
      <c r="Q45" s="1808">
        <f t="shared" si="11"/>
        <v>111</v>
      </c>
      <c r="R45" s="773" t="s">
        <v>21</v>
      </c>
      <c r="S45" s="774">
        <f t="shared" si="12"/>
        <v>100</v>
      </c>
      <c r="T45" s="773" t="s">
        <v>21</v>
      </c>
      <c r="U45" s="774">
        <f t="shared" si="13"/>
        <v>100</v>
      </c>
      <c r="V45" s="773" t="s">
        <v>21</v>
      </c>
      <c r="W45" s="774">
        <f t="shared" si="14"/>
        <v>100</v>
      </c>
      <c r="X45" s="1811"/>
      <c r="Y45" s="3256"/>
      <c r="Z45" s="1812">
        <f t="shared" si="18"/>
        <v>111</v>
      </c>
      <c r="AA45" s="1809">
        <f t="shared" si="15"/>
        <v>1</v>
      </c>
      <c r="AB45" s="1809">
        <f t="shared" si="16"/>
        <v>1</v>
      </c>
      <c r="AC45" s="1809">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0"/>
      <c r="M46" s="1131"/>
      <c r="N46" s="1131"/>
      <c r="O46" s="1131"/>
      <c r="P46" s="3255"/>
      <c r="Q46" s="1808">
        <f t="shared" si="11"/>
        <v>111</v>
      </c>
      <c r="R46" s="773" t="s">
        <v>20</v>
      </c>
      <c r="S46" s="774">
        <f t="shared" si="12"/>
        <v>100</v>
      </c>
      <c r="T46" s="773" t="s">
        <v>20</v>
      </c>
      <c r="U46" s="774">
        <f t="shared" si="13"/>
        <v>100</v>
      </c>
      <c r="V46" s="773" t="s">
        <v>20</v>
      </c>
      <c r="W46" s="774">
        <f t="shared" si="14"/>
        <v>100</v>
      </c>
      <c r="X46" s="1811"/>
      <c r="Y46" s="3257"/>
      <c r="Z46" s="1812">
        <f t="shared" si="18"/>
        <v>111</v>
      </c>
      <c r="AA46" s="1809">
        <f t="shared" si="15"/>
        <v>1</v>
      </c>
      <c r="AB46" s="1809">
        <f t="shared" si="16"/>
        <v>1</v>
      </c>
      <c r="AC46" s="1809">
        <f t="shared" si="17"/>
        <v>1</v>
      </c>
    </row>
    <row r="47" spans="1:29" ht="15">
      <c r="A47" s="478" t="s">
        <v>2566</v>
      </c>
      <c r="B47" s="479"/>
      <c r="C47" s="1406" t="s">
        <v>19</v>
      </c>
      <c r="D47" s="1407"/>
      <c r="E47" s="1408"/>
      <c r="F47" s="1409"/>
      <c r="G47" s="1410"/>
      <c r="H47" s="1411"/>
      <c r="I47" s="1408"/>
      <c r="J47" s="1411"/>
      <c r="K47" s="2620"/>
      <c r="L47" s="1143"/>
      <c r="M47" s="1144"/>
      <c r="N47" s="1131"/>
      <c r="O47" s="1144"/>
      <c r="P47" s="3249" t="str">
        <f>A47</f>
        <v>成交单价（元/平方米）</v>
      </c>
      <c r="Q47" s="3249"/>
      <c r="R47" s="3250">
        <f>E47</f>
        <v>0</v>
      </c>
      <c r="S47" s="3250"/>
      <c r="T47" s="3250">
        <f>G47</f>
        <v>0</v>
      </c>
      <c r="U47" s="3250"/>
      <c r="V47" s="3250">
        <f>I47</f>
        <v>0</v>
      </c>
      <c r="W47" s="3250"/>
      <c r="X47" s="758"/>
      <c r="Y47" s="780"/>
      <c r="Z47" s="758"/>
      <c r="AA47" s="758"/>
      <c r="AB47" s="758"/>
      <c r="AC47" s="758"/>
    </row>
    <row r="48" spans="1:29" ht="15.75" thickBot="1">
      <c r="A48" s="485" t="s">
        <v>2567</v>
      </c>
      <c r="B48" s="486"/>
      <c r="C48" s="1412" t="e">
        <f>R49</f>
        <v>#DIV/0!</v>
      </c>
      <c r="D48" s="1413"/>
      <c r="E48" s="1414" t="e">
        <f>R48</f>
        <v>#DIV/0!</v>
      </c>
      <c r="F48" s="1414"/>
      <c r="G48" s="1412" t="e">
        <f>T48</f>
        <v>#DIV/0!</v>
      </c>
      <c r="H48" s="1413"/>
      <c r="I48" s="1414" t="e">
        <f>V48</f>
        <v>#DIV/0!</v>
      </c>
      <c r="J48" s="1413"/>
      <c r="K48" s="2621"/>
      <c r="L48" s="1143"/>
      <c r="M48" s="1144"/>
      <c r="N48" s="1144"/>
      <c r="O48" s="1144"/>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8"/>
      <c r="Y48" s="758"/>
      <c r="Z48" s="758"/>
      <c r="AA48" s="758"/>
      <c r="AB48" s="758"/>
      <c r="AC48" s="758"/>
    </row>
    <row r="49" spans="1:29" ht="15.75" thickBot="1">
      <c r="A49" s="491" t="s">
        <v>2568</v>
      </c>
      <c r="B49" s="492"/>
      <c r="C49" s="1415" t="e">
        <f>R49</f>
        <v>#DIV/0!</v>
      </c>
      <c r="D49" s="1416"/>
      <c r="E49" s="1416"/>
      <c r="F49" s="1416"/>
      <c r="G49" s="1416"/>
      <c r="H49" s="1416"/>
      <c r="I49" s="1416"/>
      <c r="J49" s="1416"/>
      <c r="K49" s="2622"/>
      <c r="L49" s="1143"/>
      <c r="M49" s="1144"/>
      <c r="N49" s="1144"/>
      <c r="O49" s="1144"/>
      <c r="P49" s="3246" t="str">
        <f>A49</f>
        <v>估价对象XX用房的比较价值（楼面单价，元/平方米）</v>
      </c>
      <c r="Q49" s="3247"/>
      <c r="R49" s="3248" t="e">
        <f>IF(F1="售价",ROUND(AVERAGE(R48:V48),0),ROUND(AVERAGE(R48:V48),1))</f>
        <v>#DIV/0!</v>
      </c>
      <c r="S49" s="3248"/>
      <c r="T49" s="3248"/>
      <c r="U49" s="3248"/>
      <c r="V49" s="3248"/>
      <c r="W49" s="3248"/>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4"/>
    </row>
    <row r="55" spans="1:29" s="501"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2" t="s">
        <v>2572</v>
      </c>
      <c r="B57" s="758"/>
      <c r="C57" s="763"/>
      <c r="D57" s="763"/>
      <c r="E57" s="763"/>
      <c r="F57" s="764"/>
      <c r="G57" s="764"/>
      <c r="H57" s="763"/>
      <c r="I57" s="763"/>
      <c r="J57" s="763"/>
      <c r="K57" s="1160"/>
      <c r="L57" s="1161"/>
      <c r="M57" s="1159"/>
      <c r="N57" s="1159"/>
      <c r="O57" s="1159"/>
      <c r="P57" s="2625"/>
      <c r="Q57" s="503"/>
    </row>
    <row r="58" spans="1:29" s="507" customFormat="1" ht="15">
      <c r="A58" s="504" t="s">
        <v>2573</v>
      </c>
      <c r="B58" s="505"/>
      <c r="C58" s="1574" t="str">
        <f>YEAR(C7)&amp;"-"&amp;MONTH(C7)</f>
        <v>2018-12</v>
      </c>
      <c r="D58" s="1573">
        <f>EDATE(C58,-1)</f>
        <v>43405</v>
      </c>
      <c r="E58" s="1573">
        <f>EDATE(D58,-1)</f>
        <v>43374</v>
      </c>
      <c r="F58" s="1573">
        <f t="shared" ref="F58:O58" si="19">EDATE(E58,-1)</f>
        <v>43344</v>
      </c>
      <c r="G58" s="1573">
        <f t="shared" si="19"/>
        <v>43313</v>
      </c>
      <c r="H58" s="1573">
        <f t="shared" si="19"/>
        <v>43282</v>
      </c>
      <c r="I58" s="1573">
        <f t="shared" si="19"/>
        <v>43252</v>
      </c>
      <c r="J58" s="1573">
        <f t="shared" si="19"/>
        <v>43221</v>
      </c>
      <c r="K58" s="1573">
        <f t="shared" si="19"/>
        <v>43191</v>
      </c>
      <c r="L58" s="1573">
        <f t="shared" si="19"/>
        <v>43160</v>
      </c>
      <c r="M58" s="1573">
        <f t="shared" si="19"/>
        <v>43132</v>
      </c>
      <c r="N58" s="1573">
        <f t="shared" si="19"/>
        <v>43101</v>
      </c>
      <c r="O58" s="1573">
        <f t="shared" si="19"/>
        <v>43070</v>
      </c>
      <c r="P58" s="1568"/>
    </row>
    <row r="59" spans="1:29" s="116" customFormat="1" ht="15">
      <c r="A59" s="508"/>
      <c r="B59" s="2626"/>
      <c r="C59" s="1571">
        <v>100</v>
      </c>
      <c r="D59" s="510"/>
      <c r="E59" s="511"/>
      <c r="F59" s="511"/>
      <c r="G59" s="511"/>
      <c r="H59" s="511"/>
      <c r="I59" s="511"/>
      <c r="J59" s="511"/>
      <c r="K59" s="511"/>
      <c r="L59" s="511"/>
      <c r="M59" s="512"/>
      <c r="N59" s="511"/>
      <c r="O59" s="512"/>
      <c r="P59" s="2627"/>
    </row>
    <row r="60" spans="1:29" s="116" customFormat="1" ht="15.75" thickBot="1">
      <c r="A60" s="514" t="s">
        <v>2574</v>
      </c>
      <c r="B60" s="515"/>
      <c r="C60" s="516"/>
      <c r="D60" s="517"/>
      <c r="E60" s="517"/>
      <c r="F60" s="517"/>
      <c r="G60" s="517"/>
      <c r="H60" s="517"/>
      <c r="I60" s="517"/>
      <c r="J60" s="517"/>
      <c r="K60" s="517"/>
      <c r="L60" s="517"/>
      <c r="M60" s="518"/>
      <c r="N60" s="517"/>
      <c r="O60" s="518"/>
      <c r="P60" s="2627"/>
      <c r="Q60" s="503"/>
    </row>
    <row r="61" spans="1:29" s="116" customFormat="1" ht="15">
      <c r="A61" s="520" t="s">
        <v>2575</v>
      </c>
      <c r="B61" s="509"/>
      <c r="C61" s="521" t="s">
        <v>2576</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2577</v>
      </c>
      <c r="B63" s="527" t="s">
        <v>2543</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2"/>
      <c r="O65" s="1152"/>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9"/>
      <c r="Q66" s="503"/>
    </row>
    <row r="67" spans="1:17" ht="15.75" thickTop="1">
      <c r="A67" s="533"/>
      <c r="B67" s="545" t="s">
        <v>2547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59"/>
      <c r="E73" s="559"/>
      <c r="F73" s="559"/>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2092</v>
      </c>
      <c r="C82" s="538" t="s">
        <v>2593</v>
      </c>
      <c r="D82" s="538" t="s">
        <v>2594</v>
      </c>
      <c r="E82" s="538" t="s">
        <v>2595</v>
      </c>
      <c r="F82" s="538" t="s">
        <v>2596</v>
      </c>
      <c r="G82" s="538" t="s">
        <v>2597</v>
      </c>
      <c r="H82" s="538"/>
      <c r="I82" s="538"/>
      <c r="J82" s="538"/>
      <c r="K82" s="538"/>
      <c r="L82" s="538"/>
      <c r="M82" s="1382"/>
      <c r="N82" s="1153"/>
      <c r="O82" s="1153"/>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3"/>
      <c r="O83" s="1153"/>
      <c r="P83" s="2629"/>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2599</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9"/>
      <c r="Q87" s="503"/>
    </row>
    <row r="88" spans="1:17" s="116" customFormat="1" ht="15.75" thickTop="1">
      <c r="A88" s="578"/>
      <c r="B88" s="537" t="s">
        <v>2600</v>
      </c>
      <c r="C88" s="553"/>
      <c r="D88" s="553"/>
      <c r="E88" s="553"/>
      <c r="F88" s="2634"/>
      <c r="G88" s="553"/>
      <c r="H88" s="553"/>
      <c r="I88" s="553"/>
      <c r="J88" s="553"/>
      <c r="K88" s="553"/>
      <c r="L88" s="553"/>
      <c r="M88" s="580"/>
      <c r="N88" s="1151"/>
      <c r="O88" s="1151"/>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9"/>
      <c r="Q89" s="503"/>
    </row>
    <row r="90" spans="1:17" s="470" customFormat="1" ht="15.75" thickTop="1">
      <c r="A90" s="552"/>
      <c r="B90" s="537">
        <f>B27</f>
        <v>111</v>
      </c>
      <c r="C90" s="553"/>
      <c r="D90" s="553"/>
      <c r="E90" s="553"/>
      <c r="F90" s="553"/>
      <c r="G90" s="553"/>
      <c r="H90" s="554"/>
      <c r="I90" s="554"/>
      <c r="J90" s="554"/>
      <c r="K90" s="554"/>
      <c r="L90" s="555"/>
      <c r="M90" s="556"/>
      <c r="N90" s="1154"/>
      <c r="O90" s="1154"/>
      <c r="P90" s="2630"/>
      <c r="Q90" s="558"/>
    </row>
    <row r="91" spans="1:17" s="470" customFormat="1" ht="15.75" thickBot="1">
      <c r="A91" s="552"/>
      <c r="B91" s="542"/>
      <c r="C91" s="559"/>
      <c r="D91" s="559"/>
      <c r="E91" s="559"/>
      <c r="F91" s="559"/>
      <c r="G91" s="559"/>
      <c r="H91" s="561"/>
      <c r="I91" s="561"/>
      <c r="J91" s="561"/>
      <c r="K91" s="561"/>
      <c r="L91" s="561"/>
      <c r="M91" s="562"/>
      <c r="N91" s="1154"/>
      <c r="O91" s="1154"/>
      <c r="P91" s="2630"/>
      <c r="Q91" s="558"/>
    </row>
    <row r="92" spans="1:17" ht="15.75" thickTop="1">
      <c r="A92" s="533"/>
      <c r="B92" s="537">
        <f>B28</f>
        <v>111</v>
      </c>
      <c r="C92" s="553"/>
      <c r="D92" s="553"/>
      <c r="E92" s="553"/>
      <c r="F92" s="553"/>
      <c r="G92" s="582"/>
      <c r="H92" s="582"/>
      <c r="I92" s="582"/>
      <c r="J92" s="582"/>
      <c r="K92" s="583"/>
      <c r="L92" s="584"/>
      <c r="M92" s="585"/>
      <c r="N92" s="1152"/>
      <c r="O92" s="1152"/>
      <c r="P92" s="2629"/>
      <c r="Q92" s="503"/>
    </row>
    <row r="93" spans="1:17" ht="15.75" thickBot="1">
      <c r="A93" s="533"/>
      <c r="B93" s="542"/>
      <c r="C93" s="559"/>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59"/>
      <c r="E95" s="559"/>
      <c r="F95" s="559"/>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69"/>
      <c r="D97" s="569"/>
      <c r="E97" s="569"/>
      <c r="F97" s="569"/>
      <c r="G97" s="535"/>
      <c r="H97" s="535"/>
      <c r="I97" s="535"/>
      <c r="J97" s="535"/>
      <c r="K97" s="535"/>
      <c r="L97" s="535"/>
      <c r="M97" s="536"/>
      <c r="N97" s="1153"/>
      <c r="O97" s="1153"/>
      <c r="P97" s="2629"/>
      <c r="Q97" s="503"/>
    </row>
    <row r="98" spans="1:17" ht="15.75" thickTop="1">
      <c r="A98" s="533"/>
      <c r="B98" s="545">
        <f>B31</f>
        <v>111</v>
      </c>
      <c r="C98" s="586"/>
      <c r="D98" s="586"/>
      <c r="E98" s="586"/>
      <c r="F98" s="586"/>
      <c r="G98" s="586"/>
      <c r="H98" s="586"/>
      <c r="I98" s="586"/>
      <c r="J98" s="586"/>
      <c r="K98" s="587"/>
      <c r="L98" s="588"/>
      <c r="M98" s="589"/>
      <c r="N98" s="1152"/>
      <c r="O98" s="1152"/>
      <c r="P98" s="2629"/>
      <c r="Q98" s="503"/>
    </row>
    <row r="99" spans="1:17" ht="15.75" thickBot="1">
      <c r="A99" s="2635"/>
      <c r="B99" s="568"/>
      <c r="C99" s="590"/>
      <c r="D99" s="590"/>
      <c r="E99" s="590"/>
      <c r="F99" s="590"/>
      <c r="G99" s="590"/>
      <c r="H99" s="590"/>
      <c r="I99" s="590"/>
      <c r="J99" s="590"/>
      <c r="K99" s="590"/>
      <c r="L99" s="590"/>
      <c r="M99" s="591"/>
      <c r="N99" s="1153"/>
      <c r="O99" s="1153"/>
      <c r="P99" s="2629"/>
      <c r="Q99" s="503"/>
    </row>
    <row r="100" spans="1:17">
      <c r="A100" s="526" t="s">
        <v>2552</v>
      </c>
      <c r="B100" s="527" t="s">
        <v>2601</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9"/>
      <c r="Q101" s="503"/>
    </row>
    <row r="102" spans="1:17" ht="15.75" thickTop="1">
      <c r="A102" s="533"/>
      <c r="B102" s="537" t="s">
        <v>2602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30"/>
      <c r="Q104" s="558"/>
    </row>
    <row r="105" spans="1:17" ht="15" thickTop="1">
      <c r="A105" s="598"/>
      <c r="B105" s="537" t="s">
        <v>2603</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9"/>
      <c r="Q106" s="503"/>
    </row>
    <row r="107" spans="1:17" ht="15" thickTop="1">
      <c r="A107" s="598"/>
      <c r="B107" s="537" t="s">
        <v>2604</v>
      </c>
      <c r="C107" s="582"/>
      <c r="D107" s="582"/>
      <c r="E107" s="582"/>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9"/>
      <c r="Q108" s="503"/>
    </row>
    <row r="109" spans="1:17" ht="15" thickTop="1">
      <c r="A109" s="598"/>
      <c r="B109" s="537" t="s">
        <v>2605</v>
      </c>
      <c r="C109" s="553"/>
      <c r="D109" s="553"/>
      <c r="E109" s="553"/>
      <c r="F109" s="582"/>
      <c r="G109" s="582"/>
      <c r="H109" s="582"/>
      <c r="I109" s="582"/>
      <c r="J109" s="582"/>
      <c r="K109" s="583"/>
      <c r="L109" s="584"/>
      <c r="M109" s="585"/>
      <c r="N109" s="1152"/>
      <c r="O109" s="1152"/>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9"/>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30"/>
      <c r="Q113" s="558"/>
    </row>
    <row r="114" spans="1:17" ht="15" thickTop="1">
      <c r="A114" s="598"/>
      <c r="B114" s="537" t="s">
        <v>2606</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9"/>
      <c r="Q115" s="503"/>
    </row>
    <row r="116" spans="1:17" ht="15" thickTop="1">
      <c r="A116" s="598"/>
      <c r="B116" s="537" t="s">
        <v>2607</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2608</v>
      </c>
      <c r="C118" s="582"/>
      <c r="D118" s="582"/>
      <c r="E118" s="582"/>
      <c r="F118" s="582"/>
      <c r="G118" s="582"/>
      <c r="H118" s="582"/>
      <c r="I118" s="582"/>
      <c r="J118" s="582"/>
      <c r="K118" s="583"/>
      <c r="L118" s="584"/>
      <c r="M118" s="585"/>
      <c r="N118" s="1152"/>
      <c r="O118" s="1152"/>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9"/>
      <c r="Q119" s="503"/>
    </row>
    <row r="120" spans="1:17" s="470" customFormat="1" ht="28.5" thickTop="1">
      <c r="A120" s="592"/>
      <c r="B120" s="537" t="s">
        <v>2563</v>
      </c>
      <c r="C120" s="553"/>
      <c r="D120" s="553"/>
      <c r="E120" s="553"/>
      <c r="F120" s="553"/>
      <c r="G120" s="553"/>
      <c r="H120" s="553"/>
      <c r="I120" s="553"/>
      <c r="J120" s="553"/>
      <c r="K120" s="553"/>
      <c r="L120" s="579"/>
      <c r="M120" s="580"/>
      <c r="N120" s="1154"/>
      <c r="O120" s="1154"/>
      <c r="P120" s="2630"/>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30"/>
      <c r="Q121" s="558"/>
    </row>
    <row r="122" spans="1:17" ht="15" thickTop="1">
      <c r="A122" s="598"/>
      <c r="B122" s="537" t="s">
        <v>2609</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9"/>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59"/>
      <c r="E129" s="559"/>
      <c r="F129" s="559"/>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row r="136" spans="1:17" ht="15" thickBot="1">
      <c r="B136" s="2636" t="s">
        <v>2611</v>
      </c>
    </row>
    <row r="137" spans="1:17" ht="15">
      <c r="B137" s="2637" t="s">
        <v>2612</v>
      </c>
      <c r="C137" s="2638"/>
      <c r="D137" s="2638"/>
      <c r="E137" s="2638"/>
      <c r="F137" s="2638"/>
      <c r="G137" s="2639"/>
      <c r="H137" s="2640"/>
      <c r="I137" s="2641" t="s">
        <v>2613</v>
      </c>
      <c r="J137" s="2638"/>
      <c r="K137" s="2642"/>
    </row>
    <row r="138" spans="1:17" ht="15">
      <c r="B138" s="2643"/>
      <c r="C138" s="145" t="s">
        <v>2614</v>
      </c>
      <c r="D138" s="145" t="s">
        <v>2615</v>
      </c>
      <c r="E138" s="2644" t="s">
        <v>2616</v>
      </c>
      <c r="F138" s="2645" t="s">
        <v>2617</v>
      </c>
      <c r="G138" s="145" t="s">
        <v>2615</v>
      </c>
      <c r="H138" s="146" t="s">
        <v>2616</v>
      </c>
      <c r="I138" s="2646"/>
      <c r="J138" s="145" t="s">
        <v>2618</v>
      </c>
      <c r="K138" s="146" t="s">
        <v>2619</v>
      </c>
    </row>
    <row r="139" spans="1:17" ht="15">
      <c r="B139" s="1084">
        <v>6</v>
      </c>
      <c r="C139" s="1085">
        <v>96</v>
      </c>
      <c r="D139" s="2647" t="s">
        <v>2620</v>
      </c>
      <c r="E139" s="1086">
        <v>100</v>
      </c>
      <c r="F139" s="1087">
        <v>102.5</v>
      </c>
      <c r="G139" s="2647" t="s">
        <v>2620</v>
      </c>
      <c r="H139" s="1088">
        <v>105</v>
      </c>
      <c r="I139" s="2648" t="s">
        <v>2621</v>
      </c>
      <c r="J139" s="1085">
        <v>20</v>
      </c>
      <c r="K139" s="1089">
        <f>C145/(J139-2)</f>
        <v>4.0555555555555553E-3</v>
      </c>
    </row>
    <row r="140" spans="1:17" ht="15">
      <c r="B140" s="1090">
        <v>5</v>
      </c>
      <c r="C140" s="1091">
        <v>100</v>
      </c>
      <c r="D140" s="1091"/>
      <c r="E140" s="1092"/>
      <c r="F140" s="1093">
        <v>102</v>
      </c>
      <c r="G140" s="1091"/>
      <c r="H140" s="1094"/>
      <c r="I140" s="2649" t="s">
        <v>2622</v>
      </c>
      <c r="J140" s="314">
        <f>ROUNDUP((J139-1)/2,0)</f>
        <v>10</v>
      </c>
      <c r="K140" s="1095">
        <v>100</v>
      </c>
    </row>
    <row r="141" spans="1:17" ht="15">
      <c r="B141" s="1090">
        <v>4</v>
      </c>
      <c r="C141" s="1091">
        <v>102</v>
      </c>
      <c r="D141" s="1091"/>
      <c r="E141" s="1092"/>
      <c r="F141" s="1093">
        <v>101.5</v>
      </c>
      <c r="G141" s="1091"/>
      <c r="H141" s="1094"/>
      <c r="I141" s="2649" t="s">
        <v>2623</v>
      </c>
      <c r="J141" s="314">
        <v>1</v>
      </c>
      <c r="K141" s="1096">
        <f>ROUND(100+(J141-J140)*K139*100,1)</f>
        <v>96.4</v>
      </c>
    </row>
    <row r="142" spans="1:17" ht="15">
      <c r="B142" s="1090">
        <v>3</v>
      </c>
      <c r="C142" s="1091">
        <v>103</v>
      </c>
      <c r="D142" s="1091"/>
      <c r="E142" s="1092"/>
      <c r="F142" s="1093">
        <v>101</v>
      </c>
      <c r="G142" s="1091"/>
      <c r="H142" s="1094"/>
      <c r="I142" s="2649" t="s">
        <v>2624</v>
      </c>
      <c r="J142" s="314">
        <f>J139</f>
        <v>20</v>
      </c>
      <c r="K142" s="1097">
        <v>95</v>
      </c>
    </row>
    <row r="143" spans="1:17" ht="15">
      <c r="B143" s="1090">
        <v>2</v>
      </c>
      <c r="C143" s="1091">
        <v>100</v>
      </c>
      <c r="D143" s="1091"/>
      <c r="E143" s="1092"/>
      <c r="F143" s="1093">
        <v>100.5</v>
      </c>
      <c r="G143" s="1091"/>
      <c r="H143" s="1094"/>
      <c r="I143" s="2649" t="s">
        <v>2625</v>
      </c>
      <c r="J143" s="1091">
        <v>15</v>
      </c>
      <c r="K143" s="1096">
        <f>ROUND(100+(J143-J140)*K139*100,1)</f>
        <v>102</v>
      </c>
    </row>
    <row r="144" spans="1:17" ht="15">
      <c r="B144" s="1090">
        <v>1</v>
      </c>
      <c r="C144" s="1091">
        <v>98</v>
      </c>
      <c r="D144" s="2650" t="s">
        <v>2626</v>
      </c>
      <c r="E144" s="1092">
        <v>102</v>
      </c>
      <c r="F144" s="1098">
        <v>100</v>
      </c>
      <c r="G144" s="2650" t="s">
        <v>2626</v>
      </c>
      <c r="H144" s="1094">
        <v>105</v>
      </c>
      <c r="I144" s="2649" t="s">
        <v>2625</v>
      </c>
      <c r="J144" s="1091">
        <v>18</v>
      </c>
      <c r="K144" s="1096">
        <f>ROUND(100+(J144-J140)*K139*100,1)</f>
        <v>103.2</v>
      </c>
    </row>
    <row r="145" spans="2:11" ht="15.75" thickBot="1">
      <c r="B145" s="2651" t="s">
        <v>2627</v>
      </c>
      <c r="C145" s="1099">
        <f>ROUND(MAX(C139:C144)/MIN(C139:C144)-1,3)</f>
        <v>7.2999999999999995E-2</v>
      </c>
      <c r="D145" s="1100"/>
      <c r="E145" s="1100"/>
      <c r="F145" s="2652" t="s">
        <v>2628</v>
      </c>
      <c r="G145" s="2653"/>
      <c r="H145" s="2654"/>
      <c r="I145" s="2655" t="s">
        <v>2625</v>
      </c>
      <c r="J145" s="1101">
        <v>8</v>
      </c>
      <c r="K145" s="1102">
        <f>ROUND(100+(J145-J140)*K139*100,1)</f>
        <v>99.2</v>
      </c>
    </row>
    <row r="147" spans="2:11">
      <c r="B147" s="2636" t="s">
        <v>2629</v>
      </c>
    </row>
    <row r="148" spans="2:11">
      <c r="B148" s="2636"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5" sqref="C5:C1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581" t="s">
        <v>2631</v>
      </c>
      <c r="C1" s="1632" t="s">
        <v>2519</v>
      </c>
      <c r="D1" s="1619"/>
      <c r="E1" s="2656"/>
      <c r="F1" s="2583"/>
      <c r="G1" s="1629" t="s">
        <v>2632</v>
      </c>
      <c r="H1" s="1628"/>
      <c r="I1" s="1628"/>
      <c r="J1" s="1628"/>
      <c r="K1" s="1630"/>
      <c r="L1" s="1631"/>
      <c r="M1" s="1632"/>
      <c r="N1" s="1632"/>
      <c r="O1" s="1632"/>
      <c r="P1" s="2657"/>
      <c r="Q1" s="2658"/>
      <c r="R1" s="2658"/>
      <c r="S1" s="2658"/>
      <c r="T1" s="2658"/>
      <c r="U1" s="2658"/>
      <c r="V1" s="2658"/>
      <c r="W1" s="2658"/>
      <c r="X1" s="2658"/>
      <c r="Y1" s="2658"/>
      <c r="Z1" s="2658"/>
      <c r="AA1" s="2658"/>
      <c r="AB1" s="2658"/>
      <c r="AC1" s="2659"/>
    </row>
    <row r="2" spans="1:29" s="397" customFormat="1" ht="28.5" customHeight="1" thickTop="1">
      <c r="A2" s="1615" t="s">
        <v>2316</v>
      </c>
      <c r="B2" s="1417" t="e">
        <f ca="1">IF(C2="——",ROUND(C49*D3/10000,0),ROUND(C49*D3/10000,0)-D2)</f>
        <v>#DIV/0!</v>
      </c>
      <c r="C2" s="2585"/>
      <c r="D2" s="1365" t="e">
        <f ca="1">SUMIF(INDIRECT("'"&amp;F2&amp;"'"&amp;"!A:A"),"承租人权益价值",INDIRECT("'"&amp;F2&amp;"'"&amp;"!c:c"))</f>
        <v>#REF!</v>
      </c>
      <c r="E2" s="2586" t="s">
        <v>2317</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7" customFormat="1" ht="28.5" customHeight="1" thickBot="1">
      <c r="A3" s="246" t="s">
        <v>2318</v>
      </c>
      <c r="B3" s="608" t="e">
        <f ca="1">IF(C2="——",C49,ROUND(B2*10000/D3,0))</f>
        <v>#DIV/0!</v>
      </c>
      <c r="C3" s="399" t="s">
        <v>2633</v>
      </c>
      <c r="D3" s="398">
        <f>IF(D1="",'数据-汇总表'!E3,SUMIF('数据-汇总表'!$C19:$C33,D1,'数据-汇总表'!$E19:$E33))</f>
        <v>8276.64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19" t="s">
        <v>2636</v>
      </c>
      <c r="S4" s="3220"/>
      <c r="T4" s="3219" t="s">
        <v>2637</v>
      </c>
      <c r="U4" s="3220"/>
      <c r="V4" s="3244" t="s">
        <v>2638</v>
      </c>
      <c r="W4" s="3244"/>
      <c r="X4" s="1811"/>
      <c r="Y4" s="3219" t="s">
        <v>2640</v>
      </c>
      <c r="Z4" s="3220"/>
      <c r="AA4" s="3214" t="s">
        <v>2636</v>
      </c>
      <c r="AB4" s="3244" t="s">
        <v>2637</v>
      </c>
      <c r="AC4" s="3214" t="s">
        <v>2638</v>
      </c>
    </row>
    <row r="5" spans="1:29" ht="15">
      <c r="A5" s="403"/>
      <c r="B5" s="404"/>
      <c r="C5" s="3225" t="s">
        <v>2531</v>
      </c>
      <c r="D5" s="3226"/>
      <c r="E5" s="3223" t="s">
        <v>2532</v>
      </c>
      <c r="F5" s="3224"/>
      <c r="G5" s="3225" t="s">
        <v>2533</v>
      </c>
      <c r="H5" s="3226"/>
      <c r="I5" s="3225" t="s">
        <v>2534</v>
      </c>
      <c r="J5" s="3226"/>
      <c r="K5" s="609"/>
      <c r="L5" s="1130"/>
      <c r="M5" s="1131"/>
      <c r="N5" s="1131"/>
      <c r="O5" s="1131"/>
      <c r="P5" s="3238"/>
      <c r="Q5" s="3239"/>
      <c r="R5" s="3221"/>
      <c r="S5" s="3222"/>
      <c r="T5" s="3221"/>
      <c r="U5" s="3222"/>
      <c r="V5" s="3244"/>
      <c r="W5" s="3244"/>
      <c r="X5" s="1811"/>
      <c r="Y5" s="3221"/>
      <c r="Z5" s="3222"/>
      <c r="AA5" s="3215"/>
      <c r="AB5" s="3244"/>
      <c r="AC5" s="3215"/>
    </row>
    <row r="6" spans="1:29" ht="15.75" thickBot="1">
      <c r="A6" s="405"/>
      <c r="B6" s="406"/>
      <c r="C6" s="3227" t="s">
        <v>2535</v>
      </c>
      <c r="D6" s="3228"/>
      <c r="E6" s="3229" t="s">
        <v>2535</v>
      </c>
      <c r="F6" s="3230"/>
      <c r="G6" s="3227" t="s">
        <v>2535</v>
      </c>
      <c r="H6" s="3228"/>
      <c r="I6" s="3227" t="s">
        <v>2535</v>
      </c>
      <c r="J6" s="3228"/>
      <c r="K6" s="609" t="s">
        <v>2536</v>
      </c>
      <c r="L6" s="1130"/>
      <c r="M6" s="1131"/>
      <c r="N6" s="1131"/>
      <c r="O6" s="1131"/>
      <c r="P6" s="3240"/>
      <c r="Q6" s="3241"/>
      <c r="R6" s="3221"/>
      <c r="S6" s="3222"/>
      <c r="T6" s="3242"/>
      <c r="U6" s="3243"/>
      <c r="V6" s="3244"/>
      <c r="W6" s="3244"/>
      <c r="X6" s="1811"/>
      <c r="Y6" s="3242"/>
      <c r="Z6" s="3243"/>
      <c r="AA6" s="3216"/>
      <c r="AB6" s="3244"/>
      <c r="AC6" s="3216"/>
    </row>
    <row r="7" spans="1:29" s="116" customFormat="1" ht="15.75" thickBot="1">
      <c r="A7" s="407" t="s">
        <v>2537</v>
      </c>
      <c r="B7" s="408"/>
      <c r="C7" s="409">
        <f>'数据-取费表'!B2</f>
        <v>43452</v>
      </c>
      <c r="D7" s="410">
        <v>100</v>
      </c>
      <c r="E7" s="411"/>
      <c r="F7" s="412">
        <f>SUMIF(58:58,YEAR(E7)&amp;"-"&amp;MONTH(E7),59:59)</f>
        <v>0</v>
      </c>
      <c r="G7" s="411"/>
      <c r="H7" s="410">
        <f>SUMIF(58:58,YEAR(G7)&amp;"-"&amp;MONTH(G7),59:59)</f>
        <v>0</v>
      </c>
      <c r="I7" s="411"/>
      <c r="J7" s="410">
        <f>SUMIF(58:58,YEAR(I7)&amp;"-"&amp;MONTH(I7),59:59)</f>
        <v>0</v>
      </c>
      <c r="K7" s="610"/>
      <c r="L7" s="1132"/>
      <c r="M7" s="1133"/>
      <c r="N7" s="1133"/>
      <c r="O7" s="1133"/>
      <c r="P7" s="3217" t="s">
        <v>2538</v>
      </c>
      <c r="Q7" s="3245"/>
      <c r="R7" s="769" t="s">
        <v>17</v>
      </c>
      <c r="S7" s="770">
        <f t="shared" ref="S7:S15" si="0">F7</f>
        <v>0</v>
      </c>
      <c r="T7" s="769" t="s">
        <v>17</v>
      </c>
      <c r="U7" s="770">
        <f t="shared" ref="U7:U15" si="1">H7</f>
        <v>0</v>
      </c>
      <c r="V7" s="769" t="s">
        <v>17</v>
      </c>
      <c r="W7" s="770">
        <f t="shared" ref="W7:W15" si="2">J7</f>
        <v>0</v>
      </c>
      <c r="X7" s="771"/>
      <c r="Y7" s="3217" t="s">
        <v>2538</v>
      </c>
      <c r="Z7" s="3218"/>
      <c r="AA7" s="772" t="e">
        <f>D7/F7</f>
        <v>#DIV/0!</v>
      </c>
      <c r="AB7" s="772" t="e">
        <f>D7/H7</f>
        <v>#DIV/0!</v>
      </c>
      <c r="AC7" s="772" t="e">
        <f>D7/J7</f>
        <v>#DIV/0!</v>
      </c>
    </row>
    <row r="8" spans="1:29" s="116" customFormat="1" ht="15.75" thickBot="1">
      <c r="A8" s="407" t="s">
        <v>2539</v>
      </c>
      <c r="B8" s="408"/>
      <c r="C8" s="413" t="s">
        <v>2641</v>
      </c>
      <c r="D8" s="410">
        <v>100</v>
      </c>
      <c r="E8" s="413"/>
      <c r="F8" s="412">
        <f>SUMIF(61:61,E8,62:62)-SUMIF(61:61,C8,62:62)+100</f>
        <v>0</v>
      </c>
      <c r="G8" s="413"/>
      <c r="H8" s="410">
        <f>SUMIF(61:61,G8,62:62)-SUMIF(61:61,C8,62:62)+100</f>
        <v>0</v>
      </c>
      <c r="I8" s="413"/>
      <c r="J8" s="410">
        <f>SUMIF(61:61,I8,62:62)-SUMIF(61:61,C8,62:62)+100</f>
        <v>0</v>
      </c>
      <c r="K8" s="610"/>
      <c r="L8" s="1132"/>
      <c r="M8" s="1133"/>
      <c r="N8" s="1133"/>
      <c r="O8" s="1133"/>
      <c r="P8" s="3217" t="s">
        <v>2541</v>
      </c>
      <c r="Q8" s="3218"/>
      <c r="R8" s="769" t="s">
        <v>17</v>
      </c>
      <c r="S8" s="770">
        <f t="shared" si="0"/>
        <v>0</v>
      </c>
      <c r="T8" s="769" t="s">
        <v>17</v>
      </c>
      <c r="U8" s="770">
        <f t="shared" si="1"/>
        <v>0</v>
      </c>
      <c r="V8" s="769" t="s">
        <v>17</v>
      </c>
      <c r="W8" s="770">
        <f t="shared" si="2"/>
        <v>0</v>
      </c>
      <c r="X8" s="771"/>
      <c r="Y8" s="3217" t="s">
        <v>2541</v>
      </c>
      <c r="Z8" s="3218"/>
      <c r="AA8" s="772" t="e">
        <f t="shared" ref="AA8:AA46" si="3">D8/F8</f>
        <v>#DIV/0!</v>
      </c>
      <c r="AB8" s="772" t="e">
        <f t="shared" ref="AB8:AB46" si="4">D8/H8</f>
        <v>#DIV/0!</v>
      </c>
      <c r="AC8" s="772" t="e">
        <f t="shared" ref="AC8:AC46" si="5">D8/J8</f>
        <v>#DIV/0!</v>
      </c>
    </row>
    <row r="9" spans="1:29" s="116" customFormat="1">
      <c r="A9" s="414" t="s">
        <v>2542</v>
      </c>
      <c r="B9" s="70" t="s">
        <v>2543</v>
      </c>
      <c r="C9" s="415"/>
      <c r="D9" s="134">
        <v>100</v>
      </c>
      <c r="E9" s="416"/>
      <c r="F9" s="417">
        <f>SUMIF(63:63,E9,64:64)-SUMIF(63:63,C9,64:64)+100</f>
        <v>100</v>
      </c>
      <c r="G9" s="416"/>
      <c r="H9" s="134">
        <f>SUMIF(63:63,G9,64:64)-SUMIF(63:63,C9,64:64)+100</f>
        <v>100</v>
      </c>
      <c r="I9" s="416"/>
      <c r="J9" s="134">
        <f>SUMIF(63:63,I9,64:64)-SUMIF(63:63,C9,64:64)+100</f>
        <v>100</v>
      </c>
      <c r="K9" s="610"/>
      <c r="L9" s="1132"/>
      <c r="M9" s="1133"/>
      <c r="N9" s="1133"/>
      <c r="O9" s="1133"/>
      <c r="P9" s="3231" t="s">
        <v>2544</v>
      </c>
      <c r="Q9" s="1793" t="str">
        <f t="shared" ref="Q9:Q15" si="6">B9</f>
        <v>用途</v>
      </c>
      <c r="R9" s="769" t="s">
        <v>17</v>
      </c>
      <c r="S9" s="770">
        <f t="shared" si="0"/>
        <v>100</v>
      </c>
      <c r="T9" s="769" t="s">
        <v>17</v>
      </c>
      <c r="U9" s="770">
        <f t="shared" si="1"/>
        <v>100</v>
      </c>
      <c r="V9" s="769" t="s">
        <v>17</v>
      </c>
      <c r="W9" s="770">
        <f t="shared" si="2"/>
        <v>100</v>
      </c>
      <c r="X9" s="771"/>
      <c r="Y9" s="3044"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611"/>
      <c r="L10" s="1135"/>
      <c r="M10" s="1136"/>
      <c r="N10" s="1136"/>
      <c r="O10" s="1136"/>
      <c r="P10" s="3231"/>
      <c r="Q10" s="1793" t="str">
        <f t="shared" si="6"/>
        <v>土地使用年限（年）</v>
      </c>
      <c r="R10" s="769" t="s">
        <v>17</v>
      </c>
      <c r="S10" s="770">
        <f t="shared" si="0"/>
        <v>100</v>
      </c>
      <c r="T10" s="769" t="s">
        <v>17</v>
      </c>
      <c r="U10" s="770">
        <f t="shared" si="1"/>
        <v>100</v>
      </c>
      <c r="V10" s="769" t="s">
        <v>17</v>
      </c>
      <c r="W10" s="770">
        <f t="shared" si="2"/>
        <v>100</v>
      </c>
      <c r="X10" s="771"/>
      <c r="Y10" s="3044"/>
      <c r="Z10" s="54"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8"/>
      <c r="M11" s="1131"/>
      <c r="N11" s="1131"/>
      <c r="O11" s="1131"/>
      <c r="P11" s="3231"/>
      <c r="Q11" s="1793" t="str">
        <f t="shared" si="6"/>
        <v>容积率</v>
      </c>
      <c r="R11" s="769" t="s">
        <v>17</v>
      </c>
      <c r="S11" s="770" t="e">
        <f t="shared" si="0"/>
        <v>#N/A</v>
      </c>
      <c r="T11" s="769" t="s">
        <v>17</v>
      </c>
      <c r="U11" s="770" t="e">
        <f t="shared" si="1"/>
        <v>#N/A</v>
      </c>
      <c r="V11" s="769" t="s">
        <v>17</v>
      </c>
      <c r="W11" s="770" t="e">
        <f t="shared" si="2"/>
        <v>#N/A</v>
      </c>
      <c r="X11" s="771"/>
      <c r="Y11" s="3044"/>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2"/>
      <c r="M12" s="1133"/>
      <c r="N12" s="1133"/>
      <c r="O12" s="1133"/>
      <c r="P12" s="3231"/>
      <c r="Q12" s="1793">
        <f t="shared" si="6"/>
        <v>111</v>
      </c>
      <c r="R12" s="769" t="s">
        <v>17</v>
      </c>
      <c r="S12" s="770">
        <f t="shared" si="0"/>
        <v>100</v>
      </c>
      <c r="T12" s="769" t="s">
        <v>17</v>
      </c>
      <c r="U12" s="770">
        <f t="shared" si="1"/>
        <v>100</v>
      </c>
      <c r="V12" s="769" t="s">
        <v>17</v>
      </c>
      <c r="W12" s="770">
        <f t="shared" si="2"/>
        <v>100</v>
      </c>
      <c r="X12" s="771"/>
      <c r="Y12" s="3044"/>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231"/>
      <c r="Q13" s="1793">
        <f t="shared" si="6"/>
        <v>111</v>
      </c>
      <c r="R13" s="769" t="s">
        <v>17</v>
      </c>
      <c r="S13" s="770">
        <f t="shared" si="0"/>
        <v>100</v>
      </c>
      <c r="T13" s="769" t="s">
        <v>17</v>
      </c>
      <c r="U13" s="770">
        <f t="shared" si="1"/>
        <v>100</v>
      </c>
      <c r="V13" s="769" t="s">
        <v>17</v>
      </c>
      <c r="W13" s="770">
        <f t="shared" si="2"/>
        <v>100</v>
      </c>
      <c r="X13" s="771"/>
      <c r="Y13" s="3044"/>
      <c r="Z13" s="54">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231"/>
      <c r="Q14" s="1793">
        <f t="shared" si="6"/>
        <v>111</v>
      </c>
      <c r="R14" s="769" t="s">
        <v>17</v>
      </c>
      <c r="S14" s="770">
        <f t="shared" si="0"/>
        <v>100</v>
      </c>
      <c r="T14" s="769" t="s">
        <v>17</v>
      </c>
      <c r="U14" s="770">
        <f t="shared" si="1"/>
        <v>100</v>
      </c>
      <c r="V14" s="769" t="s">
        <v>17</v>
      </c>
      <c r="W14" s="770">
        <f t="shared" si="2"/>
        <v>100</v>
      </c>
      <c r="X14" s="771"/>
      <c r="Y14" s="3044"/>
      <c r="Z14" s="54">
        <f t="shared" si="7"/>
        <v>111</v>
      </c>
      <c r="AA14" s="772">
        <f t="shared" si="3"/>
        <v>1</v>
      </c>
      <c r="AB14" s="772">
        <f t="shared" si="4"/>
        <v>1</v>
      </c>
      <c r="AC14" s="772">
        <f t="shared" si="5"/>
        <v>1</v>
      </c>
    </row>
    <row r="15" spans="1:29" ht="15">
      <c r="A15" s="439" t="s">
        <v>2548</v>
      </c>
      <c r="B15" s="68" t="s">
        <v>2642</v>
      </c>
      <c r="C15" s="2602">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0"/>
      <c r="M15" s="1131"/>
      <c r="N15" s="1131"/>
      <c r="O15" s="1131"/>
      <c r="P15" s="3258" t="s">
        <v>2549</v>
      </c>
      <c r="Q15" s="1808" t="str">
        <f t="shared" si="6"/>
        <v>商业繁华度</v>
      </c>
      <c r="R15" s="773" t="s">
        <v>17</v>
      </c>
      <c r="S15" s="774">
        <f t="shared" si="0"/>
        <v>100</v>
      </c>
      <c r="T15" s="773" t="s">
        <v>17</v>
      </c>
      <c r="U15" s="774">
        <f t="shared" si="1"/>
        <v>100</v>
      </c>
      <c r="V15" s="773" t="s">
        <v>17</v>
      </c>
      <c r="W15" s="774">
        <f t="shared" si="2"/>
        <v>100</v>
      </c>
      <c r="X15" s="1811"/>
      <c r="Y15" s="3251" t="s">
        <v>2549</v>
      </c>
      <c r="Z15" s="1812" t="str">
        <f t="shared" si="7"/>
        <v>商业繁华度</v>
      </c>
      <c r="AA15" s="1809">
        <f t="shared" si="3"/>
        <v>1</v>
      </c>
      <c r="AB15" s="1809">
        <f t="shared" si="4"/>
        <v>1</v>
      </c>
      <c r="AC15" s="1809">
        <f t="shared" si="5"/>
        <v>1</v>
      </c>
    </row>
    <row r="16" spans="1:29" ht="15">
      <c r="A16" s="427"/>
      <c r="B16" s="445"/>
      <c r="C16" s="446"/>
      <c r="D16" s="447"/>
      <c r="E16" s="446"/>
      <c r="F16" s="448"/>
      <c r="G16" s="446"/>
      <c r="H16" s="449"/>
      <c r="I16" s="446"/>
      <c r="J16" s="447"/>
      <c r="K16" s="614"/>
      <c r="L16" s="1140"/>
      <c r="M16" s="1131"/>
      <c r="N16" s="1131"/>
      <c r="O16" s="1131"/>
      <c r="P16" s="3259"/>
      <c r="Q16" s="1808"/>
      <c r="R16" s="773"/>
      <c r="S16" s="774"/>
      <c r="T16" s="773"/>
      <c r="U16" s="774"/>
      <c r="V16" s="773"/>
      <c r="W16" s="774"/>
      <c r="X16" s="1811"/>
      <c r="Y16" s="3252"/>
      <c r="Z16" s="1812"/>
      <c r="AA16" s="1809">
        <v>1</v>
      </c>
      <c r="AB16" s="1809">
        <v>1</v>
      </c>
      <c r="AC16" s="1809">
        <v>1</v>
      </c>
    </row>
    <row r="17" spans="1:29" ht="156.75">
      <c r="A17" s="427"/>
      <c r="B17" s="450" t="s">
        <v>2091</v>
      </c>
      <c r="C17" s="2606" t="str">
        <f>估价对象房地状况!C6</f>
        <v>好</v>
      </c>
      <c r="D17" s="449">
        <v>100</v>
      </c>
      <c r="E17" s="451"/>
      <c r="F17" s="452">
        <f>SUMIF(78:78,E18,79:79)-SUMIF(78:78,C18,79:79)+100</f>
        <v>100</v>
      </c>
      <c r="G17" s="453"/>
      <c r="H17" s="454">
        <f>SUMIF(78:78,G18,79:79)-SUMIF(78:78,C18,79:79)+100</f>
        <v>100</v>
      </c>
      <c r="I17" s="451"/>
      <c r="J17" s="454">
        <f>SUMIF(78:78,I18,79:79)-SUMIF(78:78,C18,79:79)+100</f>
        <v>100</v>
      </c>
      <c r="K17" s="613"/>
      <c r="L17" s="1140"/>
      <c r="M17" s="1131"/>
      <c r="N17" s="1131"/>
      <c r="O17" s="1131"/>
      <c r="P17" s="3259"/>
      <c r="Q17" s="1808" t="str">
        <f>B17</f>
        <v>交通便捷度</v>
      </c>
      <c r="R17" s="773" t="s">
        <v>17</v>
      </c>
      <c r="S17" s="774">
        <f>F17</f>
        <v>100</v>
      </c>
      <c r="T17" s="773" t="s">
        <v>17</v>
      </c>
      <c r="U17" s="774">
        <f>H17</f>
        <v>100</v>
      </c>
      <c r="V17" s="773" t="s">
        <v>17</v>
      </c>
      <c r="W17" s="774">
        <f>J17</f>
        <v>100</v>
      </c>
      <c r="X17" s="1811"/>
      <c r="Y17" s="3252"/>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40"/>
      <c r="M18" s="1131"/>
      <c r="N18" s="1131"/>
      <c r="O18" s="1131"/>
      <c r="P18" s="3259"/>
      <c r="Q18" s="1808"/>
      <c r="R18" s="773"/>
      <c r="S18" s="774"/>
      <c r="T18" s="773"/>
      <c r="U18" s="774"/>
      <c r="V18" s="773"/>
      <c r="W18" s="774"/>
      <c r="X18" s="1811"/>
      <c r="Y18" s="3252"/>
      <c r="Z18" s="1812"/>
      <c r="AA18" s="1809">
        <v>1</v>
      </c>
      <c r="AB18" s="1809">
        <v>1</v>
      </c>
      <c r="AC18" s="1809">
        <v>1</v>
      </c>
    </row>
    <row r="19" spans="1:29" ht="71.25">
      <c r="A19" s="427"/>
      <c r="B19" s="450" t="s">
        <v>2643</v>
      </c>
      <c r="C19" s="2606" t="str">
        <f>估价对象房地状况!C7</f>
        <v>较好</v>
      </c>
      <c r="D19" s="454">
        <v>100</v>
      </c>
      <c r="E19" s="456"/>
      <c r="F19" s="457">
        <f>SUMIF(80:80,E20,81:81)-SUMIF(80:80,C20,81:81)+100</f>
        <v>100</v>
      </c>
      <c r="G19" s="458"/>
      <c r="H19" s="449">
        <f>SUMIF(80:80,G20,81:81)-SUMIF(80:80,C20,81:81)+100</f>
        <v>100</v>
      </c>
      <c r="I19" s="456"/>
      <c r="J19" s="449">
        <f>SUMIF(80:80,I20,81:81)-SUMIF(80:80,C20,81:81)+100</f>
        <v>100</v>
      </c>
      <c r="K19" s="613"/>
      <c r="L19" s="1140"/>
      <c r="M19" s="1131"/>
      <c r="N19" s="1131"/>
      <c r="O19" s="1131"/>
      <c r="P19" s="3259"/>
      <c r="Q19" s="1808" t="str">
        <f>B19</f>
        <v>公共配套设施</v>
      </c>
      <c r="R19" s="773" t="s">
        <v>17</v>
      </c>
      <c r="S19" s="774">
        <f>F19</f>
        <v>100</v>
      </c>
      <c r="T19" s="773" t="s">
        <v>17</v>
      </c>
      <c r="U19" s="774">
        <f>H19</f>
        <v>100</v>
      </c>
      <c r="V19" s="773" t="s">
        <v>17</v>
      </c>
      <c r="W19" s="774">
        <f>J19</f>
        <v>100</v>
      </c>
      <c r="X19" s="1811"/>
      <c r="Y19" s="3252"/>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40"/>
      <c r="M20" s="1131"/>
      <c r="N20" s="1131"/>
      <c r="O20" s="1131"/>
      <c r="P20" s="3259"/>
      <c r="Q20" s="1808"/>
      <c r="R20" s="773"/>
      <c r="S20" s="774"/>
      <c r="T20" s="773"/>
      <c r="U20" s="774"/>
      <c r="V20" s="773"/>
      <c r="W20" s="774"/>
      <c r="X20" s="1811"/>
      <c r="Y20" s="3252"/>
      <c r="Z20" s="1812"/>
      <c r="AA20" s="1809">
        <v>1</v>
      </c>
      <c r="AB20" s="1809">
        <v>1</v>
      </c>
      <c r="AC20" s="1809">
        <v>1</v>
      </c>
    </row>
    <row r="21" spans="1:29" ht="15">
      <c r="A21" s="427"/>
      <c r="B21" s="1384" t="s">
        <v>2644</v>
      </c>
      <c r="C21" s="2606"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40"/>
      <c r="M21" s="1131"/>
      <c r="N21" s="1131"/>
      <c r="O21" s="1131"/>
      <c r="P21" s="3259"/>
      <c r="Q21" s="1808" t="str">
        <f>B21</f>
        <v>基础设施水平</v>
      </c>
      <c r="R21" s="773" t="s">
        <v>17</v>
      </c>
      <c r="S21" s="774">
        <f>F21</f>
        <v>100</v>
      </c>
      <c r="T21" s="773" t="s">
        <v>17</v>
      </c>
      <c r="U21" s="774">
        <f>H21</f>
        <v>100</v>
      </c>
      <c r="V21" s="773" t="s">
        <v>17</v>
      </c>
      <c r="W21" s="774">
        <f>J21</f>
        <v>100</v>
      </c>
      <c r="X21" s="1811"/>
      <c r="Y21" s="3252"/>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8"/>
      <c r="G22" s="446"/>
      <c r="H22" s="447"/>
      <c r="I22" s="446"/>
      <c r="J22" s="447"/>
      <c r="K22" s="1383"/>
      <c r="L22" s="1140"/>
      <c r="M22" s="1131"/>
      <c r="N22" s="1131"/>
      <c r="O22" s="1131"/>
      <c r="P22" s="3259"/>
      <c r="Q22" s="1808"/>
      <c r="R22" s="773"/>
      <c r="S22" s="774"/>
      <c r="T22" s="773"/>
      <c r="U22" s="774"/>
      <c r="V22" s="773"/>
      <c r="W22" s="774"/>
      <c r="X22" s="1811"/>
      <c r="Y22" s="3252"/>
      <c r="Z22" s="1812"/>
      <c r="AA22" s="1809">
        <v>1</v>
      </c>
      <c r="AB22" s="1809">
        <v>1</v>
      </c>
      <c r="AC22" s="1809">
        <v>1</v>
      </c>
    </row>
    <row r="23" spans="1:29" ht="128.25">
      <c r="A23" s="427"/>
      <c r="B23" s="450" t="s">
        <v>2094</v>
      </c>
      <c r="C23" s="2663" t="str">
        <f>估价对象房地状况!C9</f>
        <v>较好</v>
      </c>
      <c r="D23" s="449">
        <v>100</v>
      </c>
      <c r="E23" s="451"/>
      <c r="F23" s="452">
        <f>SUMIF(84:84,E24,85:85)-SUMIF(84:84,C24,85:85)+100</f>
        <v>100</v>
      </c>
      <c r="G23" s="453"/>
      <c r="H23" s="449">
        <f>SUMIF(84:84,G24,85:85)-SUMIF(84:84,C24,85:85)+100</f>
        <v>100</v>
      </c>
      <c r="I23" s="451"/>
      <c r="J23" s="449">
        <f>SUMIF(84:84,I24,85:85)-SUMIF(84:84,C24,85:85)+100</f>
        <v>100</v>
      </c>
      <c r="K23" s="613"/>
      <c r="L23" s="1140"/>
      <c r="M23" s="1131"/>
      <c r="N23" s="1131"/>
      <c r="O23" s="1131"/>
      <c r="P23" s="3259"/>
      <c r="Q23" s="1808" t="str">
        <f>B23</f>
        <v>自然及人文环境</v>
      </c>
      <c r="R23" s="773" t="s">
        <v>17</v>
      </c>
      <c r="S23" s="774">
        <f>F23</f>
        <v>100</v>
      </c>
      <c r="T23" s="773" t="s">
        <v>17</v>
      </c>
      <c r="U23" s="774">
        <f>H23</f>
        <v>100</v>
      </c>
      <c r="V23" s="773" t="s">
        <v>17</v>
      </c>
      <c r="W23" s="774">
        <f>J23</f>
        <v>100</v>
      </c>
      <c r="X23" s="1811"/>
      <c r="Y23" s="3252"/>
      <c r="Z23" s="1812" t="str">
        <f>Q23</f>
        <v>自然及人文环境</v>
      </c>
      <c r="AA23" s="1809">
        <f t="shared" si="3"/>
        <v>1</v>
      </c>
      <c r="AB23" s="1809">
        <f t="shared" si="4"/>
        <v>1</v>
      </c>
      <c r="AC23" s="1809">
        <f t="shared" si="5"/>
        <v>1</v>
      </c>
    </row>
    <row r="24" spans="1:29" ht="15">
      <c r="A24" s="427"/>
      <c r="B24" s="455"/>
      <c r="C24" s="446"/>
      <c r="D24" s="447"/>
      <c r="E24" s="2604"/>
      <c r="F24" s="448"/>
      <c r="G24" s="2603"/>
      <c r="H24" s="447"/>
      <c r="I24" s="2604"/>
      <c r="J24" s="447"/>
      <c r="K24" s="614"/>
      <c r="L24" s="1140"/>
      <c r="M24" s="1131"/>
      <c r="N24" s="1131"/>
      <c r="O24" s="1131"/>
      <c r="P24" s="3259"/>
      <c r="Q24" s="1808"/>
      <c r="R24" s="773"/>
      <c r="S24" s="774"/>
      <c r="T24" s="773"/>
      <c r="U24" s="774"/>
      <c r="V24" s="773"/>
      <c r="W24" s="774"/>
      <c r="X24" s="1811"/>
      <c r="Y24" s="3252"/>
      <c r="Z24" s="1812"/>
      <c r="AA24" s="1809">
        <v>1</v>
      </c>
      <c r="AB24" s="1809">
        <v>1</v>
      </c>
      <c r="AC24" s="1809">
        <v>1</v>
      </c>
    </row>
    <row r="25" spans="1:29" ht="15">
      <c r="A25" s="427"/>
      <c r="B25" s="421" t="s">
        <v>2645</v>
      </c>
      <c r="C25" s="615"/>
      <c r="D25" s="434">
        <v>100</v>
      </c>
      <c r="E25" s="615"/>
      <c r="F25" s="460">
        <f>SUMIF(86:86,E25,87:87)-SUMIF(86:86,C25,87:87)+100</f>
        <v>100</v>
      </c>
      <c r="G25" s="615"/>
      <c r="H25" s="434">
        <f>SUMIF(86:86,G25,87:87)-SUMIF(86:86,C25,87:87)+100</f>
        <v>100</v>
      </c>
      <c r="I25" s="615"/>
      <c r="J25" s="434">
        <f>SUMIF(86:86,I25,87:87)-SUMIF(86:86,C25,87:87)+100</f>
        <v>100</v>
      </c>
      <c r="K25" s="611"/>
      <c r="L25" s="1140"/>
      <c r="M25" s="1131"/>
      <c r="N25" s="1131"/>
      <c r="O25" s="1131"/>
      <c r="P25" s="3259"/>
      <c r="Q25" s="1808" t="str">
        <f t="shared" ref="Q25:Q46" si="11">B25</f>
        <v>临街状况</v>
      </c>
      <c r="R25" s="773" t="s">
        <v>17</v>
      </c>
      <c r="S25" s="774">
        <f>F25</f>
        <v>100</v>
      </c>
      <c r="T25" s="773" t="s">
        <v>17</v>
      </c>
      <c r="U25" s="774">
        <f>H25</f>
        <v>100</v>
      </c>
      <c r="V25" s="773" t="s">
        <v>17</v>
      </c>
      <c r="W25" s="774">
        <f>J25</f>
        <v>100</v>
      </c>
      <c r="X25" s="1811"/>
      <c r="Y25" s="3252"/>
      <c r="Z25" s="1812" t="str">
        <f>Q25</f>
        <v>临街状况</v>
      </c>
      <c r="AA25" s="1809">
        <f t="shared" si="3"/>
        <v>1</v>
      </c>
      <c r="AB25" s="1809">
        <f t="shared" si="4"/>
        <v>1</v>
      </c>
      <c r="AC25" s="1809">
        <f t="shared" si="5"/>
        <v>1</v>
      </c>
    </row>
    <row r="26" spans="1:29" ht="15">
      <c r="A26" s="427"/>
      <c r="B26" s="1386" t="s">
        <v>2646</v>
      </c>
      <c r="C26" s="433"/>
      <c r="D26" s="434">
        <v>100</v>
      </c>
      <c r="E26" s="433"/>
      <c r="F26" s="460">
        <f>SUMIF(88:88,E26,89:89)-SUMIF(88:88,C26,89:89)+100</f>
        <v>100</v>
      </c>
      <c r="G26" s="433"/>
      <c r="H26" s="434">
        <f>SUMIF(88:88,G26,89:89)-SUMIF(88:88,C26,89:89)+100</f>
        <v>100</v>
      </c>
      <c r="I26" s="433"/>
      <c r="J26" s="434">
        <f>SUMIF(88:88,I26,89:89)-SUMIF(88:88,C26,89:89)+100</f>
        <v>100</v>
      </c>
      <c r="K26" s="612"/>
      <c r="L26" s="1140"/>
      <c r="M26" s="1131"/>
      <c r="N26" s="1131"/>
      <c r="O26" s="1131"/>
      <c r="P26" s="3259"/>
      <c r="Q26" s="1808" t="str">
        <f t="shared" si="11"/>
        <v>平面位置/可视性</v>
      </c>
      <c r="R26" s="773" t="s">
        <v>17</v>
      </c>
      <c r="S26" s="774">
        <f>F26</f>
        <v>100</v>
      </c>
      <c r="T26" s="773" t="s">
        <v>17</v>
      </c>
      <c r="U26" s="774">
        <f>H26</f>
        <v>100</v>
      </c>
      <c r="V26" s="773" t="s">
        <v>17</v>
      </c>
      <c r="W26" s="774">
        <f>J26</f>
        <v>100</v>
      </c>
      <c r="X26" s="1811"/>
      <c r="Y26" s="3252"/>
      <c r="Z26" s="1812" t="str">
        <f>Q26</f>
        <v>平面位置/可视性</v>
      </c>
      <c r="AA26" s="1809">
        <f t="shared" si="3"/>
        <v>1</v>
      </c>
      <c r="AB26" s="1809">
        <f t="shared" si="4"/>
        <v>1</v>
      </c>
      <c r="AC26" s="1809">
        <f t="shared" si="5"/>
        <v>1</v>
      </c>
    </row>
    <row r="27" spans="1:29" s="116" customFormat="1" ht="15">
      <c r="A27" s="430"/>
      <c r="B27" s="450" t="s">
        <v>2647</v>
      </c>
      <c r="C27" s="2664"/>
      <c r="D27" s="461">
        <v>100</v>
      </c>
      <c r="E27" s="2664"/>
      <c r="F27" s="463">
        <f>SUMIF(90:90,E27,91:91)-SUMIF(90:90,C27,91:91)+100</f>
        <v>100</v>
      </c>
      <c r="G27" s="2664"/>
      <c r="H27" s="461">
        <f>SUMIF(90:90,G27,91:91)-SUMIF(90:90,C27,91:91)+100</f>
        <v>100</v>
      </c>
      <c r="I27" s="2664"/>
      <c r="J27" s="461">
        <f>SUMIF(90:90,I27,91:91)-SUMIF(90:90,C27,91:91)+100</f>
        <v>100</v>
      </c>
      <c r="K27" s="611"/>
      <c r="L27" s="1132"/>
      <c r="M27" s="1133"/>
      <c r="N27" s="1133"/>
      <c r="O27" s="1133"/>
      <c r="P27" s="3259"/>
      <c r="Q27" s="1793" t="str">
        <f t="shared" si="11"/>
        <v>人流量</v>
      </c>
      <c r="R27" s="769" t="s">
        <v>17</v>
      </c>
      <c r="S27" s="770">
        <f>F27</f>
        <v>100</v>
      </c>
      <c r="T27" s="769" t="s">
        <v>17</v>
      </c>
      <c r="U27" s="770">
        <f>H27</f>
        <v>100</v>
      </c>
      <c r="V27" s="769" t="s">
        <v>17</v>
      </c>
      <c r="W27" s="770">
        <f>J27</f>
        <v>100</v>
      </c>
      <c r="X27" s="771"/>
      <c r="Y27" s="3252"/>
      <c r="Z27" s="54" t="str">
        <f>Q27</f>
        <v>人流量</v>
      </c>
      <c r="AA27" s="1809">
        <f>D27/F27</f>
        <v>1</v>
      </c>
      <c r="AB27" s="1809">
        <f>D27/H27</f>
        <v>1</v>
      </c>
      <c r="AC27" s="1809">
        <f>D27/J27</f>
        <v>1</v>
      </c>
    </row>
    <row r="28" spans="1:29" ht="15">
      <c r="A28" s="427"/>
      <c r="B28" s="421" t="s">
        <v>2648</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59"/>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52"/>
      <c r="Z28" s="1812" t="str">
        <f t="shared" ref="Z28:Z46" si="15">Q28</f>
        <v>楼层</v>
      </c>
      <c r="AA28" s="1809">
        <f t="shared" si="3"/>
        <v>1</v>
      </c>
      <c r="AB28" s="1809">
        <f t="shared" si="4"/>
        <v>1</v>
      </c>
      <c r="AC28" s="1809">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59"/>
      <c r="Q29" s="1808">
        <f t="shared" si="11"/>
        <v>111</v>
      </c>
      <c r="R29" s="773" t="s">
        <v>17</v>
      </c>
      <c r="S29" s="774">
        <f t="shared" si="12"/>
        <v>100</v>
      </c>
      <c r="T29" s="773" t="s">
        <v>17</v>
      </c>
      <c r="U29" s="774">
        <f t="shared" si="13"/>
        <v>100</v>
      </c>
      <c r="V29" s="773" t="s">
        <v>17</v>
      </c>
      <c r="W29" s="774">
        <f t="shared" si="14"/>
        <v>100</v>
      </c>
      <c r="X29" s="1811"/>
      <c r="Y29" s="3252"/>
      <c r="Z29" s="1812">
        <f t="shared" si="15"/>
        <v>111</v>
      </c>
      <c r="AA29" s="1809">
        <f t="shared" si="3"/>
        <v>1</v>
      </c>
      <c r="AB29" s="1809">
        <f t="shared" si="4"/>
        <v>1</v>
      </c>
      <c r="AC29" s="1809">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59"/>
      <c r="Q30" s="1808">
        <f t="shared" si="11"/>
        <v>111</v>
      </c>
      <c r="R30" s="773" t="s">
        <v>17</v>
      </c>
      <c r="S30" s="774">
        <f t="shared" si="12"/>
        <v>100</v>
      </c>
      <c r="T30" s="773" t="s">
        <v>17</v>
      </c>
      <c r="U30" s="774">
        <f t="shared" si="13"/>
        <v>100</v>
      </c>
      <c r="V30" s="773" t="s">
        <v>17</v>
      </c>
      <c r="W30" s="774">
        <f t="shared" si="14"/>
        <v>100</v>
      </c>
      <c r="X30" s="1811"/>
      <c r="Y30" s="3252"/>
      <c r="Z30" s="1812">
        <f t="shared" si="15"/>
        <v>111</v>
      </c>
      <c r="AA30" s="1809">
        <f t="shared" si="3"/>
        <v>1</v>
      </c>
      <c r="AB30" s="1809">
        <f t="shared" si="4"/>
        <v>1</v>
      </c>
      <c r="AC30" s="1809">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59"/>
      <c r="Q31" s="1808">
        <f t="shared" si="11"/>
        <v>111</v>
      </c>
      <c r="R31" s="773" t="s">
        <v>17</v>
      </c>
      <c r="S31" s="774">
        <f t="shared" si="12"/>
        <v>100</v>
      </c>
      <c r="T31" s="773" t="s">
        <v>17</v>
      </c>
      <c r="U31" s="774">
        <f t="shared" si="13"/>
        <v>100</v>
      </c>
      <c r="V31" s="773" t="s">
        <v>17</v>
      </c>
      <c r="W31" s="774">
        <f t="shared" si="14"/>
        <v>100</v>
      </c>
      <c r="X31" s="1811"/>
      <c r="Y31" s="3252"/>
      <c r="Z31" s="1812">
        <f t="shared" si="15"/>
        <v>111</v>
      </c>
      <c r="AA31" s="1809">
        <f t="shared" si="3"/>
        <v>1</v>
      </c>
      <c r="AB31" s="1809">
        <f t="shared" si="4"/>
        <v>1</v>
      </c>
      <c r="AC31" s="1809">
        <f t="shared" si="5"/>
        <v>1</v>
      </c>
    </row>
    <row r="32" spans="1:29" ht="15">
      <c r="A32" s="439" t="s">
        <v>2552</v>
      </c>
      <c r="B32" s="70" t="s">
        <v>2649</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0"/>
      <c r="M32" s="1131"/>
      <c r="N32" s="1131"/>
      <c r="O32" s="1131"/>
      <c r="P32" s="3253" t="s">
        <v>2554</v>
      </c>
      <c r="Q32" s="1808" t="str">
        <f t="shared" si="11"/>
        <v>商业类型</v>
      </c>
      <c r="R32" s="773" t="s">
        <v>17</v>
      </c>
      <c r="S32" s="774">
        <f t="shared" si="12"/>
        <v>100</v>
      </c>
      <c r="T32" s="773" t="s">
        <v>17</v>
      </c>
      <c r="U32" s="774">
        <f t="shared" si="13"/>
        <v>100</v>
      </c>
      <c r="V32" s="773" t="s">
        <v>17</v>
      </c>
      <c r="W32" s="774">
        <f t="shared" si="14"/>
        <v>100</v>
      </c>
      <c r="X32" s="1811"/>
      <c r="Y32" s="3256" t="s">
        <v>2554</v>
      </c>
      <c r="Z32" s="1812" t="str">
        <f t="shared" si="15"/>
        <v>商业类型</v>
      </c>
      <c r="AA32" s="1809">
        <f t="shared" si="3"/>
        <v>1</v>
      </c>
      <c r="AB32" s="1809">
        <f t="shared" si="4"/>
        <v>1</v>
      </c>
      <c r="AC32" s="1809">
        <f t="shared" si="5"/>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8"/>
      <c r="M33" s="1141"/>
      <c r="N33" s="1141"/>
      <c r="O33" s="1141"/>
      <c r="P33" s="3254"/>
      <c r="Q33" s="775" t="str">
        <f t="shared" si="11"/>
        <v>项目建筑规模</v>
      </c>
      <c r="R33" s="776" t="s">
        <v>17</v>
      </c>
      <c r="S33" s="777" t="e">
        <f t="shared" si="12"/>
        <v>#N/A</v>
      </c>
      <c r="T33" s="776" t="s">
        <v>17</v>
      </c>
      <c r="U33" s="777" t="e">
        <f t="shared" si="13"/>
        <v>#N/A</v>
      </c>
      <c r="V33" s="776" t="s">
        <v>17</v>
      </c>
      <c r="W33" s="777" t="e">
        <f t="shared" si="14"/>
        <v>#N/A</v>
      </c>
      <c r="X33" s="778"/>
      <c r="Y33" s="3256"/>
      <c r="Z33" s="779" t="str">
        <f t="shared" si="15"/>
        <v>项目建筑规模</v>
      </c>
      <c r="AA33" s="1809" t="e">
        <f t="shared" si="3"/>
        <v>#N/A</v>
      </c>
      <c r="AB33" s="1809" t="e">
        <f t="shared" si="4"/>
        <v>#N/A</v>
      </c>
      <c r="AC33" s="1809" t="e">
        <f t="shared" si="5"/>
        <v>#N/A</v>
      </c>
    </row>
    <row r="34" spans="1:29" ht="15">
      <c r="A34" s="471"/>
      <c r="B34" s="421" t="s">
        <v>2556</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0"/>
      <c r="M34" s="1131"/>
      <c r="N34" s="1131"/>
      <c r="O34" s="1131"/>
      <c r="P34" s="3254"/>
      <c r="Q34" s="1808" t="str">
        <f t="shared" si="11"/>
        <v>建筑结构</v>
      </c>
      <c r="R34" s="773" t="s">
        <v>17</v>
      </c>
      <c r="S34" s="774">
        <f t="shared" si="12"/>
        <v>100</v>
      </c>
      <c r="T34" s="773" t="s">
        <v>17</v>
      </c>
      <c r="U34" s="774">
        <f t="shared" si="13"/>
        <v>100</v>
      </c>
      <c r="V34" s="773" t="s">
        <v>17</v>
      </c>
      <c r="W34" s="774">
        <f t="shared" si="14"/>
        <v>100</v>
      </c>
      <c r="X34" s="1811"/>
      <c r="Y34" s="3256"/>
      <c r="Z34" s="1812" t="str">
        <f t="shared" si="15"/>
        <v>建筑结构</v>
      </c>
      <c r="AA34" s="1809">
        <f t="shared" si="3"/>
        <v>1</v>
      </c>
      <c r="AB34" s="1809">
        <f t="shared" si="4"/>
        <v>1</v>
      </c>
      <c r="AC34" s="1809">
        <f t="shared" si="5"/>
        <v>1</v>
      </c>
    </row>
    <row r="35" spans="1:29" ht="15">
      <c r="A35" s="471"/>
      <c r="B35" s="421" t="s">
        <v>2650</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0"/>
      <c r="M35" s="1131"/>
      <c r="N35" s="1131"/>
      <c r="O35" s="1131"/>
      <c r="P35" s="3254"/>
      <c r="Q35" s="1808" t="str">
        <f t="shared" si="11"/>
        <v>公共部分装修</v>
      </c>
      <c r="R35" s="773" t="s">
        <v>17</v>
      </c>
      <c r="S35" s="774">
        <f t="shared" si="12"/>
        <v>100</v>
      </c>
      <c r="T35" s="773" t="s">
        <v>17</v>
      </c>
      <c r="U35" s="774">
        <f t="shared" si="13"/>
        <v>100</v>
      </c>
      <c r="V35" s="773" t="s">
        <v>17</v>
      </c>
      <c r="W35" s="774">
        <f t="shared" si="14"/>
        <v>100</v>
      </c>
      <c r="X35" s="1811"/>
      <c r="Y35" s="3256"/>
      <c r="Z35" s="1812" t="str">
        <f t="shared" si="15"/>
        <v>公共部分装修</v>
      </c>
      <c r="AA35" s="1809">
        <f t="shared" si="3"/>
        <v>1</v>
      </c>
      <c r="AB35" s="1809">
        <f t="shared" si="4"/>
        <v>1</v>
      </c>
      <c r="AC35" s="1809">
        <f t="shared" si="5"/>
        <v>1</v>
      </c>
    </row>
    <row r="36" spans="1:29" ht="15">
      <c r="A36" s="471"/>
      <c r="B36" s="421" t="s">
        <v>2651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0"/>
      <c r="M36" s="1131"/>
      <c r="N36" s="1131"/>
      <c r="O36" s="1131"/>
      <c r="P36" s="3254"/>
      <c r="Q36" s="1808" t="str">
        <f t="shared" si="11"/>
        <v>成新度</v>
      </c>
      <c r="R36" s="773" t="s">
        <v>17</v>
      </c>
      <c r="S36" s="774" t="e">
        <f t="shared" si="12"/>
        <v>#N/A</v>
      </c>
      <c r="T36" s="773" t="s">
        <v>17</v>
      </c>
      <c r="U36" s="774" t="e">
        <f t="shared" si="13"/>
        <v>#N/A</v>
      </c>
      <c r="V36" s="773" t="s">
        <v>17</v>
      </c>
      <c r="W36" s="774" t="e">
        <f t="shared" si="14"/>
        <v>#N/A</v>
      </c>
      <c r="X36" s="1811"/>
      <c r="Y36" s="3256"/>
      <c r="Z36" s="1812" t="str">
        <f t="shared" si="15"/>
        <v>成新度</v>
      </c>
      <c r="AA36" s="1809" t="e">
        <f t="shared" si="3"/>
        <v>#N/A</v>
      </c>
      <c r="AB36" s="1809" t="e">
        <f t="shared" si="4"/>
        <v>#N/A</v>
      </c>
      <c r="AC36" s="1809" t="e">
        <f t="shared" si="5"/>
        <v>#N/A</v>
      </c>
    </row>
    <row r="37" spans="1:29" s="116" customFormat="1" ht="15">
      <c r="A37" s="472"/>
      <c r="B37" s="421" t="s">
        <v>2652</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2"/>
      <c r="M37" s="1133"/>
      <c r="N37" s="1133"/>
      <c r="O37" s="1133"/>
      <c r="P37" s="3254"/>
      <c r="Q37" s="1793" t="str">
        <f t="shared" si="11"/>
        <v>市政基础设施</v>
      </c>
      <c r="R37" s="769" t="s">
        <v>17</v>
      </c>
      <c r="S37" s="770">
        <f t="shared" si="12"/>
        <v>100</v>
      </c>
      <c r="T37" s="769" t="s">
        <v>17</v>
      </c>
      <c r="U37" s="770">
        <f t="shared" si="13"/>
        <v>100</v>
      </c>
      <c r="V37" s="769" t="s">
        <v>17</v>
      </c>
      <c r="W37" s="770">
        <f t="shared" si="14"/>
        <v>100</v>
      </c>
      <c r="X37" s="771"/>
      <c r="Y37" s="3256"/>
      <c r="Z37" s="54" t="str">
        <f t="shared" si="15"/>
        <v>市政基础设施</v>
      </c>
      <c r="AA37" s="772">
        <f t="shared" si="3"/>
        <v>1</v>
      </c>
      <c r="AB37" s="772">
        <f t="shared" si="4"/>
        <v>1</v>
      </c>
      <c r="AC37" s="772">
        <f t="shared" si="5"/>
        <v>1</v>
      </c>
    </row>
    <row r="38" spans="1:29" ht="15">
      <c r="A38" s="471"/>
      <c r="B38" s="421" t="s">
        <v>2653</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0"/>
      <c r="M38" s="1131"/>
      <c r="N38" s="1131"/>
      <c r="O38" s="1131"/>
      <c r="P38" s="3254" t="s">
        <v>2554</v>
      </c>
      <c r="Q38" s="1808" t="str">
        <f t="shared" si="11"/>
        <v>业态</v>
      </c>
      <c r="R38" s="773" t="s">
        <v>17</v>
      </c>
      <c r="S38" s="774">
        <f t="shared" si="12"/>
        <v>100</v>
      </c>
      <c r="T38" s="773" t="s">
        <v>17</v>
      </c>
      <c r="U38" s="774">
        <f t="shared" si="13"/>
        <v>100</v>
      </c>
      <c r="V38" s="773" t="s">
        <v>17</v>
      </c>
      <c r="W38" s="774">
        <f t="shared" si="14"/>
        <v>100</v>
      </c>
      <c r="X38" s="1811"/>
      <c r="Y38" s="3256" t="s">
        <v>2554</v>
      </c>
      <c r="Z38" s="1812" t="str">
        <f t="shared" si="15"/>
        <v>业态</v>
      </c>
      <c r="AA38" s="1809">
        <f t="shared" si="3"/>
        <v>1</v>
      </c>
      <c r="AB38" s="1809">
        <f t="shared" si="4"/>
        <v>1</v>
      </c>
      <c r="AC38" s="1809">
        <f t="shared" si="5"/>
        <v>1</v>
      </c>
    </row>
    <row r="39" spans="1:29" ht="15">
      <c r="A39" s="471"/>
      <c r="B39" s="421" t="s">
        <v>2654</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0"/>
      <c r="M39" s="1131"/>
      <c r="N39" s="1131"/>
      <c r="O39" s="1131"/>
      <c r="P39" s="3254"/>
      <c r="Q39" s="1808" t="str">
        <f t="shared" si="11"/>
        <v>层高</v>
      </c>
      <c r="R39" s="773" t="s">
        <v>17</v>
      </c>
      <c r="S39" s="774">
        <f t="shared" si="12"/>
        <v>100</v>
      </c>
      <c r="T39" s="773" t="s">
        <v>17</v>
      </c>
      <c r="U39" s="774">
        <f t="shared" si="13"/>
        <v>100</v>
      </c>
      <c r="V39" s="773" t="s">
        <v>17</v>
      </c>
      <c r="W39" s="774">
        <f t="shared" si="14"/>
        <v>100</v>
      </c>
      <c r="X39" s="1811"/>
      <c r="Y39" s="3256"/>
      <c r="Z39" s="1812" t="str">
        <f t="shared" si="15"/>
        <v>层高</v>
      </c>
      <c r="AA39" s="1809">
        <f t="shared" si="3"/>
        <v>1</v>
      </c>
      <c r="AB39" s="1809">
        <f t="shared" si="4"/>
        <v>1</v>
      </c>
      <c r="AC39" s="1809">
        <f t="shared" si="5"/>
        <v>1</v>
      </c>
    </row>
    <row r="40" spans="1:29" ht="15">
      <c r="A40" s="471"/>
      <c r="B40" s="421" t="s">
        <v>2655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0"/>
      <c r="M40" s="1131"/>
      <c r="N40" s="1131"/>
      <c r="O40" s="1131"/>
      <c r="P40" s="3254"/>
      <c r="Q40" s="1808" t="str">
        <f t="shared" si="11"/>
        <v>单套建筑面积</v>
      </c>
      <c r="R40" s="773" t="s">
        <v>17</v>
      </c>
      <c r="S40" s="774">
        <f t="shared" si="12"/>
        <v>100</v>
      </c>
      <c r="T40" s="773" t="s">
        <v>17</v>
      </c>
      <c r="U40" s="774">
        <f t="shared" si="13"/>
        <v>100</v>
      </c>
      <c r="V40" s="773" t="s">
        <v>17</v>
      </c>
      <c r="W40" s="774">
        <f t="shared" si="14"/>
        <v>100</v>
      </c>
      <c r="X40" s="1811"/>
      <c r="Y40" s="3256"/>
      <c r="Z40" s="1812" t="str">
        <f t="shared" si="15"/>
        <v>单套建筑面积</v>
      </c>
      <c r="AA40" s="1809">
        <f t="shared" si="3"/>
        <v>1</v>
      </c>
      <c r="AB40" s="1809">
        <f t="shared" si="4"/>
        <v>1</v>
      </c>
      <c r="AC40" s="1809">
        <f t="shared" si="5"/>
        <v>1</v>
      </c>
    </row>
    <row r="41" spans="1:29" s="470" customFormat="1" ht="15">
      <c r="A41" s="467"/>
      <c r="B41" s="1810" t="s">
        <v>2656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8"/>
      <c r="M41" s="1141"/>
      <c r="N41" s="1141"/>
      <c r="O41" s="1141"/>
      <c r="P41" s="3254"/>
      <c r="Q41" s="775" t="str">
        <f t="shared" si="11"/>
        <v>进深比</v>
      </c>
      <c r="R41" s="776" t="s">
        <v>17</v>
      </c>
      <c r="S41" s="777">
        <f t="shared" si="12"/>
        <v>100</v>
      </c>
      <c r="T41" s="776" t="s">
        <v>17</v>
      </c>
      <c r="U41" s="777">
        <f t="shared" si="13"/>
        <v>100</v>
      </c>
      <c r="V41" s="776" t="s">
        <v>17</v>
      </c>
      <c r="W41" s="777">
        <f t="shared" si="14"/>
        <v>100</v>
      </c>
      <c r="X41" s="778"/>
      <c r="Y41" s="3256"/>
      <c r="Z41" s="779" t="str">
        <f t="shared" si="15"/>
        <v>进深比</v>
      </c>
      <c r="AA41" s="1809">
        <f t="shared" si="3"/>
        <v>1</v>
      </c>
      <c r="AB41" s="1809">
        <f t="shared" si="4"/>
        <v>1</v>
      </c>
      <c r="AC41" s="1809">
        <f t="shared" si="5"/>
        <v>1</v>
      </c>
    </row>
    <row r="42" spans="1:29" ht="15">
      <c r="A42" s="471"/>
      <c r="B42" s="421" t="s">
        <v>2657</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0"/>
      <c r="M42" s="1131"/>
      <c r="N42" s="1131"/>
      <c r="O42" s="1131"/>
      <c r="P42" s="3254"/>
      <c r="Q42" s="1808" t="str">
        <f t="shared" si="11"/>
        <v>内部装修</v>
      </c>
      <c r="R42" s="773" t="s">
        <v>17</v>
      </c>
      <c r="S42" s="774">
        <f t="shared" si="12"/>
        <v>100</v>
      </c>
      <c r="T42" s="773" t="s">
        <v>17</v>
      </c>
      <c r="U42" s="774">
        <f t="shared" si="13"/>
        <v>100</v>
      </c>
      <c r="V42" s="773" t="s">
        <v>17</v>
      </c>
      <c r="W42" s="774">
        <f t="shared" si="14"/>
        <v>100</v>
      </c>
      <c r="X42" s="1811"/>
      <c r="Y42" s="3256"/>
      <c r="Z42" s="1812" t="str">
        <f t="shared" si="15"/>
        <v>内部装修</v>
      </c>
      <c r="AA42" s="1809">
        <f t="shared" si="3"/>
        <v>1</v>
      </c>
      <c r="AB42" s="1809">
        <f t="shared" si="4"/>
        <v>1</v>
      </c>
      <c r="AC42" s="1809">
        <f t="shared" si="5"/>
        <v>1</v>
      </c>
    </row>
    <row r="43" spans="1:29" ht="15">
      <c r="A43" s="471"/>
      <c r="B43" s="421" t="s">
        <v>2565</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0"/>
      <c r="M43" s="1131"/>
      <c r="N43" s="1131"/>
      <c r="O43" s="1131"/>
      <c r="P43" s="3254"/>
      <c r="Q43" s="1808" t="str">
        <f t="shared" si="11"/>
        <v>内部装修维护情况</v>
      </c>
      <c r="R43" s="773" t="s">
        <v>17</v>
      </c>
      <c r="S43" s="774">
        <f t="shared" si="12"/>
        <v>100</v>
      </c>
      <c r="T43" s="773" t="s">
        <v>17</v>
      </c>
      <c r="U43" s="774">
        <f t="shared" si="13"/>
        <v>100</v>
      </c>
      <c r="V43" s="773" t="s">
        <v>17</v>
      </c>
      <c r="W43" s="774">
        <f t="shared" si="14"/>
        <v>100</v>
      </c>
      <c r="X43" s="1811"/>
      <c r="Y43" s="3256"/>
      <c r="Z43" s="1812" t="str">
        <f t="shared" si="15"/>
        <v>内部装修维护情况</v>
      </c>
      <c r="AA43" s="1809">
        <f t="shared" si="3"/>
        <v>1</v>
      </c>
      <c r="AB43" s="1809">
        <f t="shared" si="4"/>
        <v>1</v>
      </c>
      <c r="AC43" s="1809">
        <f t="shared" si="5"/>
        <v>1</v>
      </c>
    </row>
    <row r="44" spans="1:29" s="116" customFormat="1" ht="15">
      <c r="A44" s="472"/>
      <c r="B44" s="1386">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2"/>
      <c r="M44" s="1133"/>
      <c r="N44" s="1133"/>
      <c r="O44" s="1133"/>
      <c r="P44" s="3254"/>
      <c r="Q44" s="1793">
        <f t="shared" si="11"/>
        <v>111</v>
      </c>
      <c r="R44" s="769" t="s">
        <v>17</v>
      </c>
      <c r="S44" s="770">
        <f t="shared" si="12"/>
        <v>100</v>
      </c>
      <c r="T44" s="769" t="s">
        <v>17</v>
      </c>
      <c r="U44" s="770">
        <f t="shared" si="13"/>
        <v>100</v>
      </c>
      <c r="V44" s="769" t="s">
        <v>17</v>
      </c>
      <c r="W44" s="770">
        <f t="shared" si="14"/>
        <v>100</v>
      </c>
      <c r="X44" s="771"/>
      <c r="Y44" s="3256"/>
      <c r="Z44" s="54">
        <f t="shared" si="15"/>
        <v>111</v>
      </c>
      <c r="AA44" s="772">
        <f t="shared" si="3"/>
        <v>1</v>
      </c>
      <c r="AB44" s="772">
        <f t="shared" si="4"/>
        <v>1</v>
      </c>
      <c r="AC44" s="772">
        <f t="shared" si="5"/>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54"/>
      <c r="Q45" s="1808">
        <f t="shared" si="11"/>
        <v>111</v>
      </c>
      <c r="R45" s="773" t="s">
        <v>17</v>
      </c>
      <c r="S45" s="774">
        <f t="shared" si="12"/>
        <v>100</v>
      </c>
      <c r="T45" s="773" t="s">
        <v>17</v>
      </c>
      <c r="U45" s="774">
        <f t="shared" si="13"/>
        <v>100</v>
      </c>
      <c r="V45" s="773" t="s">
        <v>17</v>
      </c>
      <c r="W45" s="774">
        <f t="shared" si="14"/>
        <v>100</v>
      </c>
      <c r="X45" s="1811"/>
      <c r="Y45" s="3256"/>
      <c r="Z45" s="1812">
        <f t="shared" si="15"/>
        <v>111</v>
      </c>
      <c r="AA45" s="1809">
        <f t="shared" si="3"/>
        <v>1</v>
      </c>
      <c r="AB45" s="1809">
        <f t="shared" si="4"/>
        <v>1</v>
      </c>
      <c r="AC45" s="1809">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55"/>
      <c r="Q46" s="1808">
        <f t="shared" si="11"/>
        <v>111</v>
      </c>
      <c r="R46" s="773" t="s">
        <v>17</v>
      </c>
      <c r="S46" s="774">
        <f t="shared" si="12"/>
        <v>100</v>
      </c>
      <c r="T46" s="773" t="s">
        <v>17</v>
      </c>
      <c r="U46" s="774">
        <f t="shared" si="13"/>
        <v>100</v>
      </c>
      <c r="V46" s="773" t="s">
        <v>17</v>
      </c>
      <c r="W46" s="774">
        <f t="shared" si="14"/>
        <v>100</v>
      </c>
      <c r="X46" s="1811"/>
      <c r="Y46" s="3257"/>
      <c r="Z46" s="1812">
        <f t="shared" si="15"/>
        <v>111</v>
      </c>
      <c r="AA46" s="1809">
        <f t="shared" si="3"/>
        <v>1</v>
      </c>
      <c r="AB46" s="1809">
        <f t="shared" si="4"/>
        <v>1</v>
      </c>
      <c r="AC46" s="1809">
        <f t="shared" si="5"/>
        <v>1</v>
      </c>
    </row>
    <row r="47" spans="1:29" ht="15">
      <c r="A47" s="478" t="s">
        <v>2566</v>
      </c>
      <c r="B47" s="479"/>
      <c r="C47" s="1406" t="s">
        <v>1</v>
      </c>
      <c r="D47" s="1407"/>
      <c r="E47" s="1408"/>
      <c r="F47" s="1409"/>
      <c r="G47" s="1410"/>
      <c r="H47" s="1411"/>
      <c r="I47" s="1408"/>
      <c r="J47" s="1411"/>
      <c r="K47" s="782"/>
      <c r="L47" s="1143"/>
      <c r="M47" s="1144"/>
      <c r="N47" s="1131"/>
      <c r="O47" s="1144"/>
      <c r="P47" s="3249" t="str">
        <f>A47</f>
        <v>成交单价（元/平方米）</v>
      </c>
      <c r="Q47" s="3249"/>
      <c r="R47" s="3244">
        <f>E47</f>
        <v>0</v>
      </c>
      <c r="S47" s="3244"/>
      <c r="T47" s="3244">
        <f>G47</f>
        <v>0</v>
      </c>
      <c r="U47" s="3244"/>
      <c r="V47" s="3244">
        <f>I47</f>
        <v>0</v>
      </c>
      <c r="W47" s="3244"/>
      <c r="X47" s="758"/>
      <c r="Y47" s="780"/>
      <c r="Z47" s="758"/>
      <c r="AA47" s="758"/>
      <c r="AB47" s="758"/>
      <c r="AC47" s="758"/>
    </row>
    <row r="48" spans="1:29" ht="15.75" thickBot="1">
      <c r="A48" s="485" t="s">
        <v>2658</v>
      </c>
      <c r="B48" s="486"/>
      <c r="C48" s="1412" t="e">
        <f>R49</f>
        <v>#DIV/0!</v>
      </c>
      <c r="D48" s="1413"/>
      <c r="E48" s="1414" t="e">
        <f>R48</f>
        <v>#DIV/0!</v>
      </c>
      <c r="F48" s="1414"/>
      <c r="G48" s="1412" t="e">
        <f>T48</f>
        <v>#DIV/0!</v>
      </c>
      <c r="H48" s="1413"/>
      <c r="I48" s="1414" t="e">
        <f>V48</f>
        <v>#DIV/0!</v>
      </c>
      <c r="J48" s="1413"/>
      <c r="K48" s="783"/>
      <c r="L48" s="1143"/>
      <c r="M48" s="1144"/>
      <c r="N48" s="1131"/>
      <c r="O48" s="1144"/>
      <c r="P48" s="3249" t="str">
        <f>A48</f>
        <v>比较价值（元/平方米）</v>
      </c>
      <c r="Q48" s="3249"/>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8"/>
      <c r="Y48" s="758"/>
      <c r="Z48" s="758"/>
      <c r="AA48" s="758"/>
      <c r="AB48" s="758"/>
      <c r="AC48" s="758"/>
    </row>
    <row r="49" spans="1:29" ht="15.75" thickBot="1">
      <c r="A49" s="491" t="s">
        <v>2659</v>
      </c>
      <c r="B49" s="492"/>
      <c r="C49" s="1416" t="e">
        <f>R49</f>
        <v>#DIV/0!</v>
      </c>
      <c r="D49" s="1416"/>
      <c r="E49" s="1416"/>
      <c r="F49" s="1416"/>
      <c r="G49" s="1416"/>
      <c r="H49" s="1416"/>
      <c r="I49" s="1416"/>
      <c r="J49" s="1416"/>
      <c r="K49" s="784"/>
      <c r="L49" s="1143"/>
      <c r="M49" s="1144"/>
      <c r="N49" s="1131"/>
      <c r="O49" s="1144"/>
      <c r="P49" s="3246" t="str">
        <f>A49</f>
        <v>估价对象XX用房的比较价值（楼面单价，元/平方米）</v>
      </c>
      <c r="Q49" s="3247"/>
      <c r="R49" s="3248" t="e">
        <f>IF(F1="售价",ROUND(AVERAGE(R48:V48),0),ROUND(AVERAGE(R48:V48),1))</f>
        <v>#DIV/0!</v>
      </c>
      <c r="S49" s="3248"/>
      <c r="T49" s="3248"/>
      <c r="U49" s="3248"/>
      <c r="V49" s="3248"/>
      <c r="W49" s="3248"/>
      <c r="X49" s="758"/>
      <c r="Y49" s="758"/>
      <c r="Z49" s="758"/>
      <c r="AA49" s="758"/>
      <c r="AB49" s="758"/>
      <c r="AC49" s="758"/>
    </row>
    <row r="50" spans="1:29">
      <c r="A50" s="1144"/>
      <c r="B50" s="1144"/>
      <c r="C50" s="1144"/>
      <c r="D50" s="1144"/>
      <c r="E50" s="1144"/>
      <c r="F50" s="1144"/>
      <c r="G50" s="1147"/>
      <c r="H50" s="1144"/>
      <c r="I50" s="1144"/>
      <c r="J50" s="1144"/>
      <c r="K50" s="1105"/>
      <c r="L50" s="1106"/>
      <c r="M50" s="1144"/>
      <c r="N50" s="1144"/>
      <c r="O50" s="1144"/>
      <c r="P50" s="674"/>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5"/>
      <c r="L51" s="1106"/>
      <c r="M51" s="1144"/>
      <c r="N51" s="1144"/>
      <c r="O51" s="1144"/>
      <c r="P51" s="674"/>
      <c r="Q51" s="758"/>
      <c r="R51" s="758"/>
      <c r="S51" s="758"/>
      <c r="T51" s="758"/>
      <c r="U51" s="758"/>
      <c r="V51" s="758"/>
      <c r="W51" s="758"/>
      <c r="X51" s="758"/>
      <c r="Y51" s="758"/>
      <c r="Z51" s="758"/>
      <c r="AA51" s="758"/>
      <c r="AB51" s="758"/>
      <c r="AC51" s="758"/>
    </row>
    <row r="52" spans="1:29" ht="13.5" customHeight="1">
      <c r="A52" s="1144"/>
      <c r="B52" s="1144"/>
      <c r="C52" s="496" t="s">
        <v>2660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c r="P52" s="674"/>
      <c r="Q52" s="758"/>
      <c r="R52" s="758"/>
      <c r="S52" s="758"/>
      <c r="T52" s="758"/>
      <c r="U52" s="758"/>
      <c r="V52" s="758"/>
      <c r="W52" s="758"/>
      <c r="X52" s="758"/>
      <c r="Y52" s="758"/>
      <c r="Z52" s="758"/>
      <c r="AA52" s="758"/>
      <c r="AB52" s="758"/>
      <c r="AC52" s="758"/>
    </row>
    <row r="53" spans="1:29" ht="13.5" customHeight="1">
      <c r="A53" s="1144"/>
      <c r="B53" s="1144"/>
      <c r="C53" s="496" t="s">
        <v>2661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c r="P53" s="674"/>
      <c r="Q53" s="758"/>
      <c r="R53" s="758"/>
      <c r="S53" s="758"/>
      <c r="T53" s="758"/>
      <c r="U53" s="758"/>
      <c r="V53" s="758"/>
      <c r="W53" s="758"/>
      <c r="X53" s="758"/>
      <c r="Y53" s="758"/>
      <c r="Z53" s="758"/>
      <c r="AA53" s="758"/>
      <c r="AB53" s="758"/>
      <c r="AC53" s="758"/>
    </row>
    <row r="54" spans="1:29" s="501" customFormat="1" ht="13.5" customHeight="1">
      <c r="A54" s="1145"/>
      <c r="B54" s="1145"/>
      <c r="C54" s="496" t="s">
        <v>2662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65"/>
      <c r="Q54" s="759"/>
      <c r="R54" s="759"/>
      <c r="S54" s="759"/>
      <c r="T54" s="759"/>
      <c r="U54" s="759"/>
      <c r="V54" s="759"/>
      <c r="W54" s="759"/>
      <c r="X54" s="759"/>
      <c r="Y54" s="759"/>
      <c r="Z54" s="759"/>
      <c r="AA54" s="759"/>
      <c r="AB54" s="759"/>
      <c r="AC54" s="759"/>
    </row>
    <row r="55" spans="1:29" s="501" customFormat="1">
      <c r="A55" s="1145"/>
      <c r="B55" s="1146"/>
      <c r="C55" s="1150"/>
      <c r="D55" s="1145"/>
      <c r="E55" s="1145"/>
      <c r="F55" s="1145"/>
      <c r="G55" s="1145"/>
      <c r="H55" s="1145"/>
      <c r="I55" s="1145"/>
      <c r="J55" s="1145"/>
      <c r="K55" s="1148"/>
      <c r="L55" s="1149"/>
      <c r="M55" s="1145"/>
      <c r="N55" s="1145"/>
      <c r="O55" s="1145"/>
      <c r="P55" s="2665"/>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5"/>
      <c r="L56" s="1106"/>
      <c r="M56" s="1144"/>
      <c r="N56" s="1144"/>
      <c r="O56" s="1144"/>
      <c r="P56" s="674"/>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1"/>
      <c r="M57" s="1159"/>
      <c r="N57" s="1159"/>
      <c r="O57" s="1159"/>
      <c r="P57" s="2666"/>
      <c r="Q57" s="2667"/>
      <c r="R57" s="758"/>
      <c r="S57" s="758"/>
      <c r="T57" s="758"/>
      <c r="U57" s="758"/>
      <c r="V57" s="758"/>
      <c r="W57" s="758"/>
      <c r="X57" s="758"/>
      <c r="Y57" s="758"/>
      <c r="Z57" s="758"/>
      <c r="AA57" s="758"/>
      <c r="AB57" s="758"/>
      <c r="AC57" s="758"/>
    </row>
    <row r="58" spans="1:29" s="507" customFormat="1" ht="15">
      <c r="A58" s="504" t="s">
        <v>2537</v>
      </c>
      <c r="B58" s="505"/>
      <c r="C58" s="1572" t="str">
        <f>YEAR(C7)&amp;"-"&amp;MONTH(C7)</f>
        <v>2018-12</v>
      </c>
      <c r="D58" s="1573">
        <f>EDATE(C58,-1)</f>
        <v>43405</v>
      </c>
      <c r="E58" s="1573">
        <f t="shared" ref="E58:N58" si="16">EDATE(D58,-1)</f>
        <v>43374</v>
      </c>
      <c r="F58" s="1573">
        <f t="shared" si="16"/>
        <v>43344</v>
      </c>
      <c r="G58" s="1573">
        <f t="shared" si="16"/>
        <v>43313</v>
      </c>
      <c r="H58" s="1573">
        <f t="shared" si="16"/>
        <v>43282</v>
      </c>
      <c r="I58" s="1573">
        <f t="shared" si="16"/>
        <v>43252</v>
      </c>
      <c r="J58" s="1573">
        <f t="shared" si="16"/>
        <v>43221</v>
      </c>
      <c r="K58" s="1573">
        <f t="shared" si="16"/>
        <v>43191</v>
      </c>
      <c r="L58" s="1573">
        <f t="shared" si="16"/>
        <v>43160</v>
      </c>
      <c r="M58" s="1573">
        <f t="shared" si="16"/>
        <v>43132</v>
      </c>
      <c r="N58" s="1573">
        <f t="shared" si="16"/>
        <v>43101</v>
      </c>
      <c r="O58" s="1573">
        <f>EDATE(N58,-1)</f>
        <v>43070</v>
      </c>
      <c r="P58" s="1568"/>
    </row>
    <row r="59" spans="1:29" s="116" customFormat="1" ht="15">
      <c r="A59" s="508"/>
      <c r="B59" s="509"/>
      <c r="C59" s="1571">
        <v>100</v>
      </c>
      <c r="D59" s="511"/>
      <c r="E59" s="511"/>
      <c r="F59" s="511"/>
      <c r="G59" s="511"/>
      <c r="H59" s="511"/>
      <c r="I59" s="511"/>
      <c r="J59" s="511"/>
      <c r="K59" s="511"/>
      <c r="L59" s="511"/>
      <c r="M59" s="512"/>
      <c r="N59" s="511"/>
      <c r="O59" s="512"/>
      <c r="P59" s="2627"/>
    </row>
    <row r="60" spans="1:29" s="116" customFormat="1" ht="15.75" thickBot="1">
      <c r="A60" s="514" t="s">
        <v>2574</v>
      </c>
      <c r="B60" s="515"/>
      <c r="C60" s="516"/>
      <c r="D60" s="517"/>
      <c r="E60" s="517"/>
      <c r="F60" s="517"/>
      <c r="G60" s="517"/>
      <c r="H60" s="517"/>
      <c r="I60" s="517"/>
      <c r="J60" s="517"/>
      <c r="K60" s="517"/>
      <c r="L60" s="517"/>
      <c r="M60" s="518"/>
      <c r="N60" s="517"/>
      <c r="O60" s="518"/>
      <c r="P60" s="2627"/>
      <c r="Q60" s="503"/>
    </row>
    <row r="61" spans="1:29" s="116" customFormat="1" ht="15">
      <c r="A61" s="520" t="s">
        <v>2539</v>
      </c>
      <c r="B61" s="509"/>
      <c r="C61" s="521" t="s">
        <v>2641</v>
      </c>
      <c r="D61" s="522"/>
      <c r="E61" s="522"/>
      <c r="F61" s="522"/>
      <c r="G61" s="522"/>
      <c r="H61" s="522"/>
      <c r="I61" s="522"/>
      <c r="J61" s="522"/>
      <c r="K61" s="522"/>
      <c r="L61" s="523"/>
      <c r="M61" s="524"/>
      <c r="N61" s="1151"/>
      <c r="O61" s="1151"/>
      <c r="P61" s="2628"/>
      <c r="Q61" s="503"/>
    </row>
    <row r="62" spans="1:29" s="116" customFormat="1" ht="15.75" thickBot="1">
      <c r="A62" s="520"/>
      <c r="B62" s="509"/>
      <c r="C62" s="510">
        <v>100</v>
      </c>
      <c r="D62" s="511"/>
      <c r="E62" s="511"/>
      <c r="F62" s="511"/>
      <c r="G62" s="511"/>
      <c r="H62" s="511"/>
      <c r="I62" s="511"/>
      <c r="J62" s="511"/>
      <c r="K62" s="511"/>
      <c r="L62" s="511"/>
      <c r="M62" s="513"/>
      <c r="N62" s="1151"/>
      <c r="O62" s="1151"/>
      <c r="P62" s="2627"/>
      <c r="Q62" s="503"/>
    </row>
    <row r="63" spans="1:29">
      <c r="A63" s="526" t="s">
        <v>2577</v>
      </c>
      <c r="B63" s="527" t="s">
        <v>2543</v>
      </c>
      <c r="C63" s="528">
        <f>C9</f>
        <v>0</v>
      </c>
      <c r="D63" s="529"/>
      <c r="E63" s="529"/>
      <c r="F63" s="529"/>
      <c r="G63" s="529"/>
      <c r="H63" s="529"/>
      <c r="I63" s="529"/>
      <c r="J63" s="529"/>
      <c r="K63" s="530"/>
      <c r="L63" s="531"/>
      <c r="M63" s="532"/>
      <c r="N63" s="1152"/>
      <c r="O63" s="1152"/>
      <c r="P63" s="2629"/>
      <c r="Q63" s="503"/>
    </row>
    <row r="64" spans="1:29" ht="15.75" thickBot="1">
      <c r="A64" s="533"/>
      <c r="B64" s="534"/>
      <c r="C64" s="535">
        <v>100</v>
      </c>
      <c r="D64" s="535"/>
      <c r="E64" s="535"/>
      <c r="F64" s="535"/>
      <c r="G64" s="535"/>
      <c r="H64" s="535"/>
      <c r="I64" s="535"/>
      <c r="J64" s="535"/>
      <c r="K64" s="535"/>
      <c r="L64" s="535"/>
      <c r="M64" s="536"/>
      <c r="N64" s="1153"/>
      <c r="O64" s="1153"/>
      <c r="P64" s="2629"/>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2"/>
      <c r="O65" s="1152"/>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3"/>
      <c r="O66" s="1153"/>
      <c r="P66" s="2629"/>
      <c r="Q66" s="503"/>
    </row>
    <row r="67" spans="1:17" ht="15.75" thickTop="1">
      <c r="A67" s="533"/>
      <c r="B67" s="545" t="s">
        <v>2547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3"/>
      <c r="O67" s="1153"/>
      <c r="P67" s="2629"/>
      <c r="Q67" s="503"/>
    </row>
    <row r="68" spans="1:17" ht="15">
      <c r="A68" s="533"/>
      <c r="B68" s="547"/>
      <c r="C68" s="548"/>
      <c r="D68" s="548"/>
      <c r="E68" s="548"/>
      <c r="F68" s="548"/>
      <c r="G68" s="548"/>
      <c r="H68" s="548"/>
      <c r="I68" s="548"/>
      <c r="J68" s="548"/>
      <c r="K68" s="549"/>
      <c r="L68" s="550"/>
      <c r="M68" s="551"/>
      <c r="N68" s="1152"/>
      <c r="O68" s="1152"/>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3"/>
      <c r="O69" s="1153"/>
      <c r="P69" s="2629"/>
      <c r="Q69" s="503"/>
    </row>
    <row r="70" spans="1:17" s="470" customFormat="1" ht="15.75" thickTop="1">
      <c r="A70" s="552"/>
      <c r="B70" s="537">
        <f>B12</f>
        <v>111</v>
      </c>
      <c r="C70" s="553"/>
      <c r="D70" s="553"/>
      <c r="E70" s="553"/>
      <c r="F70" s="553"/>
      <c r="G70" s="553"/>
      <c r="H70" s="554"/>
      <c r="I70" s="554"/>
      <c r="J70" s="554"/>
      <c r="K70" s="554"/>
      <c r="L70" s="555"/>
      <c r="M70" s="556"/>
      <c r="N70" s="1154"/>
      <c r="O70" s="1154"/>
      <c r="P70" s="2630"/>
      <c r="Q70" s="558"/>
    </row>
    <row r="71" spans="1:17" s="470" customFormat="1" ht="15.75" thickBot="1">
      <c r="A71" s="552"/>
      <c r="B71" s="542"/>
      <c r="C71" s="559"/>
      <c r="D71" s="535"/>
      <c r="E71" s="535"/>
      <c r="F71" s="535"/>
      <c r="G71" s="535"/>
      <c r="H71" s="535"/>
      <c r="I71" s="535"/>
      <c r="J71" s="535"/>
      <c r="K71" s="535"/>
      <c r="L71" s="535"/>
      <c r="M71" s="536"/>
      <c r="N71" s="1153"/>
      <c r="O71" s="1153"/>
      <c r="P71" s="2630"/>
      <c r="Q71" s="558"/>
    </row>
    <row r="72" spans="1:17" s="470" customFormat="1" ht="15.75" thickTop="1">
      <c r="A72" s="552"/>
      <c r="B72" s="537">
        <f>B13</f>
        <v>111</v>
      </c>
      <c r="C72" s="553"/>
      <c r="D72" s="553"/>
      <c r="E72" s="553"/>
      <c r="F72" s="553"/>
      <c r="G72" s="553"/>
      <c r="H72" s="554"/>
      <c r="I72" s="554"/>
      <c r="J72" s="554"/>
      <c r="K72" s="554"/>
      <c r="L72" s="555"/>
      <c r="M72" s="556"/>
      <c r="N72" s="1154"/>
      <c r="O72" s="1154"/>
      <c r="P72" s="2631"/>
      <c r="Q72" s="560"/>
    </row>
    <row r="73" spans="1:17" s="470" customFormat="1" ht="15.75" thickBot="1">
      <c r="A73" s="552"/>
      <c r="B73" s="542"/>
      <c r="C73" s="559"/>
      <c r="D73" s="535"/>
      <c r="E73" s="535"/>
      <c r="F73" s="535"/>
      <c r="G73" s="559"/>
      <c r="H73" s="561"/>
      <c r="I73" s="561"/>
      <c r="J73" s="561"/>
      <c r="K73" s="561"/>
      <c r="L73" s="561"/>
      <c r="M73" s="562"/>
      <c r="N73" s="1154"/>
      <c r="O73" s="1154"/>
      <c r="P73" s="2630"/>
      <c r="Q73" s="558"/>
    </row>
    <row r="74" spans="1:17" s="470" customFormat="1" ht="15.75" thickTop="1">
      <c r="A74" s="552"/>
      <c r="B74" s="545">
        <f>B14</f>
        <v>111</v>
      </c>
      <c r="C74" s="553"/>
      <c r="D74" s="553"/>
      <c r="E74" s="553"/>
      <c r="F74" s="553"/>
      <c r="G74" s="522"/>
      <c r="H74" s="563"/>
      <c r="I74" s="563"/>
      <c r="J74" s="563"/>
      <c r="K74" s="563"/>
      <c r="L74" s="564"/>
      <c r="M74" s="565"/>
      <c r="N74" s="1154"/>
      <c r="O74" s="1154"/>
      <c r="P74" s="2632"/>
      <c r="Q74" s="558"/>
    </row>
    <row r="75" spans="1:17" s="470" customFormat="1" ht="15.75" thickBot="1">
      <c r="A75" s="567"/>
      <c r="B75" s="568"/>
      <c r="C75" s="569"/>
      <c r="D75" s="569"/>
      <c r="E75" s="569"/>
      <c r="F75" s="569"/>
      <c r="G75" s="569"/>
      <c r="H75" s="570"/>
      <c r="I75" s="570"/>
      <c r="J75" s="570"/>
      <c r="K75" s="570"/>
      <c r="L75" s="570"/>
      <c r="M75" s="571"/>
      <c r="N75" s="1154"/>
      <c r="O75" s="1154"/>
      <c r="P75" s="2630"/>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2"/>
      <c r="O76" s="1152"/>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9"/>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2"/>
      <c r="O78" s="1152"/>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9"/>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2"/>
      <c r="O80" s="1152"/>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9"/>
      <c r="Q81" s="503"/>
    </row>
    <row r="82" spans="1:17" ht="15.75" thickTop="1">
      <c r="A82" s="533"/>
      <c r="B82" s="545" t="s">
        <v>2644</v>
      </c>
      <c r="C82" s="659" t="s">
        <v>2664</v>
      </c>
      <c r="D82" s="659" t="s">
        <v>2665</v>
      </c>
      <c r="E82" s="659" t="s">
        <v>2666</v>
      </c>
      <c r="F82" s="659" t="s">
        <v>2667</v>
      </c>
      <c r="G82" s="659" t="s">
        <v>2668</v>
      </c>
      <c r="H82" s="538"/>
      <c r="I82" s="538"/>
      <c r="J82" s="538"/>
      <c r="K82" s="538"/>
      <c r="L82" s="538"/>
      <c r="M82" s="1382"/>
      <c r="N82" s="1153"/>
      <c r="O82" s="1153"/>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3"/>
      <c r="O83" s="1153"/>
      <c r="P83" s="2629"/>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2"/>
      <c r="O84" s="1152"/>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9"/>
      <c r="Q85" s="503"/>
    </row>
    <row r="86" spans="1:17" s="116" customFormat="1" ht="15.75" thickTop="1">
      <c r="A86" s="578"/>
      <c r="B86" s="537" t="s">
        <v>2669</v>
      </c>
      <c r="C86" s="553"/>
      <c r="D86" s="553"/>
      <c r="E86" s="553"/>
      <c r="F86" s="553"/>
      <c r="G86" s="553"/>
      <c r="H86" s="553"/>
      <c r="I86" s="553"/>
      <c r="J86" s="553"/>
      <c r="K86" s="553"/>
      <c r="L86" s="579"/>
      <c r="M86" s="580"/>
      <c r="N86" s="1151"/>
      <c r="O86" s="1151"/>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3"/>
      <c r="O87" s="1153"/>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1"/>
      <c r="O88" s="1151"/>
      <c r="P88" s="2629"/>
      <c r="Q88" s="503"/>
    </row>
    <row r="89" spans="1:17" s="116" customFormat="1" ht="15.75" thickBot="1">
      <c r="A89" s="578"/>
      <c r="B89" s="542"/>
      <c r="C89" s="559"/>
      <c r="D89" s="535"/>
      <c r="E89" s="535"/>
      <c r="F89" s="535"/>
      <c r="G89" s="535"/>
      <c r="H89" s="535"/>
      <c r="I89" s="535"/>
      <c r="J89" s="535"/>
      <c r="K89" s="535"/>
      <c r="L89" s="535"/>
      <c r="M89" s="535"/>
      <c r="N89" s="1153"/>
      <c r="O89" s="1153"/>
      <c r="P89" s="2629"/>
      <c r="Q89" s="503"/>
    </row>
    <row r="90" spans="1:17" s="470" customFormat="1" ht="15.75" thickTop="1">
      <c r="A90" s="552"/>
      <c r="B90" s="537" t="str">
        <f>B27</f>
        <v>人流量</v>
      </c>
      <c r="C90" s="553"/>
      <c r="D90" s="553"/>
      <c r="E90" s="553"/>
      <c r="F90" s="553"/>
      <c r="G90" s="553"/>
      <c r="H90" s="554"/>
      <c r="I90" s="554"/>
      <c r="J90" s="554"/>
      <c r="K90" s="554"/>
      <c r="L90" s="555"/>
      <c r="M90" s="556"/>
      <c r="N90" s="1154"/>
      <c r="O90" s="1154"/>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4"/>
      <c r="O91" s="1154"/>
      <c r="P91" s="2630"/>
      <c r="Q91" s="558"/>
    </row>
    <row r="92" spans="1:17" ht="15.75" thickTop="1">
      <c r="A92" s="533"/>
      <c r="B92" s="537" t="str">
        <f>B28</f>
        <v>楼层</v>
      </c>
      <c r="C92" s="553"/>
      <c r="D92" s="553"/>
      <c r="E92" s="553"/>
      <c r="F92" s="553"/>
      <c r="G92" s="553"/>
      <c r="H92" s="553"/>
      <c r="I92" s="553"/>
      <c r="J92" s="553"/>
      <c r="K92" s="553"/>
      <c r="L92" s="579"/>
      <c r="M92" s="580"/>
      <c r="N92" s="1152"/>
      <c r="O92" s="1152"/>
      <c r="P92" s="2629"/>
      <c r="Q92" s="503"/>
    </row>
    <row r="93" spans="1:17" ht="15.75" thickBot="1">
      <c r="A93" s="533"/>
      <c r="B93" s="542"/>
      <c r="C93" s="535"/>
      <c r="D93" s="535"/>
      <c r="E93" s="535"/>
      <c r="F93" s="535"/>
      <c r="G93" s="535"/>
      <c r="H93" s="535"/>
      <c r="I93" s="535"/>
      <c r="J93" s="535"/>
      <c r="K93" s="535"/>
      <c r="L93" s="535"/>
      <c r="M93" s="536"/>
      <c r="N93" s="1153"/>
      <c r="O93" s="1153"/>
      <c r="P93" s="2629"/>
      <c r="Q93" s="503"/>
    </row>
    <row r="94" spans="1:17" ht="15.75" thickTop="1">
      <c r="A94" s="533"/>
      <c r="B94" s="537">
        <f>B29</f>
        <v>111</v>
      </c>
      <c r="C94" s="553"/>
      <c r="D94" s="553"/>
      <c r="E94" s="553"/>
      <c r="F94" s="553"/>
      <c r="G94" s="582"/>
      <c r="H94" s="582"/>
      <c r="I94" s="582"/>
      <c r="J94" s="582"/>
      <c r="K94" s="583"/>
      <c r="L94" s="584"/>
      <c r="M94" s="585"/>
      <c r="N94" s="1152"/>
      <c r="O94" s="1152"/>
      <c r="P94" s="2629"/>
      <c r="Q94" s="503"/>
    </row>
    <row r="95" spans="1:17" ht="15.75" thickBot="1">
      <c r="A95" s="533"/>
      <c r="B95" s="542"/>
      <c r="C95" s="559"/>
      <c r="D95" s="535"/>
      <c r="E95" s="535"/>
      <c r="F95" s="535"/>
      <c r="G95" s="535"/>
      <c r="H95" s="535"/>
      <c r="I95" s="535"/>
      <c r="J95" s="535"/>
      <c r="K95" s="535"/>
      <c r="L95" s="535"/>
      <c r="M95" s="536"/>
      <c r="N95" s="1153"/>
      <c r="O95" s="1153"/>
      <c r="P95" s="2629"/>
      <c r="Q95" s="503"/>
    </row>
    <row r="96" spans="1:17" ht="15.75" thickTop="1">
      <c r="A96" s="533"/>
      <c r="B96" s="537">
        <f>B30</f>
        <v>111</v>
      </c>
      <c r="C96" s="553"/>
      <c r="D96" s="553"/>
      <c r="E96" s="553"/>
      <c r="F96" s="553"/>
      <c r="G96" s="582"/>
      <c r="H96" s="582"/>
      <c r="I96" s="582"/>
      <c r="J96" s="582"/>
      <c r="K96" s="583"/>
      <c r="L96" s="584"/>
      <c r="M96" s="585"/>
      <c r="N96" s="1152"/>
      <c r="O96" s="1152"/>
      <c r="P96" s="2629"/>
      <c r="Q96" s="503"/>
    </row>
    <row r="97" spans="1:17" ht="15.75" thickBot="1">
      <c r="A97" s="533"/>
      <c r="B97" s="542"/>
      <c r="C97" s="559"/>
      <c r="D97" s="535"/>
      <c r="E97" s="535"/>
      <c r="F97" s="535"/>
      <c r="G97" s="535"/>
      <c r="H97" s="535"/>
      <c r="I97" s="535"/>
      <c r="J97" s="535"/>
      <c r="K97" s="535"/>
      <c r="L97" s="535"/>
      <c r="M97" s="536"/>
      <c r="N97" s="1153"/>
      <c r="O97" s="1153"/>
      <c r="P97" s="2629"/>
      <c r="Q97" s="503"/>
    </row>
    <row r="98" spans="1:17" ht="15.75" thickTop="1">
      <c r="A98" s="533"/>
      <c r="B98" s="545">
        <f>B31</f>
        <v>111</v>
      </c>
      <c r="C98" s="553"/>
      <c r="D98" s="553"/>
      <c r="E98" s="553"/>
      <c r="F98" s="553"/>
      <c r="G98" s="586"/>
      <c r="H98" s="586"/>
      <c r="I98" s="586"/>
      <c r="J98" s="586"/>
      <c r="K98" s="587"/>
      <c r="L98" s="588"/>
      <c r="M98" s="589"/>
      <c r="N98" s="1152"/>
      <c r="O98" s="1152"/>
      <c r="P98" s="2629"/>
      <c r="Q98" s="503"/>
    </row>
    <row r="99" spans="1:17" ht="15.75" thickBot="1">
      <c r="A99" s="2635"/>
      <c r="B99" s="568"/>
      <c r="C99" s="569"/>
      <c r="D99" s="569"/>
      <c r="E99" s="569"/>
      <c r="F99" s="569"/>
      <c r="G99" s="590"/>
      <c r="H99" s="590"/>
      <c r="I99" s="590"/>
      <c r="J99" s="590"/>
      <c r="K99" s="590"/>
      <c r="L99" s="590"/>
      <c r="M99" s="591"/>
      <c r="N99" s="1153"/>
      <c r="O99" s="1153"/>
      <c r="P99" s="2629"/>
      <c r="Q99" s="503"/>
    </row>
    <row r="100" spans="1:17">
      <c r="A100" s="526" t="s">
        <v>2552</v>
      </c>
      <c r="B100" s="527" t="s">
        <v>2670</v>
      </c>
      <c r="C100" s="529"/>
      <c r="D100" s="529"/>
      <c r="E100" s="529"/>
      <c r="F100" s="529"/>
      <c r="G100" s="529"/>
      <c r="H100" s="529"/>
      <c r="I100" s="529"/>
      <c r="J100" s="529"/>
      <c r="K100" s="530"/>
      <c r="L100" s="531"/>
      <c r="M100" s="532"/>
      <c r="N100" s="1152"/>
      <c r="O100" s="1152"/>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3"/>
      <c r="O101" s="1153"/>
      <c r="P101" s="2629"/>
      <c r="Q101" s="503"/>
    </row>
    <row r="102" spans="1:17" ht="15.75" thickTop="1">
      <c r="A102" s="533"/>
      <c r="B102" s="537" t="s">
        <v>2602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1"/>
      <c r="O102" s="1151"/>
      <c r="P102" s="2629"/>
      <c r="Q102" s="503"/>
    </row>
    <row r="103" spans="1:17" s="470" customFormat="1">
      <c r="A103" s="592"/>
      <c r="B103" s="593"/>
      <c r="C103" s="594"/>
      <c r="D103" s="594"/>
      <c r="E103" s="594"/>
      <c r="F103" s="594"/>
      <c r="G103" s="594"/>
      <c r="H103" s="594"/>
      <c r="I103" s="594"/>
      <c r="J103" s="595"/>
      <c r="K103" s="595"/>
      <c r="L103" s="596"/>
      <c r="M103" s="597"/>
      <c r="N103" s="1154"/>
      <c r="O103" s="1154"/>
      <c r="P103" s="2630"/>
      <c r="Q103" s="558"/>
    </row>
    <row r="104" spans="1:17" s="470" customFormat="1" ht="15.75" thickBot="1">
      <c r="A104" s="552"/>
      <c r="B104" s="542"/>
      <c r="C104" s="559"/>
      <c r="D104" s="535"/>
      <c r="E104" s="535"/>
      <c r="F104" s="535"/>
      <c r="G104" s="535"/>
      <c r="H104" s="535"/>
      <c r="I104" s="535"/>
      <c r="J104" s="535"/>
      <c r="K104" s="535"/>
      <c r="L104" s="535"/>
      <c r="M104" s="536"/>
      <c r="N104" s="1153"/>
      <c r="O104" s="1153"/>
      <c r="P104" s="2630"/>
      <c r="Q104" s="558"/>
    </row>
    <row r="105" spans="1:17" ht="15" thickTop="1">
      <c r="A105" s="598"/>
      <c r="B105" s="537" t="s">
        <v>2603</v>
      </c>
      <c r="C105" s="553"/>
      <c r="D105" s="553"/>
      <c r="E105" s="582"/>
      <c r="F105" s="582"/>
      <c r="G105" s="582"/>
      <c r="H105" s="582"/>
      <c r="I105" s="582"/>
      <c r="J105" s="582"/>
      <c r="K105" s="583"/>
      <c r="L105" s="584"/>
      <c r="M105" s="585"/>
      <c r="N105" s="1152"/>
      <c r="O105" s="1152"/>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3"/>
      <c r="O106" s="1153"/>
      <c r="P106" s="2629"/>
      <c r="Q106" s="503"/>
    </row>
    <row r="107" spans="1:17" ht="15" thickTop="1">
      <c r="A107" s="598"/>
      <c r="B107" s="537" t="s">
        <v>2605</v>
      </c>
      <c r="C107" s="553"/>
      <c r="D107" s="553"/>
      <c r="E107" s="553"/>
      <c r="F107" s="582"/>
      <c r="G107" s="582"/>
      <c r="H107" s="582"/>
      <c r="I107" s="582"/>
      <c r="J107" s="582"/>
      <c r="K107" s="583"/>
      <c r="L107" s="584"/>
      <c r="M107" s="585"/>
      <c r="N107" s="1152"/>
      <c r="O107" s="1152"/>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3"/>
      <c r="O108" s="1153"/>
      <c r="P108" s="2629"/>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9"/>
      <c r="Q109" s="503"/>
    </row>
    <row r="110" spans="1:17">
      <c r="A110" s="598"/>
      <c r="B110" s="545"/>
      <c r="C110" s="602">
        <v>0.5</v>
      </c>
      <c r="D110" s="602">
        <v>0.6</v>
      </c>
      <c r="E110" s="602">
        <v>0.7</v>
      </c>
      <c r="F110" s="602">
        <v>0.8</v>
      </c>
      <c r="G110" s="602">
        <v>0.9</v>
      </c>
      <c r="H110" s="602">
        <v>1.0001</v>
      </c>
      <c r="I110" s="622"/>
      <c r="J110" s="622"/>
      <c r="K110" s="623"/>
      <c r="L110" s="624"/>
      <c r="M110" s="625"/>
      <c r="N110" s="1152"/>
      <c r="O110" s="1152"/>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3"/>
      <c r="O111" s="1153"/>
      <c r="P111" s="2629"/>
      <c r="Q111" s="503"/>
    </row>
    <row r="112" spans="1:17" s="470" customFormat="1" ht="15" thickTop="1">
      <c r="A112" s="592"/>
      <c r="B112" s="537" t="s">
        <v>2607</v>
      </c>
      <c r="C112" s="553"/>
      <c r="D112" s="553"/>
      <c r="E112" s="553"/>
      <c r="F112" s="553"/>
      <c r="G112" s="553"/>
      <c r="H112" s="582"/>
      <c r="I112" s="582"/>
      <c r="J112" s="582"/>
      <c r="K112" s="583"/>
      <c r="L112" s="584"/>
      <c r="M112" s="585"/>
      <c r="N112" s="1154"/>
      <c r="O112" s="1154"/>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4"/>
      <c r="O113" s="1154"/>
      <c r="P113" s="2630"/>
      <c r="Q113" s="558"/>
    </row>
    <row r="114" spans="1:17" ht="15" thickTop="1">
      <c r="A114" s="598"/>
      <c r="B114" s="537" t="s">
        <v>2671</v>
      </c>
      <c r="C114" s="553"/>
      <c r="D114" s="553"/>
      <c r="E114" s="582"/>
      <c r="F114" s="582"/>
      <c r="G114" s="582"/>
      <c r="H114" s="582"/>
      <c r="I114" s="582"/>
      <c r="J114" s="582"/>
      <c r="K114" s="583"/>
      <c r="L114" s="584"/>
      <c r="M114" s="585"/>
      <c r="N114" s="1152"/>
      <c r="O114" s="1152"/>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2629"/>
      <c r="Q115" s="503"/>
    </row>
    <row r="116" spans="1:17" ht="15" thickTop="1">
      <c r="A116" s="598"/>
      <c r="B116" s="537" t="s">
        <v>2672</v>
      </c>
      <c r="C116" s="553"/>
      <c r="D116" s="553"/>
      <c r="E116" s="553"/>
      <c r="F116" s="553"/>
      <c r="G116" s="553"/>
      <c r="H116" s="582"/>
      <c r="I116" s="582"/>
      <c r="J116" s="582"/>
      <c r="K116" s="583"/>
      <c r="L116" s="584"/>
      <c r="M116" s="585"/>
      <c r="N116" s="1152"/>
      <c r="O116" s="1152"/>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9"/>
      <c r="Q117" s="503"/>
    </row>
    <row r="118" spans="1:17" ht="15" thickTop="1">
      <c r="A118" s="598"/>
      <c r="B118" s="537" t="s">
        <v>2673</v>
      </c>
      <c r="C118" s="626"/>
      <c r="D118" s="626"/>
      <c r="E118" s="626"/>
      <c r="F118" s="626"/>
      <c r="G118" s="626"/>
      <c r="H118" s="554"/>
      <c r="I118" s="554"/>
      <c r="J118" s="554"/>
      <c r="K118" s="554"/>
      <c r="L118" s="555"/>
      <c r="M118" s="556"/>
      <c r="N118" s="1152"/>
      <c r="O118" s="1152"/>
      <c r="P118" s="2629"/>
      <c r="Q118" s="503"/>
    </row>
    <row r="119" spans="1:17" ht="15.75" thickBot="1">
      <c r="A119" s="533"/>
      <c r="B119" s="542"/>
      <c r="C119" s="559"/>
      <c r="D119" s="535"/>
      <c r="E119" s="535"/>
      <c r="F119" s="535"/>
      <c r="G119" s="535"/>
      <c r="H119" s="535"/>
      <c r="I119" s="535"/>
      <c r="J119" s="535"/>
      <c r="K119" s="535"/>
      <c r="L119" s="535"/>
      <c r="M119" s="536"/>
      <c r="N119" s="1153"/>
      <c r="O119" s="1153"/>
      <c r="P119" s="2629"/>
      <c r="Q119" s="503"/>
    </row>
    <row r="120" spans="1:17" s="470" customFormat="1" ht="15" thickTop="1">
      <c r="A120" s="592"/>
      <c r="B120" s="537" t="s">
        <v>2674</v>
      </c>
      <c r="C120" s="582"/>
      <c r="D120" s="582"/>
      <c r="E120" s="582"/>
      <c r="F120" s="582"/>
      <c r="G120" s="554"/>
      <c r="H120" s="554"/>
      <c r="I120" s="554"/>
      <c r="J120" s="554"/>
      <c r="K120" s="554"/>
      <c r="L120" s="555"/>
      <c r="M120" s="556"/>
      <c r="N120" s="1154"/>
      <c r="O120" s="1154"/>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4"/>
      <c r="O121" s="1154"/>
      <c r="P121" s="2630"/>
      <c r="Q121" s="558"/>
    </row>
    <row r="122" spans="1:17" ht="15" thickTop="1">
      <c r="A122" s="598"/>
      <c r="B122" s="537" t="s">
        <v>2609</v>
      </c>
      <c r="C122" s="553"/>
      <c r="D122" s="553"/>
      <c r="E122" s="553"/>
      <c r="F122" s="582"/>
      <c r="G122" s="582"/>
      <c r="H122" s="582"/>
      <c r="I122" s="582"/>
      <c r="J122" s="582"/>
      <c r="K122" s="583"/>
      <c r="L122" s="584"/>
      <c r="M122" s="585"/>
      <c r="N122" s="1152"/>
      <c r="O122" s="1152"/>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3"/>
      <c r="O123" s="1153"/>
      <c r="P123" s="2629"/>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2"/>
      <c r="O124" s="1152"/>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9"/>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30"/>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30"/>
      <c r="Q127" s="558"/>
    </row>
    <row r="128" spans="1:17" ht="15" thickTop="1">
      <c r="A128" s="598"/>
      <c r="B128" s="537">
        <f>B45</f>
        <v>111</v>
      </c>
      <c r="C128" s="553"/>
      <c r="D128" s="553"/>
      <c r="E128" s="553"/>
      <c r="F128" s="553"/>
      <c r="G128" s="582"/>
      <c r="H128" s="582"/>
      <c r="I128" s="582"/>
      <c r="J128" s="582"/>
      <c r="K128" s="583"/>
      <c r="L128" s="584"/>
      <c r="M128" s="585"/>
      <c r="N128" s="1152"/>
      <c r="O128" s="1152"/>
      <c r="P128" s="2629"/>
      <c r="Q128" s="503"/>
    </row>
    <row r="129" spans="1:17" ht="15.75" thickBot="1">
      <c r="A129" s="533"/>
      <c r="B129" s="542"/>
      <c r="C129" s="559"/>
      <c r="D129" s="535"/>
      <c r="E129" s="535"/>
      <c r="F129" s="535"/>
      <c r="G129" s="535"/>
      <c r="H129" s="535"/>
      <c r="I129" s="535"/>
      <c r="J129" s="535"/>
      <c r="K129" s="535"/>
      <c r="L129" s="535"/>
      <c r="M129" s="536"/>
      <c r="N129" s="1153"/>
      <c r="O129" s="1153"/>
      <c r="P129" s="2629"/>
      <c r="Q129" s="503"/>
    </row>
    <row r="130" spans="1:17" ht="15" thickTop="1">
      <c r="A130" s="598"/>
      <c r="B130" s="545">
        <f>B46</f>
        <v>111</v>
      </c>
      <c r="C130" s="553"/>
      <c r="D130" s="553"/>
      <c r="E130" s="553"/>
      <c r="F130" s="553"/>
      <c r="G130" s="586"/>
      <c r="H130" s="586"/>
      <c r="I130" s="586"/>
      <c r="J130" s="586"/>
      <c r="K130" s="522"/>
      <c r="L130" s="523"/>
      <c r="M130" s="589"/>
      <c r="N130" s="1152"/>
      <c r="O130" s="1152"/>
      <c r="P130" s="2629"/>
      <c r="Q130" s="503"/>
    </row>
    <row r="131" spans="1:17" ht="15.75" thickBot="1">
      <c r="A131" s="2635"/>
      <c r="B131" s="568"/>
      <c r="C131" s="569"/>
      <c r="D131" s="569"/>
      <c r="E131" s="569"/>
      <c r="F131" s="569"/>
      <c r="G131" s="590"/>
      <c r="H131" s="590"/>
      <c r="I131" s="590"/>
      <c r="J131" s="590"/>
      <c r="K131" s="590"/>
      <c r="L131" s="590"/>
      <c r="M131" s="591"/>
      <c r="N131" s="1153"/>
      <c r="O131" s="1153"/>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17" stopIfTrue="1" operator="containsText" text="超过">
      <formula>NOT(ISERROR(SEARCH("超过",F52)))</formula>
    </cfRule>
  </conditionalFormatting>
  <conditionalFormatting sqref="H54">
    <cfRule type="containsText" dxfId="118" priority="15" stopIfTrue="1" operator="containsText" text="超过">
      <formula>NOT(ISERROR(SEARCH("超过",H54)))</formula>
    </cfRule>
  </conditionalFormatting>
  <conditionalFormatting sqref="F54">
    <cfRule type="containsText" dxfId="117" priority="14" stopIfTrue="1" operator="containsText" text="超过">
      <formula>NOT(ISERROR(SEARCH("超过",F54)))</formula>
    </cfRule>
  </conditionalFormatting>
  <conditionalFormatting sqref="F53 H53">
    <cfRule type="containsText" dxfId="116" priority="13" stopIfTrue="1" operator="containsText" text="超过">
      <formula>NOT(ISERROR(SEARCH("超过",F53)))</formula>
    </cfRule>
  </conditionalFormatting>
  <conditionalFormatting sqref="E52">
    <cfRule type="expression" dxfId="115" priority="12"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4">
    <cfRule type="expression" dxfId="112" priority="9" stopIfTrue="1">
      <formula>$H$54="超过30%"</formula>
    </cfRule>
  </conditionalFormatting>
  <conditionalFormatting sqref="G52">
    <cfRule type="expression" dxfId="111" priority="8" stopIfTrue="1">
      <formula>$H$52="超过30%"</formula>
    </cfRule>
  </conditionalFormatting>
  <conditionalFormatting sqref="G53">
    <cfRule type="expression" dxfId="110" priority="7" stopIfTrue="1">
      <formula>$H$53="超过20%"</formula>
    </cfRule>
  </conditionalFormatting>
  <conditionalFormatting sqref="J52">
    <cfRule type="containsText" dxfId="109" priority="6" stopIfTrue="1" operator="containsText" text="超过">
      <formula>NOT(ISERROR(SEARCH("超过",J52)))</formula>
    </cfRule>
  </conditionalFormatting>
  <conditionalFormatting sqref="J54">
    <cfRule type="containsText" dxfId="108" priority="5" stopIfTrue="1" operator="containsText" text="超过">
      <formula>NOT(ISERROR(SEARCH("超过",J54)))</formula>
    </cfRule>
  </conditionalFormatting>
  <conditionalFormatting sqref="J53">
    <cfRule type="containsText" dxfId="107" priority="4" stopIfTrue="1" operator="containsText" text="超过">
      <formula>NOT(ISERROR(SEARCH("超过",J53)))</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8" zoomScale="80" zoomScaleNormal="80" workbookViewId="0">
      <selection activeCell="F34" sqref="F3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8" t="s">
        <v>2675</v>
      </c>
      <c r="C1" s="1618" t="s">
        <v>2519</v>
      </c>
      <c r="D1" s="1619" t="s">
        <v>3117</v>
      </c>
      <c r="E1" s="1628"/>
      <c r="F1" s="2583" t="s">
        <v>3115</v>
      </c>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f>IF(C2="——",ROUND(C50*D3/10000,0),ROUND(C50*D3/10000,0)-D2)</f>
        <v>5</v>
      </c>
      <c r="C2" s="2585" t="s">
        <v>70</v>
      </c>
      <c r="D2" s="1365" t="e">
        <f ca="1">SUMIF(INDIRECT("'"&amp;F2&amp;"'"&amp;"!A:A"),"承租人权益价值",INDIRECT("'"&amp;F2&amp;"'"&amp;"!c:c"))</f>
        <v>#REF!</v>
      </c>
      <c r="E2" s="2586" t="s">
        <v>2317</v>
      </c>
      <c r="F2" s="2587"/>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2958">
        <f>IF(C2="——",C50,ROUND(B2*10000/D3,0))</f>
        <v>5.6</v>
      </c>
      <c r="C3" s="399" t="s">
        <v>2633</v>
      </c>
      <c r="D3" s="398">
        <f>IF(D1="",'数据-汇总表'!E3,SUMIF('数据-汇总表'!$C19:$C33,D1,'数据-汇总表'!$E19:$E33))</f>
        <v>8276.64</v>
      </c>
      <c r="E3" s="2662"/>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67" t="s">
        <v>2640</v>
      </c>
      <c r="Q4" s="3268"/>
      <c r="R4" s="3261" t="s">
        <v>2636</v>
      </c>
      <c r="S4" s="3262"/>
      <c r="T4" s="3261" t="s">
        <v>2637</v>
      </c>
      <c r="U4" s="3262"/>
      <c r="V4" s="3271" t="s">
        <v>2638</v>
      </c>
      <c r="W4" s="3271"/>
      <c r="X4" s="2669"/>
      <c r="Y4" s="3261" t="s">
        <v>2640</v>
      </c>
      <c r="Z4" s="3262"/>
      <c r="AA4" s="3260" t="s">
        <v>2636</v>
      </c>
      <c r="AB4" s="3260" t="s">
        <v>2637</v>
      </c>
      <c r="AC4" s="3264" t="s">
        <v>2638</v>
      </c>
    </row>
    <row r="5" spans="1:29" ht="15" customHeight="1">
      <c r="A5" s="403"/>
      <c r="B5" s="404"/>
      <c r="C5" s="3263" t="s">
        <v>3133</v>
      </c>
      <c r="D5" s="3226"/>
      <c r="E5" s="3263" t="s">
        <v>3131</v>
      </c>
      <c r="F5" s="3226"/>
      <c r="G5" s="3263" t="s">
        <v>3133</v>
      </c>
      <c r="H5" s="3226"/>
      <c r="I5" s="3263" t="s">
        <v>3131</v>
      </c>
      <c r="J5" s="3226"/>
      <c r="K5" s="609"/>
      <c r="L5" s="1130"/>
      <c r="M5" s="1131"/>
      <c r="N5" s="1131"/>
      <c r="O5" s="1131"/>
      <c r="P5" s="3269"/>
      <c r="Q5" s="3239"/>
      <c r="R5" s="3221"/>
      <c r="S5" s="3222"/>
      <c r="T5" s="3221"/>
      <c r="U5" s="3222"/>
      <c r="V5" s="3244"/>
      <c r="W5" s="3244"/>
      <c r="X5" s="1811"/>
      <c r="Y5" s="3221"/>
      <c r="Z5" s="3222"/>
      <c r="AA5" s="3215"/>
      <c r="AB5" s="3215"/>
      <c r="AC5" s="3265"/>
    </row>
    <row r="6" spans="1:29" ht="15.75" thickBot="1">
      <c r="A6" s="405"/>
      <c r="B6" s="406"/>
      <c r="C6" s="3227" t="s">
        <v>3120</v>
      </c>
      <c r="D6" s="3228"/>
      <c r="E6" s="3227" t="s">
        <v>3132</v>
      </c>
      <c r="F6" s="3228"/>
      <c r="G6" s="3227" t="s">
        <v>3120</v>
      </c>
      <c r="H6" s="3228"/>
      <c r="I6" s="3227" t="s">
        <v>3132</v>
      </c>
      <c r="J6" s="3228"/>
      <c r="K6" s="609" t="s">
        <v>2536</v>
      </c>
      <c r="L6" s="1130"/>
      <c r="M6" s="1131"/>
      <c r="N6" s="1131"/>
      <c r="O6" s="1131"/>
      <c r="P6" s="3270"/>
      <c r="Q6" s="3241"/>
      <c r="R6" s="3221"/>
      <c r="S6" s="3222"/>
      <c r="T6" s="3242"/>
      <c r="U6" s="3243"/>
      <c r="V6" s="3244"/>
      <c r="W6" s="3244"/>
      <c r="X6" s="1811"/>
      <c r="Y6" s="3242"/>
      <c r="Z6" s="3243"/>
      <c r="AA6" s="3216"/>
      <c r="AB6" s="3216"/>
      <c r="AC6" s="3266"/>
    </row>
    <row r="7" spans="1:29" s="116" customFormat="1" ht="15.75" thickBot="1">
      <c r="A7" s="407" t="s">
        <v>2537</v>
      </c>
      <c r="B7" s="408"/>
      <c r="C7" s="409">
        <f>'数据-取费表'!B2</f>
        <v>43452</v>
      </c>
      <c r="D7" s="410">
        <v>100</v>
      </c>
      <c r="E7" s="411">
        <v>43448</v>
      </c>
      <c r="F7" s="412">
        <f>SUMIF(59:59,YEAR(E7)&amp;"-"&amp;MONTH(E7),60:60)</f>
        <v>100</v>
      </c>
      <c r="G7" s="411">
        <v>43422</v>
      </c>
      <c r="H7" s="410">
        <f>SUMIF(59:59,YEAR(G7)&amp;"-"&amp;MONTH(G7),60:60)</f>
        <v>100</v>
      </c>
      <c r="I7" s="411">
        <v>43452</v>
      </c>
      <c r="J7" s="410">
        <f>SUMIF(59:59,YEAR(I7)&amp;"-"&amp;MONTH(I7),60:60)</f>
        <v>100</v>
      </c>
      <c r="K7" s="610"/>
      <c r="L7" s="1132"/>
      <c r="M7" s="1133"/>
      <c r="N7" s="1133"/>
      <c r="O7" s="1133"/>
      <c r="P7" s="3272" t="s">
        <v>2538</v>
      </c>
      <c r="Q7" s="3245"/>
      <c r="R7" s="769" t="s">
        <v>17</v>
      </c>
      <c r="S7" s="770">
        <f t="shared" ref="S7:S15" si="0">F7</f>
        <v>100</v>
      </c>
      <c r="T7" s="769" t="s">
        <v>17</v>
      </c>
      <c r="U7" s="770">
        <f t="shared" ref="U7:U15" si="1">H7</f>
        <v>100</v>
      </c>
      <c r="V7" s="769" t="s">
        <v>17</v>
      </c>
      <c r="W7" s="770">
        <f t="shared" ref="W7:W15" si="2">J7</f>
        <v>100</v>
      </c>
      <c r="X7" s="771"/>
      <c r="Y7" s="3217" t="s">
        <v>2538</v>
      </c>
      <c r="Z7" s="3218"/>
      <c r="AA7" s="772">
        <f>D7/F7</f>
        <v>1</v>
      </c>
      <c r="AB7" s="772">
        <f>D7/H7</f>
        <v>1</v>
      </c>
      <c r="AC7" s="2670">
        <f>D7/J7</f>
        <v>1</v>
      </c>
    </row>
    <row r="8" spans="1:29" s="116" customFormat="1" ht="15.75" thickBot="1">
      <c r="A8" s="407" t="s">
        <v>2539</v>
      </c>
      <c r="B8" s="408"/>
      <c r="C8" s="413" t="s">
        <v>2641</v>
      </c>
      <c r="D8" s="410">
        <v>100</v>
      </c>
      <c r="E8" s="413" t="s">
        <v>3057</v>
      </c>
      <c r="F8" s="412">
        <f>SUMIF(62:62,E8,63:63)-SUMIF(62:62,C8,63:63)+100</f>
        <v>100</v>
      </c>
      <c r="G8" s="413" t="s">
        <v>3057</v>
      </c>
      <c r="H8" s="410">
        <f>SUMIF(62:62,G8,63:63)-SUMIF(62:62,C8,63:63)+100</f>
        <v>100</v>
      </c>
      <c r="I8" s="413" t="s">
        <v>3057</v>
      </c>
      <c r="J8" s="410">
        <f>SUMIF(62:62,I8,63:63)-SUMIF(62:62,C8,63:63)+100</f>
        <v>100</v>
      </c>
      <c r="K8" s="610"/>
      <c r="L8" s="1132"/>
      <c r="M8" s="1133"/>
      <c r="N8" s="1133"/>
      <c r="O8" s="1133"/>
      <c r="P8" s="3272" t="s">
        <v>2541</v>
      </c>
      <c r="Q8" s="3218"/>
      <c r="R8" s="769" t="s">
        <v>17</v>
      </c>
      <c r="S8" s="770">
        <f t="shared" si="0"/>
        <v>100</v>
      </c>
      <c r="T8" s="769" t="s">
        <v>17</v>
      </c>
      <c r="U8" s="770">
        <f t="shared" si="1"/>
        <v>100</v>
      </c>
      <c r="V8" s="769" t="s">
        <v>17</v>
      </c>
      <c r="W8" s="770">
        <f t="shared" si="2"/>
        <v>100</v>
      </c>
      <c r="X8" s="771"/>
      <c r="Y8" s="3217" t="s">
        <v>2541</v>
      </c>
      <c r="Z8" s="3218"/>
      <c r="AA8" s="772">
        <f t="shared" ref="AA8:AA47" si="3">D8/F8</f>
        <v>1</v>
      </c>
      <c r="AB8" s="772">
        <f t="shared" ref="AB8:AB47" si="4">D8/H8</f>
        <v>1</v>
      </c>
      <c r="AC8" s="2670">
        <f t="shared" ref="AC8:AC47" si="5">D8/J8</f>
        <v>1</v>
      </c>
    </row>
    <row r="9" spans="1:29" s="116" customFormat="1">
      <c r="A9" s="414" t="s">
        <v>2542</v>
      </c>
      <c r="B9" s="70" t="s">
        <v>2543</v>
      </c>
      <c r="C9" s="2954" t="s">
        <v>3113</v>
      </c>
      <c r="D9" s="134">
        <v>100</v>
      </c>
      <c r="E9" s="418" t="s">
        <v>27</v>
      </c>
      <c r="F9" s="134">
        <f>SUMIF(64:64,E9,65:65)-SUMIF(64:64,C9,65:65)+100</f>
        <v>100</v>
      </c>
      <c r="G9" s="418" t="s">
        <v>27</v>
      </c>
      <c r="H9" s="134">
        <f>SUMIF(64:64,G9,65:65)-SUMIF(64:64,C9,65:65)+100</f>
        <v>100</v>
      </c>
      <c r="I9" s="416" t="s">
        <v>27</v>
      </c>
      <c r="J9" s="134">
        <f>SUMIF(64:64,I9,65:65)-SUMIF(64:64,C9,65:65)+100</f>
        <v>100</v>
      </c>
      <c r="K9" s="610"/>
      <c r="L9" s="1132"/>
      <c r="M9" s="1133"/>
      <c r="N9" s="1133"/>
      <c r="O9" s="1133"/>
      <c r="P9" s="3231" t="s">
        <v>2544</v>
      </c>
      <c r="Q9" s="1793" t="str">
        <f t="shared" ref="Q9:Q15" si="6">B9</f>
        <v>用途</v>
      </c>
      <c r="R9" s="769" t="s">
        <v>17</v>
      </c>
      <c r="S9" s="770">
        <f t="shared" si="0"/>
        <v>100</v>
      </c>
      <c r="T9" s="769" t="s">
        <v>17</v>
      </c>
      <c r="U9" s="770">
        <f t="shared" si="1"/>
        <v>100</v>
      </c>
      <c r="V9" s="769" t="s">
        <v>17</v>
      </c>
      <c r="W9" s="770">
        <f t="shared" si="2"/>
        <v>100</v>
      </c>
      <c r="X9" s="771"/>
      <c r="Y9" s="3044" t="s">
        <v>2545</v>
      </c>
      <c r="Z9" s="54" t="str">
        <f t="shared" ref="Z9:Z15" si="7">Q9</f>
        <v>用途</v>
      </c>
      <c r="AA9" s="772">
        <f t="shared" si="3"/>
        <v>1</v>
      </c>
      <c r="AB9" s="772">
        <f t="shared" si="4"/>
        <v>1</v>
      </c>
      <c r="AC9" s="2670">
        <f t="shared" si="5"/>
        <v>1</v>
      </c>
    </row>
    <row r="10" spans="1:29" s="426" customFormat="1" ht="27">
      <c r="A10" s="420"/>
      <c r="B10" s="421" t="s">
        <v>2546</v>
      </c>
      <c r="C10" s="422" t="s">
        <v>3087</v>
      </c>
      <c r="D10" s="135">
        <v>100</v>
      </c>
      <c r="E10" s="422" t="s">
        <v>3087</v>
      </c>
      <c r="F10" s="135">
        <f>SUMIF(66:66,E10,67:67)-SUMIF(66:66,C10,67:67)+100</f>
        <v>100</v>
      </c>
      <c r="G10" s="422" t="s">
        <v>3087</v>
      </c>
      <c r="H10" s="135">
        <f>SUMIF(66:66,G10,67:67)-SUMIF(66:66,C10,67:67)+100</f>
        <v>100</v>
      </c>
      <c r="I10" s="422" t="s">
        <v>3087</v>
      </c>
      <c r="J10" s="135">
        <f>SUMIF(66:66,I10,67:67)-SUMIF(66:66,C10,67:67)+100</f>
        <v>100</v>
      </c>
      <c r="K10" s="611">
        <v>1</v>
      </c>
      <c r="L10" s="1135"/>
      <c r="M10" s="1136"/>
      <c r="N10" s="1136"/>
      <c r="O10" s="1136"/>
      <c r="P10" s="3231"/>
      <c r="Q10" s="1793" t="str">
        <f t="shared" si="6"/>
        <v>土地使用年限（年）</v>
      </c>
      <c r="R10" s="769" t="s">
        <v>17</v>
      </c>
      <c r="S10" s="770">
        <f t="shared" si="0"/>
        <v>100</v>
      </c>
      <c r="T10" s="769" t="s">
        <v>17</v>
      </c>
      <c r="U10" s="770">
        <f t="shared" si="1"/>
        <v>100</v>
      </c>
      <c r="V10" s="769" t="s">
        <v>17</v>
      </c>
      <c r="W10" s="770">
        <f t="shared" si="2"/>
        <v>100</v>
      </c>
      <c r="X10" s="771"/>
      <c r="Y10" s="3044"/>
      <c r="Z10" s="54" t="str">
        <f t="shared" si="7"/>
        <v>土地使用年限（年）</v>
      </c>
      <c r="AA10" s="772">
        <f t="shared" si="3"/>
        <v>1</v>
      </c>
      <c r="AB10" s="772">
        <f t="shared" si="4"/>
        <v>1</v>
      </c>
      <c r="AC10" s="2670">
        <f t="shared" si="5"/>
        <v>1</v>
      </c>
    </row>
    <row r="11" spans="1:29" ht="15.75" thickBot="1">
      <c r="A11" s="427"/>
      <c r="B11" s="421" t="s">
        <v>2547</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231"/>
      <c r="Q11" s="1793" t="str">
        <f t="shared" si="6"/>
        <v>容积率</v>
      </c>
      <c r="R11" s="769" t="s">
        <v>17</v>
      </c>
      <c r="S11" s="770">
        <f t="shared" si="0"/>
        <v>100</v>
      </c>
      <c r="T11" s="769" t="s">
        <v>17</v>
      </c>
      <c r="U11" s="770">
        <f t="shared" si="1"/>
        <v>100</v>
      </c>
      <c r="V11" s="769" t="s">
        <v>17</v>
      </c>
      <c r="W11" s="770">
        <f t="shared" si="2"/>
        <v>100</v>
      </c>
      <c r="X11" s="771"/>
      <c r="Y11" s="3044"/>
      <c r="Z11" s="54" t="str">
        <f t="shared" si="7"/>
        <v>容积率</v>
      </c>
      <c r="AA11" s="772">
        <f t="shared" si="3"/>
        <v>1</v>
      </c>
      <c r="AB11" s="772">
        <f t="shared" si="4"/>
        <v>1</v>
      </c>
      <c r="AC11" s="2670">
        <f t="shared" si="5"/>
        <v>1</v>
      </c>
    </row>
    <row r="12" spans="1:29" s="116" customFormat="1" ht="15" hidden="1">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31"/>
      <c r="Q12" s="1793">
        <f t="shared" si="6"/>
        <v>111</v>
      </c>
      <c r="R12" s="769" t="s">
        <v>17</v>
      </c>
      <c r="S12" s="770">
        <f t="shared" si="0"/>
        <v>100</v>
      </c>
      <c r="T12" s="769" t="s">
        <v>17</v>
      </c>
      <c r="U12" s="770">
        <f t="shared" si="1"/>
        <v>100</v>
      </c>
      <c r="V12" s="769" t="s">
        <v>17</v>
      </c>
      <c r="W12" s="770">
        <f t="shared" si="2"/>
        <v>100</v>
      </c>
      <c r="X12" s="771"/>
      <c r="Y12" s="3044"/>
      <c r="Z12" s="54">
        <f t="shared" si="7"/>
        <v>111</v>
      </c>
      <c r="AA12" s="772">
        <f>D12/F12</f>
        <v>1</v>
      </c>
      <c r="AB12" s="772">
        <f>D12/H12</f>
        <v>1</v>
      </c>
      <c r="AC12" s="2670">
        <f>D12/J12</f>
        <v>1</v>
      </c>
    </row>
    <row r="13" spans="1:29" ht="15" hidden="1">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31"/>
      <c r="Q13" s="1793">
        <f t="shared" si="6"/>
        <v>111</v>
      </c>
      <c r="R13" s="769" t="s">
        <v>17</v>
      </c>
      <c r="S13" s="770">
        <f t="shared" si="0"/>
        <v>100</v>
      </c>
      <c r="T13" s="769" t="s">
        <v>17</v>
      </c>
      <c r="U13" s="770">
        <f t="shared" si="1"/>
        <v>100</v>
      </c>
      <c r="V13" s="769" t="s">
        <v>17</v>
      </c>
      <c r="W13" s="770">
        <f t="shared" si="2"/>
        <v>100</v>
      </c>
      <c r="X13" s="771"/>
      <c r="Y13" s="3044"/>
      <c r="Z13" s="54">
        <f t="shared" si="7"/>
        <v>111</v>
      </c>
      <c r="AA13" s="772">
        <f t="shared" si="3"/>
        <v>1</v>
      </c>
      <c r="AB13" s="772">
        <f t="shared" si="4"/>
        <v>1</v>
      </c>
      <c r="AC13" s="2670">
        <f t="shared" si="5"/>
        <v>1</v>
      </c>
    </row>
    <row r="14" spans="1:29" ht="15.75" hidden="1"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31"/>
      <c r="Q14" s="1793">
        <f t="shared" si="6"/>
        <v>111</v>
      </c>
      <c r="R14" s="769" t="s">
        <v>17</v>
      </c>
      <c r="S14" s="770">
        <f t="shared" si="0"/>
        <v>100</v>
      </c>
      <c r="T14" s="769" t="s">
        <v>17</v>
      </c>
      <c r="U14" s="770">
        <f t="shared" si="1"/>
        <v>100</v>
      </c>
      <c r="V14" s="769" t="s">
        <v>17</v>
      </c>
      <c r="W14" s="770">
        <f t="shared" si="2"/>
        <v>100</v>
      </c>
      <c r="X14" s="771"/>
      <c r="Y14" s="3044"/>
      <c r="Z14" s="54">
        <f t="shared" si="7"/>
        <v>111</v>
      </c>
      <c r="AA14" s="772">
        <f t="shared" si="3"/>
        <v>1</v>
      </c>
      <c r="AB14" s="772">
        <f t="shared" si="4"/>
        <v>1</v>
      </c>
      <c r="AC14" s="2670">
        <f t="shared" si="5"/>
        <v>1</v>
      </c>
    </row>
    <row r="15" spans="1:29" ht="24.75" customHeight="1">
      <c r="A15" s="439" t="s">
        <v>2548</v>
      </c>
      <c r="B15" s="628" t="s">
        <v>2676</v>
      </c>
      <c r="C15" s="2672" t="str">
        <f>估价对象房地状况!C5</f>
        <v>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58" t="s">
        <v>2549</v>
      </c>
      <c r="Q15" s="1808" t="str">
        <f t="shared" si="6"/>
        <v>办公集聚程度</v>
      </c>
      <c r="R15" s="773" t="s">
        <v>17</v>
      </c>
      <c r="S15" s="774">
        <f t="shared" si="0"/>
        <v>100</v>
      </c>
      <c r="T15" s="773" t="s">
        <v>17</v>
      </c>
      <c r="U15" s="774">
        <f t="shared" si="1"/>
        <v>100</v>
      </c>
      <c r="V15" s="773" t="s">
        <v>17</v>
      </c>
      <c r="W15" s="774">
        <f t="shared" si="2"/>
        <v>100</v>
      </c>
      <c r="X15" s="1811"/>
      <c r="Y15" s="3251" t="s">
        <v>2549</v>
      </c>
      <c r="Z15" s="1812" t="str">
        <f t="shared" si="7"/>
        <v>办公集聚程度</v>
      </c>
      <c r="AA15" s="1809">
        <f t="shared" si="3"/>
        <v>1</v>
      </c>
      <c r="AB15" s="1809">
        <f t="shared" si="4"/>
        <v>1</v>
      </c>
      <c r="AC15" s="2673">
        <f t="shared" si="5"/>
        <v>1</v>
      </c>
    </row>
    <row r="16" spans="1:29" ht="15">
      <c r="A16" s="427"/>
      <c r="B16" s="629"/>
      <c r="C16" s="2610" t="s">
        <v>3080</v>
      </c>
      <c r="D16" s="447"/>
      <c r="E16" s="446" t="s">
        <v>3080</v>
      </c>
      <c r="F16" s="447"/>
      <c r="G16" s="2610" t="s">
        <v>3080</v>
      </c>
      <c r="H16" s="449"/>
      <c r="I16" s="446" t="s">
        <v>3080</v>
      </c>
      <c r="J16" s="447"/>
      <c r="K16" s="614"/>
      <c r="L16" s="1140"/>
      <c r="M16" s="1131"/>
      <c r="N16" s="1131"/>
      <c r="O16" s="1131"/>
      <c r="P16" s="3259"/>
      <c r="Q16" s="1808"/>
      <c r="R16" s="773"/>
      <c r="S16" s="774"/>
      <c r="T16" s="773"/>
      <c r="U16" s="774"/>
      <c r="V16" s="773"/>
      <c r="W16" s="774"/>
      <c r="X16" s="1811"/>
      <c r="Y16" s="3252"/>
      <c r="Z16" s="1812"/>
      <c r="AA16" s="1809">
        <v>1</v>
      </c>
      <c r="AB16" s="1809">
        <v>1</v>
      </c>
      <c r="AC16" s="2673">
        <v>1</v>
      </c>
    </row>
    <row r="17" spans="1:29" ht="21.75" customHeight="1">
      <c r="A17" s="427"/>
      <c r="B17" s="630" t="s">
        <v>2091</v>
      </c>
      <c r="C17" s="2674" t="str">
        <f>估价对象房地状况!C6</f>
        <v>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59"/>
      <c r="Q17" s="1808" t="str">
        <f>B17</f>
        <v>交通便捷度</v>
      </c>
      <c r="R17" s="773" t="s">
        <v>17</v>
      </c>
      <c r="S17" s="774">
        <f>F17</f>
        <v>100</v>
      </c>
      <c r="T17" s="773" t="s">
        <v>17</v>
      </c>
      <c r="U17" s="774">
        <f>H17</f>
        <v>100</v>
      </c>
      <c r="V17" s="773" t="s">
        <v>17</v>
      </c>
      <c r="W17" s="774">
        <f>J17</f>
        <v>100</v>
      </c>
      <c r="X17" s="1811"/>
      <c r="Y17" s="3252"/>
      <c r="Z17" s="1812" t="str">
        <f>Q17</f>
        <v>交通便捷度</v>
      </c>
      <c r="AA17" s="1809">
        <f t="shared" si="3"/>
        <v>1</v>
      </c>
      <c r="AB17" s="1809">
        <f t="shared" si="4"/>
        <v>1</v>
      </c>
      <c r="AC17" s="2673">
        <f t="shared" si="5"/>
        <v>1</v>
      </c>
    </row>
    <row r="18" spans="1:29" ht="15">
      <c r="A18" s="427"/>
      <c r="B18" s="631"/>
      <c r="C18" s="2675" t="s">
        <v>3080</v>
      </c>
      <c r="D18" s="449"/>
      <c r="E18" s="2608" t="s">
        <v>3080</v>
      </c>
      <c r="F18" s="449"/>
      <c r="G18" s="2609" t="s">
        <v>3080</v>
      </c>
      <c r="H18" s="447"/>
      <c r="I18" s="2609" t="s">
        <v>3080</v>
      </c>
      <c r="J18" s="447"/>
      <c r="K18" s="614"/>
      <c r="L18" s="1140"/>
      <c r="M18" s="1131"/>
      <c r="N18" s="1131"/>
      <c r="O18" s="1131"/>
      <c r="P18" s="3259"/>
      <c r="Q18" s="1808"/>
      <c r="R18" s="773"/>
      <c r="S18" s="774"/>
      <c r="T18" s="773"/>
      <c r="U18" s="774"/>
      <c r="V18" s="773"/>
      <c r="W18" s="774"/>
      <c r="X18" s="1811"/>
      <c r="Y18" s="3252"/>
      <c r="Z18" s="1812"/>
      <c r="AA18" s="1809">
        <v>1</v>
      </c>
      <c r="AB18" s="1809">
        <v>1</v>
      </c>
      <c r="AC18" s="2673">
        <v>1</v>
      </c>
    </row>
    <row r="19" spans="1:29" ht="16.5" customHeight="1">
      <c r="A19" s="427"/>
      <c r="B19" s="630" t="s">
        <v>2677</v>
      </c>
      <c r="C19" s="2674"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59"/>
      <c r="Q19" s="1808" t="str">
        <f>B19</f>
        <v>公共配套设施</v>
      </c>
      <c r="R19" s="773" t="s">
        <v>17</v>
      </c>
      <c r="S19" s="774">
        <f>F19</f>
        <v>100</v>
      </c>
      <c r="T19" s="773" t="s">
        <v>17</v>
      </c>
      <c r="U19" s="774">
        <f>H19</f>
        <v>100</v>
      </c>
      <c r="V19" s="773" t="s">
        <v>17</v>
      </c>
      <c r="W19" s="774">
        <f>J19</f>
        <v>100</v>
      </c>
      <c r="X19" s="1811"/>
      <c r="Y19" s="3252"/>
      <c r="Z19" s="1812" t="str">
        <f>Q19</f>
        <v>公共配套设施</v>
      </c>
      <c r="AA19" s="1809">
        <f t="shared" si="3"/>
        <v>1</v>
      </c>
      <c r="AB19" s="1809">
        <f t="shared" si="4"/>
        <v>1</v>
      </c>
      <c r="AC19" s="2673">
        <f t="shared" si="5"/>
        <v>1</v>
      </c>
    </row>
    <row r="20" spans="1:29" ht="15">
      <c r="A20" s="427"/>
      <c r="B20" s="631"/>
      <c r="C20" s="2610" t="s">
        <v>3078</v>
      </c>
      <c r="D20" s="447"/>
      <c r="E20" s="2603" t="s">
        <v>3078</v>
      </c>
      <c r="F20" s="447"/>
      <c r="G20" s="2604" t="s">
        <v>3078</v>
      </c>
      <c r="H20" s="447"/>
      <c r="I20" s="2604" t="s">
        <v>3078</v>
      </c>
      <c r="J20" s="447"/>
      <c r="K20" s="614"/>
      <c r="L20" s="1140"/>
      <c r="M20" s="1131"/>
      <c r="N20" s="1131"/>
      <c r="O20" s="1131"/>
      <c r="P20" s="3259"/>
      <c r="Q20" s="1808"/>
      <c r="R20" s="773"/>
      <c r="S20" s="774"/>
      <c r="T20" s="773"/>
      <c r="U20" s="774"/>
      <c r="V20" s="773"/>
      <c r="W20" s="774"/>
      <c r="X20" s="1811"/>
      <c r="Y20" s="3252"/>
      <c r="Z20" s="1812"/>
      <c r="AA20" s="1809">
        <v>1</v>
      </c>
      <c r="AB20" s="1809">
        <v>1</v>
      </c>
      <c r="AC20" s="2673">
        <v>1</v>
      </c>
    </row>
    <row r="21" spans="1:29" ht="15">
      <c r="A21" s="427"/>
      <c r="B21" s="632" t="s">
        <v>2678</v>
      </c>
      <c r="C21" s="2674"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59"/>
      <c r="Q21" s="1808" t="str">
        <f>B21</f>
        <v>基础设施水平</v>
      </c>
      <c r="R21" s="773" t="s">
        <v>17</v>
      </c>
      <c r="S21" s="774">
        <f>F21</f>
        <v>100</v>
      </c>
      <c r="T21" s="773" t="s">
        <v>17</v>
      </c>
      <c r="U21" s="774">
        <f>H21</f>
        <v>100</v>
      </c>
      <c r="V21" s="773" t="s">
        <v>17</v>
      </c>
      <c r="W21" s="774">
        <f>J21</f>
        <v>100</v>
      </c>
      <c r="X21" s="1811"/>
      <c r="Y21" s="3252"/>
      <c r="Z21" s="1812" t="str">
        <f>Q21</f>
        <v>基础设施水平</v>
      </c>
      <c r="AA21" s="1809">
        <f t="shared" ref="AA21" si="8">D21/F21</f>
        <v>1</v>
      </c>
      <c r="AB21" s="1809">
        <f t="shared" ref="AB21" si="9">D21/H21</f>
        <v>1</v>
      </c>
      <c r="AC21" s="2673">
        <f t="shared" ref="AC21" si="10">D21/J21</f>
        <v>1</v>
      </c>
    </row>
    <row r="22" spans="1:29" ht="15">
      <c r="A22" s="427"/>
      <c r="B22" s="632"/>
      <c r="C22" s="2675" t="s">
        <v>3088</v>
      </c>
      <c r="D22" s="447"/>
      <c r="E22" s="446" t="s">
        <v>3088</v>
      </c>
      <c r="F22" s="447"/>
      <c r="G22" s="2610" t="s">
        <v>3088</v>
      </c>
      <c r="H22" s="447"/>
      <c r="I22" s="2610" t="s">
        <v>3088</v>
      </c>
      <c r="J22" s="447"/>
      <c r="K22" s="1383"/>
      <c r="L22" s="1140"/>
      <c r="M22" s="1131"/>
      <c r="N22" s="1131"/>
      <c r="O22" s="1131"/>
      <c r="P22" s="3259"/>
      <c r="Q22" s="1808"/>
      <c r="R22" s="773"/>
      <c r="S22" s="774"/>
      <c r="T22" s="773"/>
      <c r="U22" s="774"/>
      <c r="V22" s="773"/>
      <c r="W22" s="774"/>
      <c r="X22" s="1811"/>
      <c r="Y22" s="3252"/>
      <c r="Z22" s="1812"/>
      <c r="AA22" s="1809">
        <v>1</v>
      </c>
      <c r="AB22" s="1809">
        <v>1</v>
      </c>
      <c r="AC22" s="2673">
        <v>1</v>
      </c>
    </row>
    <row r="23" spans="1:29" ht="21" customHeight="1">
      <c r="A23" s="427"/>
      <c r="B23" s="630" t="s">
        <v>2679</v>
      </c>
      <c r="C23" s="2674"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59"/>
      <c r="Q23" s="1808" t="str">
        <f>B23</f>
        <v>环境质量</v>
      </c>
      <c r="R23" s="773" t="s">
        <v>17</v>
      </c>
      <c r="S23" s="774">
        <f>F23</f>
        <v>100</v>
      </c>
      <c r="T23" s="773" t="s">
        <v>17</v>
      </c>
      <c r="U23" s="774">
        <f>H23</f>
        <v>100</v>
      </c>
      <c r="V23" s="773" t="s">
        <v>17</v>
      </c>
      <c r="W23" s="774">
        <f>J23</f>
        <v>100</v>
      </c>
      <c r="X23" s="1811"/>
      <c r="Y23" s="3252"/>
      <c r="Z23" s="1812" t="str">
        <f>Q23</f>
        <v>环境质量</v>
      </c>
      <c r="AA23" s="1809">
        <f t="shared" si="3"/>
        <v>1</v>
      </c>
      <c r="AB23" s="1809">
        <f t="shared" si="4"/>
        <v>1</v>
      </c>
      <c r="AC23" s="2673">
        <f t="shared" si="5"/>
        <v>1</v>
      </c>
    </row>
    <row r="24" spans="1:29" ht="15">
      <c r="A24" s="427"/>
      <c r="B24" s="632"/>
      <c r="C24" s="2610" t="s">
        <v>3078</v>
      </c>
      <c r="D24" s="447"/>
      <c r="E24" s="2603" t="s">
        <v>3078</v>
      </c>
      <c r="F24" s="447"/>
      <c r="G24" s="2604" t="s">
        <v>3078</v>
      </c>
      <c r="H24" s="447"/>
      <c r="I24" s="2604" t="s">
        <v>3078</v>
      </c>
      <c r="J24" s="447"/>
      <c r="K24" s="614"/>
      <c r="L24" s="1140"/>
      <c r="M24" s="1131"/>
      <c r="N24" s="1131"/>
      <c r="O24" s="1131"/>
      <c r="P24" s="3259"/>
      <c r="Q24" s="1808"/>
      <c r="R24" s="773"/>
      <c r="S24" s="774"/>
      <c r="T24" s="773"/>
      <c r="U24" s="774"/>
      <c r="V24" s="773"/>
      <c r="W24" s="774"/>
      <c r="X24" s="1811"/>
      <c r="Y24" s="3252"/>
      <c r="Z24" s="1812"/>
      <c r="AA24" s="1809">
        <v>1</v>
      </c>
      <c r="AB24" s="1809">
        <v>1</v>
      </c>
      <c r="AC24" s="2673">
        <v>1</v>
      </c>
    </row>
    <row r="25" spans="1:29" ht="27.75">
      <c r="A25" s="403"/>
      <c r="B25" s="630" t="s">
        <v>2680</v>
      </c>
      <c r="C25" s="2614" t="s">
        <v>3125</v>
      </c>
      <c r="D25" s="434">
        <v>100</v>
      </c>
      <c r="E25" s="2614" t="s">
        <v>3125</v>
      </c>
      <c r="F25" s="434">
        <f>SUMIF(87:87,E26,88:88)-SUMIF(87:87,C26,88:88)+100</f>
        <v>100</v>
      </c>
      <c r="G25" s="2614" t="s">
        <v>3125</v>
      </c>
      <c r="H25" s="434">
        <f>SUMIF(87:87,G26,88:88)-SUMIF(87:87,C26,88:88)+100</f>
        <v>100</v>
      </c>
      <c r="I25" s="2614" t="s">
        <v>3134</v>
      </c>
      <c r="J25" s="434">
        <f>SUMIF(87:87,I26,88:88)-SUMIF(87:87,C26,88:88)+100</f>
        <v>100</v>
      </c>
      <c r="K25" s="613">
        <v>2</v>
      </c>
      <c r="L25" s="1140"/>
      <c r="M25" s="1131"/>
      <c r="N25" s="1131"/>
      <c r="O25" s="1131"/>
      <c r="P25" s="3259"/>
      <c r="Q25" s="1808" t="str">
        <f>B25</f>
        <v>毗邻道路的类型与等级</v>
      </c>
      <c r="R25" s="773" t="s">
        <v>17</v>
      </c>
      <c r="S25" s="774">
        <f>F25</f>
        <v>100</v>
      </c>
      <c r="T25" s="773" t="s">
        <v>17</v>
      </c>
      <c r="U25" s="774">
        <f>H25</f>
        <v>100</v>
      </c>
      <c r="V25" s="773" t="s">
        <v>17</v>
      </c>
      <c r="W25" s="774">
        <f>J25</f>
        <v>100</v>
      </c>
      <c r="X25" s="1811"/>
      <c r="Y25" s="3252"/>
      <c r="Z25" s="1812" t="str">
        <f>Q25</f>
        <v>毗邻道路的类型与等级</v>
      </c>
      <c r="AA25" s="1809">
        <f t="shared" si="3"/>
        <v>1</v>
      </c>
      <c r="AB25" s="1809">
        <f t="shared" si="4"/>
        <v>1</v>
      </c>
      <c r="AC25" s="2673">
        <f t="shared" si="5"/>
        <v>1</v>
      </c>
    </row>
    <row r="26" spans="1:29" ht="15">
      <c r="A26" s="403"/>
      <c r="B26" s="631"/>
      <c r="C26" s="633" t="s">
        <v>3089</v>
      </c>
      <c r="D26" s="434"/>
      <c r="E26" s="615" t="s">
        <v>3089</v>
      </c>
      <c r="F26" s="434"/>
      <c r="G26" s="633" t="s">
        <v>3089</v>
      </c>
      <c r="H26" s="434"/>
      <c r="I26" s="615" t="s">
        <v>3089</v>
      </c>
      <c r="J26" s="434"/>
      <c r="K26" s="614"/>
      <c r="L26" s="1140"/>
      <c r="M26" s="1131"/>
      <c r="N26" s="1131"/>
      <c r="O26" s="1131"/>
      <c r="P26" s="3259"/>
      <c r="Q26" s="1808"/>
      <c r="R26" s="773"/>
      <c r="S26" s="774"/>
      <c r="T26" s="773"/>
      <c r="U26" s="774"/>
      <c r="V26" s="773"/>
      <c r="W26" s="774"/>
      <c r="X26" s="1811"/>
      <c r="Y26" s="3252"/>
      <c r="Z26" s="1812"/>
      <c r="AA26" s="1809">
        <v>1</v>
      </c>
      <c r="AB26" s="1809">
        <v>1</v>
      </c>
      <c r="AC26" s="2673">
        <v>1</v>
      </c>
    </row>
    <row r="27" spans="1:29" ht="15">
      <c r="A27" s="427"/>
      <c r="B27" s="631" t="s">
        <v>2648</v>
      </c>
      <c r="C27" s="633" t="s">
        <v>3114</v>
      </c>
      <c r="D27" s="434">
        <v>100</v>
      </c>
      <c r="E27" s="615" t="s">
        <v>3114</v>
      </c>
      <c r="F27" s="434">
        <f>SUMIF(89:89,E27,90:90)-SUMIF(89:89,C27,90:90)+100</f>
        <v>100</v>
      </c>
      <c r="G27" s="633" t="s">
        <v>3090</v>
      </c>
      <c r="H27" s="434">
        <f>SUMIF(89:89,G27,90:90)-SUMIF(89:89,C27,90:90)+100</f>
        <v>102</v>
      </c>
      <c r="I27" s="615" t="s">
        <v>3130</v>
      </c>
      <c r="J27" s="434">
        <f>SUMIF(89:89,I27,90:90)-SUMIF(89:89,C27,90:90)+100</f>
        <v>104</v>
      </c>
      <c r="K27" s="611">
        <v>2</v>
      </c>
      <c r="L27" s="1140"/>
      <c r="M27" s="1131"/>
      <c r="N27" s="1131"/>
      <c r="O27" s="1131"/>
      <c r="P27" s="3259"/>
      <c r="Q27" s="1808" t="str">
        <f t="shared" ref="Q27:Q47" si="11">B27</f>
        <v>楼层</v>
      </c>
      <c r="R27" s="773" t="s">
        <v>17</v>
      </c>
      <c r="S27" s="774">
        <f>F27</f>
        <v>100</v>
      </c>
      <c r="T27" s="773" t="s">
        <v>17</v>
      </c>
      <c r="U27" s="774">
        <f>H27</f>
        <v>102</v>
      </c>
      <c r="V27" s="773" t="s">
        <v>17</v>
      </c>
      <c r="W27" s="774">
        <f>J27</f>
        <v>104</v>
      </c>
      <c r="X27" s="1811"/>
      <c r="Y27" s="3252"/>
      <c r="Z27" s="1812" t="str">
        <f>Q27</f>
        <v>楼层</v>
      </c>
      <c r="AA27" s="1809">
        <f t="shared" si="3"/>
        <v>1</v>
      </c>
      <c r="AB27" s="1809">
        <f t="shared" si="4"/>
        <v>0.98039215686274506</v>
      </c>
      <c r="AC27" s="2673">
        <f t="shared" si="5"/>
        <v>0.96153846153846156</v>
      </c>
    </row>
    <row r="28" spans="1:29" s="116" customFormat="1" ht="15.75" thickBot="1">
      <c r="A28" s="430"/>
      <c r="B28" s="630" t="s">
        <v>2681</v>
      </c>
      <c r="C28" s="2676"/>
      <c r="D28" s="461">
        <v>100</v>
      </c>
      <c r="E28" s="2664"/>
      <c r="F28" s="461">
        <f>SUMIF(91:91,E28,92:92)-SUMIF(91:91,C28,92:92)+100</f>
        <v>100</v>
      </c>
      <c r="G28" s="2676"/>
      <c r="H28" s="461">
        <f>SUMIF(91:91,G28,92:92)-SUMIF(91:91,C28,92:92)+100</f>
        <v>100</v>
      </c>
      <c r="I28" s="2664"/>
      <c r="J28" s="461">
        <f>SUMIF(91:91,I28,92:92)-SUMIF(91:91,C28,92:92)+100</f>
        <v>100</v>
      </c>
      <c r="K28" s="611"/>
      <c r="L28" s="1132"/>
      <c r="M28" s="1133"/>
      <c r="N28" s="1133"/>
      <c r="O28" s="1133"/>
      <c r="P28" s="3259"/>
      <c r="Q28" s="1793" t="str">
        <f t="shared" si="11"/>
        <v>朝向</v>
      </c>
      <c r="R28" s="769" t="s">
        <v>17</v>
      </c>
      <c r="S28" s="770">
        <f>F28</f>
        <v>100</v>
      </c>
      <c r="T28" s="769" t="s">
        <v>17</v>
      </c>
      <c r="U28" s="770">
        <f>H28</f>
        <v>100</v>
      </c>
      <c r="V28" s="769" t="s">
        <v>17</v>
      </c>
      <c r="W28" s="770">
        <f>J28</f>
        <v>100</v>
      </c>
      <c r="X28" s="771"/>
      <c r="Y28" s="3252"/>
      <c r="Z28" s="54" t="str">
        <f>Q28</f>
        <v>朝向</v>
      </c>
      <c r="AA28" s="1809">
        <f>D28/F28</f>
        <v>1</v>
      </c>
      <c r="AB28" s="1809">
        <f>D28/H28</f>
        <v>1</v>
      </c>
      <c r="AC28" s="2673">
        <f>D28/J28</f>
        <v>1</v>
      </c>
    </row>
    <row r="29" spans="1:29" ht="15" hidden="1">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59"/>
      <c r="Q29" s="1808">
        <f t="shared" si="11"/>
        <v>111</v>
      </c>
      <c r="R29" s="773" t="s">
        <v>17</v>
      </c>
      <c r="S29" s="774">
        <f t="shared" ref="S29:S47" si="12">F29</f>
        <v>100</v>
      </c>
      <c r="T29" s="773" t="s">
        <v>17</v>
      </c>
      <c r="U29" s="774">
        <f t="shared" ref="U29:U47" si="13">H29</f>
        <v>100</v>
      </c>
      <c r="V29" s="773" t="s">
        <v>17</v>
      </c>
      <c r="W29" s="774">
        <f t="shared" ref="W29:W47" si="14">J29</f>
        <v>100</v>
      </c>
      <c r="X29" s="1811"/>
      <c r="Y29" s="3252"/>
      <c r="Z29" s="1812">
        <f t="shared" ref="Z29:Z47" si="15">Q29</f>
        <v>111</v>
      </c>
      <c r="AA29" s="1809">
        <f t="shared" si="3"/>
        <v>1</v>
      </c>
      <c r="AB29" s="1809">
        <f t="shared" si="4"/>
        <v>1</v>
      </c>
      <c r="AC29" s="2673">
        <f t="shared" si="5"/>
        <v>1</v>
      </c>
    </row>
    <row r="30" spans="1:29" ht="15" hidden="1">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59"/>
      <c r="Q30" s="1808">
        <f t="shared" si="11"/>
        <v>111</v>
      </c>
      <c r="R30" s="773" t="s">
        <v>17</v>
      </c>
      <c r="S30" s="774">
        <f t="shared" si="12"/>
        <v>100</v>
      </c>
      <c r="T30" s="773" t="s">
        <v>17</v>
      </c>
      <c r="U30" s="774">
        <f t="shared" si="13"/>
        <v>100</v>
      </c>
      <c r="V30" s="773" t="s">
        <v>17</v>
      </c>
      <c r="W30" s="774">
        <f t="shared" si="14"/>
        <v>100</v>
      </c>
      <c r="X30" s="1811"/>
      <c r="Y30" s="3252"/>
      <c r="Z30" s="1812">
        <f t="shared" si="15"/>
        <v>111</v>
      </c>
      <c r="AA30" s="1809">
        <f t="shared" si="3"/>
        <v>1</v>
      </c>
      <c r="AB30" s="1809">
        <f t="shared" si="4"/>
        <v>1</v>
      </c>
      <c r="AC30" s="2673">
        <f t="shared" si="5"/>
        <v>1</v>
      </c>
    </row>
    <row r="31" spans="1:29" ht="15" hidden="1">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59"/>
      <c r="Q31" s="1808">
        <f t="shared" si="11"/>
        <v>111</v>
      </c>
      <c r="R31" s="773" t="s">
        <v>17</v>
      </c>
      <c r="S31" s="774">
        <f t="shared" si="12"/>
        <v>100</v>
      </c>
      <c r="T31" s="773" t="s">
        <v>17</v>
      </c>
      <c r="U31" s="774">
        <f t="shared" si="13"/>
        <v>100</v>
      </c>
      <c r="V31" s="773" t="s">
        <v>17</v>
      </c>
      <c r="W31" s="774">
        <f t="shared" si="14"/>
        <v>100</v>
      </c>
      <c r="X31" s="1811"/>
      <c r="Y31" s="3252"/>
      <c r="Z31" s="1812">
        <f t="shared" si="15"/>
        <v>111</v>
      </c>
      <c r="AA31" s="1809">
        <f t="shared" si="3"/>
        <v>1</v>
      </c>
      <c r="AB31" s="1809">
        <f t="shared" si="4"/>
        <v>1</v>
      </c>
      <c r="AC31" s="2673">
        <f t="shared" si="5"/>
        <v>1</v>
      </c>
    </row>
    <row r="32" spans="1:29" ht="15.75" hidden="1"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59"/>
      <c r="Q32" s="1808">
        <f t="shared" si="11"/>
        <v>111</v>
      </c>
      <c r="R32" s="773" t="s">
        <v>17</v>
      </c>
      <c r="S32" s="774">
        <f t="shared" si="12"/>
        <v>100</v>
      </c>
      <c r="T32" s="773" t="s">
        <v>17</v>
      </c>
      <c r="U32" s="774">
        <f t="shared" si="13"/>
        <v>100</v>
      </c>
      <c r="V32" s="773" t="s">
        <v>17</v>
      </c>
      <c r="W32" s="774">
        <f t="shared" si="14"/>
        <v>100</v>
      </c>
      <c r="X32" s="1811"/>
      <c r="Y32" s="3252"/>
      <c r="Z32" s="1812">
        <f t="shared" si="15"/>
        <v>111</v>
      </c>
      <c r="AA32" s="1809">
        <f t="shared" si="3"/>
        <v>1</v>
      </c>
      <c r="AB32" s="1809">
        <f t="shared" si="4"/>
        <v>1</v>
      </c>
      <c r="AC32" s="2673">
        <f t="shared" si="5"/>
        <v>1</v>
      </c>
    </row>
    <row r="33" spans="1:29" ht="15">
      <c r="A33" s="439" t="s">
        <v>2552</v>
      </c>
      <c r="B33" s="70" t="s">
        <v>2682</v>
      </c>
      <c r="C33" s="2678" t="s">
        <v>3091</v>
      </c>
      <c r="D33" s="466">
        <v>100</v>
      </c>
      <c r="E33" s="2678" t="s">
        <v>3091</v>
      </c>
      <c r="F33" s="460">
        <f>SUMIF(101:101,E33,102:102)-SUMIF(101:101,C33,102:102)+100</f>
        <v>100</v>
      </c>
      <c r="G33" s="2678" t="s">
        <v>3091</v>
      </c>
      <c r="H33" s="434">
        <f>SUMIF(101:101,G33,102:102)-SUMIF(101:101,C33,102:102)+100</f>
        <v>100</v>
      </c>
      <c r="I33" s="2678" t="s">
        <v>3091</v>
      </c>
      <c r="J33" s="466">
        <f>SUMIF(101:101,I33,102:102)-SUMIF(101:101,C33,102:102)+100</f>
        <v>100</v>
      </c>
      <c r="K33" s="611">
        <v>2</v>
      </c>
      <c r="L33" s="1140"/>
      <c r="M33" s="1131"/>
      <c r="N33" s="1131"/>
      <c r="O33" s="1131"/>
      <c r="P33" s="3253" t="s">
        <v>2554</v>
      </c>
      <c r="Q33" s="1808" t="str">
        <f t="shared" si="11"/>
        <v>建筑类型</v>
      </c>
      <c r="R33" s="773" t="s">
        <v>17</v>
      </c>
      <c r="S33" s="774">
        <f t="shared" si="12"/>
        <v>100</v>
      </c>
      <c r="T33" s="773" t="s">
        <v>17</v>
      </c>
      <c r="U33" s="774">
        <f t="shared" si="13"/>
        <v>100</v>
      </c>
      <c r="V33" s="773" t="s">
        <v>17</v>
      </c>
      <c r="W33" s="774">
        <f t="shared" si="14"/>
        <v>100</v>
      </c>
      <c r="X33" s="1811"/>
      <c r="Y33" s="3256" t="s">
        <v>2554</v>
      </c>
      <c r="Z33" s="1812" t="str">
        <f t="shared" si="15"/>
        <v>建筑类型</v>
      </c>
      <c r="AA33" s="1809">
        <f t="shared" si="3"/>
        <v>1</v>
      </c>
      <c r="AB33" s="1809">
        <f t="shared" si="4"/>
        <v>1</v>
      </c>
      <c r="AC33" s="2673">
        <f t="shared" si="5"/>
        <v>1</v>
      </c>
    </row>
    <row r="34" spans="1:29" s="470" customFormat="1" ht="15">
      <c r="A34" s="467"/>
      <c r="B34" s="421" t="s">
        <v>2555</v>
      </c>
      <c r="C34" s="468">
        <f>'数据-汇总表'!E19</f>
        <v>8276.64</v>
      </c>
      <c r="D34" s="135">
        <v>100</v>
      </c>
      <c r="E34" s="429">
        <v>1500</v>
      </c>
      <c r="F34" s="424">
        <f>LOOKUP(E34,104:104,105:105)-LOOKUP(C34,104:104,105:105)+100</f>
        <v>108</v>
      </c>
      <c r="G34" s="429">
        <v>1200</v>
      </c>
      <c r="H34" s="135">
        <f>LOOKUP(G34,104:104,105:105)-LOOKUP(C34,104:104,105:105)+100</f>
        <v>108</v>
      </c>
      <c r="I34" s="428">
        <v>1800</v>
      </c>
      <c r="J34" s="135">
        <f>LOOKUP(I34,104:104,105:105)-LOOKUP(C34,104:104,105:105)+100</f>
        <v>108</v>
      </c>
      <c r="K34" s="612"/>
      <c r="L34" s="1138"/>
      <c r="M34" s="1141"/>
      <c r="N34" s="1141"/>
      <c r="O34" s="1141"/>
      <c r="P34" s="3254"/>
      <c r="Q34" s="775" t="str">
        <f t="shared" si="11"/>
        <v>项目建筑规模</v>
      </c>
      <c r="R34" s="776" t="s">
        <v>17</v>
      </c>
      <c r="S34" s="777">
        <f t="shared" si="12"/>
        <v>108</v>
      </c>
      <c r="T34" s="776" t="s">
        <v>17</v>
      </c>
      <c r="U34" s="777">
        <f t="shared" si="13"/>
        <v>108</v>
      </c>
      <c r="V34" s="776" t="s">
        <v>17</v>
      </c>
      <c r="W34" s="777">
        <f t="shared" si="14"/>
        <v>108</v>
      </c>
      <c r="X34" s="778"/>
      <c r="Y34" s="3256"/>
      <c r="Z34" s="779" t="str">
        <f t="shared" si="15"/>
        <v>项目建筑规模</v>
      </c>
      <c r="AA34" s="1809">
        <f t="shared" si="3"/>
        <v>0.92592592592592593</v>
      </c>
      <c r="AB34" s="1809">
        <f t="shared" si="4"/>
        <v>0.92592592592592593</v>
      </c>
      <c r="AC34" s="2673">
        <f t="shared" si="5"/>
        <v>0.92592592592592593</v>
      </c>
    </row>
    <row r="35" spans="1:29" ht="15">
      <c r="A35" s="471"/>
      <c r="B35" s="421" t="s">
        <v>2556</v>
      </c>
      <c r="C35" s="459" t="s">
        <v>3085</v>
      </c>
      <c r="D35" s="434">
        <v>100</v>
      </c>
      <c r="E35" s="459" t="s">
        <v>3085</v>
      </c>
      <c r="F35" s="460">
        <f>SUMIF(106:106,E35,107:107)-SUMIF(106:106,C35,107:107)+100</f>
        <v>100</v>
      </c>
      <c r="G35" s="459" t="s">
        <v>3085</v>
      </c>
      <c r="H35" s="434">
        <f>SUMIF(106:106,G35,107:107)-SUMIF(106:106,C35,107:107)+100</f>
        <v>100</v>
      </c>
      <c r="I35" s="459" t="s">
        <v>3085</v>
      </c>
      <c r="J35" s="434">
        <f>SUMIF(106:106,I35,107:107)-SUMIF(106:106,C35,107:107)+100</f>
        <v>100</v>
      </c>
      <c r="K35" s="611">
        <v>3</v>
      </c>
      <c r="L35" s="1140"/>
      <c r="M35" s="1131"/>
      <c r="N35" s="1131"/>
      <c r="O35" s="1131"/>
      <c r="P35" s="3254"/>
      <c r="Q35" s="1808" t="str">
        <f t="shared" si="11"/>
        <v>建筑结构</v>
      </c>
      <c r="R35" s="773" t="s">
        <v>17</v>
      </c>
      <c r="S35" s="774">
        <f t="shared" si="12"/>
        <v>100</v>
      </c>
      <c r="T35" s="773" t="s">
        <v>17</v>
      </c>
      <c r="U35" s="774">
        <f t="shared" si="13"/>
        <v>100</v>
      </c>
      <c r="V35" s="773" t="s">
        <v>17</v>
      </c>
      <c r="W35" s="774">
        <f t="shared" si="14"/>
        <v>100</v>
      </c>
      <c r="X35" s="1811"/>
      <c r="Y35" s="3256"/>
      <c r="Z35" s="1812" t="str">
        <f t="shared" si="15"/>
        <v>建筑结构</v>
      </c>
      <c r="AA35" s="1809">
        <f t="shared" si="3"/>
        <v>1</v>
      </c>
      <c r="AB35" s="1809">
        <f t="shared" si="4"/>
        <v>1</v>
      </c>
      <c r="AC35" s="2673">
        <f t="shared" si="5"/>
        <v>1</v>
      </c>
    </row>
    <row r="36" spans="1:29" ht="15">
      <c r="A36" s="471"/>
      <c r="B36" s="421" t="s">
        <v>2650</v>
      </c>
      <c r="C36" s="459" t="s">
        <v>3126</v>
      </c>
      <c r="D36" s="434">
        <v>100</v>
      </c>
      <c r="E36" s="459" t="s">
        <v>3126</v>
      </c>
      <c r="F36" s="460">
        <f>SUMIF(108:108,E36,109:109)-SUMIF(108:108,C36,109:109)+100</f>
        <v>100</v>
      </c>
      <c r="G36" s="459" t="s">
        <v>3126</v>
      </c>
      <c r="H36" s="434">
        <f>SUMIF(108:108,G36,109:109)-SUMIF(108:108,C36,109:109)+100</f>
        <v>100</v>
      </c>
      <c r="I36" s="459" t="s">
        <v>3092</v>
      </c>
      <c r="J36" s="434">
        <f>SUMIF(108:108,I36,109:109)-SUMIF(108:108,C36,109:109)+100</f>
        <v>102</v>
      </c>
      <c r="K36" s="611">
        <v>2</v>
      </c>
      <c r="L36" s="1140"/>
      <c r="M36" s="1131"/>
      <c r="N36" s="1131"/>
      <c r="O36" s="1131"/>
      <c r="P36" s="3254"/>
      <c r="Q36" s="1808" t="str">
        <f t="shared" si="11"/>
        <v>公共部分装修</v>
      </c>
      <c r="R36" s="773" t="s">
        <v>17</v>
      </c>
      <c r="S36" s="774">
        <f t="shared" si="12"/>
        <v>100</v>
      </c>
      <c r="T36" s="773" t="s">
        <v>17</v>
      </c>
      <c r="U36" s="774">
        <f t="shared" si="13"/>
        <v>100</v>
      </c>
      <c r="V36" s="773" t="s">
        <v>17</v>
      </c>
      <c r="W36" s="774">
        <f t="shared" si="14"/>
        <v>102</v>
      </c>
      <c r="X36" s="1811"/>
      <c r="Y36" s="3256"/>
      <c r="Z36" s="1812" t="str">
        <f t="shared" si="15"/>
        <v>公共部分装修</v>
      </c>
      <c r="AA36" s="1809">
        <f t="shared" si="3"/>
        <v>1</v>
      </c>
      <c r="AB36" s="1809">
        <f t="shared" si="4"/>
        <v>1</v>
      </c>
      <c r="AC36" s="2673">
        <f t="shared" si="5"/>
        <v>0.98039215686274506</v>
      </c>
    </row>
    <row r="37" spans="1:29" ht="15">
      <c r="A37" s="471"/>
      <c r="B37" s="421" t="s">
        <v>2651</v>
      </c>
      <c r="C37" s="473">
        <v>0.77500000000000002</v>
      </c>
      <c r="D37" s="434">
        <v>100</v>
      </c>
      <c r="E37" s="3312">
        <f>1-(1-0)*(2018-2006)/60</f>
        <v>0.8</v>
      </c>
      <c r="F37" s="460">
        <f>LOOKUP(E37,111:111,112:112)-LOOKUP(C37,111:111,112:112)+100</f>
        <v>101</v>
      </c>
      <c r="G37" s="473">
        <v>0.77500000000000002</v>
      </c>
      <c r="H37" s="460">
        <f>LOOKUP(G37,111:111,112:112)-LOOKUP(C37,111:111,112:112)+100</f>
        <v>100</v>
      </c>
      <c r="I37" s="473">
        <f>1-(1-0)*(2018-2006)/60</f>
        <v>0.8</v>
      </c>
      <c r="J37" s="434">
        <f>LOOKUP(I37,111:111,112:112)-LOOKUP(C37,111:111,112:112)+100</f>
        <v>101</v>
      </c>
      <c r="K37" s="611">
        <v>1</v>
      </c>
      <c r="L37" s="1140"/>
      <c r="M37" s="1131"/>
      <c r="N37" s="1131"/>
      <c r="O37" s="1131"/>
      <c r="P37" s="3254"/>
      <c r="Q37" s="1808" t="str">
        <f t="shared" si="11"/>
        <v>成新度</v>
      </c>
      <c r="R37" s="773" t="s">
        <v>17</v>
      </c>
      <c r="S37" s="774">
        <f t="shared" si="12"/>
        <v>101</v>
      </c>
      <c r="T37" s="773" t="s">
        <v>17</v>
      </c>
      <c r="U37" s="774">
        <f t="shared" si="13"/>
        <v>100</v>
      </c>
      <c r="V37" s="773" t="s">
        <v>17</v>
      </c>
      <c r="W37" s="774">
        <f t="shared" si="14"/>
        <v>101</v>
      </c>
      <c r="X37" s="1811"/>
      <c r="Y37" s="3256"/>
      <c r="Z37" s="1812" t="str">
        <f t="shared" si="15"/>
        <v>成新度</v>
      </c>
      <c r="AA37" s="1809">
        <f t="shared" si="3"/>
        <v>0.99009900990099009</v>
      </c>
      <c r="AB37" s="1809">
        <f t="shared" si="4"/>
        <v>1</v>
      </c>
      <c r="AC37" s="2673">
        <f t="shared" si="5"/>
        <v>0.99009900990099009</v>
      </c>
    </row>
    <row r="38" spans="1:29" s="116" customFormat="1" ht="15">
      <c r="A38" s="472"/>
      <c r="B38" s="421" t="s">
        <v>2683</v>
      </c>
      <c r="C38" s="459" t="s">
        <v>3093</v>
      </c>
      <c r="D38" s="135">
        <v>100</v>
      </c>
      <c r="E38" s="459" t="s">
        <v>3093</v>
      </c>
      <c r="F38" s="460">
        <f>SUMIF(113:113,E38,114:114)-SUMIF(113:113,C38,114:114)+100</f>
        <v>100</v>
      </c>
      <c r="G38" s="459" t="s">
        <v>3093</v>
      </c>
      <c r="H38" s="434">
        <f>SUMIF(113:113,G38,114:114)-SUMIF(113:113,C38,114:114)+100</f>
        <v>100</v>
      </c>
      <c r="I38" s="459" t="s">
        <v>3093</v>
      </c>
      <c r="J38" s="434">
        <f>SUMIF(113:113,I38,114:114)-SUMIF(113:113,C38,114:114)+100</f>
        <v>100</v>
      </c>
      <c r="K38" s="611">
        <v>2</v>
      </c>
      <c r="L38" s="1132"/>
      <c r="M38" s="1133"/>
      <c r="N38" s="1133"/>
      <c r="O38" s="1133"/>
      <c r="P38" s="3254"/>
      <c r="Q38" s="1793" t="str">
        <f t="shared" si="11"/>
        <v>写字楼等级</v>
      </c>
      <c r="R38" s="769" t="s">
        <v>17</v>
      </c>
      <c r="S38" s="770">
        <f t="shared" si="12"/>
        <v>100</v>
      </c>
      <c r="T38" s="769" t="s">
        <v>17</v>
      </c>
      <c r="U38" s="770">
        <f t="shared" si="13"/>
        <v>100</v>
      </c>
      <c r="V38" s="769" t="s">
        <v>17</v>
      </c>
      <c r="W38" s="770">
        <f t="shared" si="14"/>
        <v>100</v>
      </c>
      <c r="X38" s="771"/>
      <c r="Y38" s="3256"/>
      <c r="Z38" s="54" t="str">
        <f t="shared" si="15"/>
        <v>写字楼等级</v>
      </c>
      <c r="AA38" s="772">
        <f t="shared" si="3"/>
        <v>1</v>
      </c>
      <c r="AB38" s="772">
        <f t="shared" si="4"/>
        <v>1</v>
      </c>
      <c r="AC38" s="2670">
        <f t="shared" si="5"/>
        <v>1</v>
      </c>
    </row>
    <row r="39" spans="1:29" ht="15">
      <c r="A39" s="471"/>
      <c r="B39" s="421" t="s">
        <v>2684</v>
      </c>
      <c r="C39" s="459" t="s">
        <v>3094</v>
      </c>
      <c r="D39" s="434">
        <v>100</v>
      </c>
      <c r="E39" s="459" t="s">
        <v>3094</v>
      </c>
      <c r="F39" s="460">
        <f>SUMIF(115:115,E39,116:116)-SUMIF(115:115,C39,116:116)+100</f>
        <v>100</v>
      </c>
      <c r="G39" s="459" t="s">
        <v>3094</v>
      </c>
      <c r="H39" s="434">
        <f>SUMIF(115:115,G39,116:116)-SUMIF(115:115,C39,116:116)+100</f>
        <v>100</v>
      </c>
      <c r="I39" s="459" t="s">
        <v>3094</v>
      </c>
      <c r="J39" s="434">
        <f>SUMIF(115:115,I39,116:116)-SUMIF(115:115,C39,116:116)+100</f>
        <v>100</v>
      </c>
      <c r="K39" s="611">
        <v>1</v>
      </c>
      <c r="L39" s="1140"/>
      <c r="M39" s="1131"/>
      <c r="N39" s="1131"/>
      <c r="O39" s="1131"/>
      <c r="P39" s="3254" t="s">
        <v>2554</v>
      </c>
      <c r="Q39" s="1808" t="str">
        <f t="shared" si="11"/>
        <v>物业管理</v>
      </c>
      <c r="R39" s="773" t="s">
        <v>17</v>
      </c>
      <c r="S39" s="774">
        <f t="shared" si="12"/>
        <v>100</v>
      </c>
      <c r="T39" s="773" t="s">
        <v>17</v>
      </c>
      <c r="U39" s="774">
        <f t="shared" si="13"/>
        <v>100</v>
      </c>
      <c r="V39" s="773" t="s">
        <v>17</v>
      </c>
      <c r="W39" s="774">
        <f t="shared" si="14"/>
        <v>100</v>
      </c>
      <c r="X39" s="1811"/>
      <c r="Y39" s="3256" t="s">
        <v>2554</v>
      </c>
      <c r="Z39" s="1812" t="str">
        <f t="shared" si="15"/>
        <v>物业管理</v>
      </c>
      <c r="AA39" s="1809">
        <f t="shared" si="3"/>
        <v>1</v>
      </c>
      <c r="AB39" s="1809">
        <f t="shared" si="4"/>
        <v>1</v>
      </c>
      <c r="AC39" s="2673">
        <f t="shared" si="5"/>
        <v>1</v>
      </c>
    </row>
    <row r="40" spans="1:29" ht="15">
      <c r="A40" s="471"/>
      <c r="B40" s="421" t="s">
        <v>2652</v>
      </c>
      <c r="C40" s="459" t="s">
        <v>3095</v>
      </c>
      <c r="D40" s="434">
        <v>100</v>
      </c>
      <c r="E40" s="459" t="s">
        <v>3121</v>
      </c>
      <c r="F40" s="460">
        <f>SUMIF(117:117,E40,118:118)-SUMIF(117:117,C40,118:118)+100</f>
        <v>98</v>
      </c>
      <c r="G40" s="459" t="s">
        <v>3095</v>
      </c>
      <c r="H40" s="434">
        <f>SUMIF(117:117,G40,118:118)-SUMIF(117:117,C40,118:118)+100</f>
        <v>100</v>
      </c>
      <c r="I40" s="459" t="s">
        <v>3121</v>
      </c>
      <c r="J40" s="434">
        <f>SUMIF(117:117,I40,118:118)-SUMIF(117:117,C40,118:118)+100</f>
        <v>98</v>
      </c>
      <c r="K40" s="611">
        <v>2</v>
      </c>
      <c r="L40" s="1140"/>
      <c r="M40" s="1131"/>
      <c r="N40" s="1131"/>
      <c r="O40" s="1131"/>
      <c r="P40" s="3254"/>
      <c r="Q40" s="1808" t="str">
        <f t="shared" si="11"/>
        <v>市政基础设施</v>
      </c>
      <c r="R40" s="773" t="s">
        <v>17</v>
      </c>
      <c r="S40" s="774">
        <f t="shared" si="12"/>
        <v>98</v>
      </c>
      <c r="T40" s="773" t="s">
        <v>17</v>
      </c>
      <c r="U40" s="774">
        <f t="shared" si="13"/>
        <v>100</v>
      </c>
      <c r="V40" s="773" t="s">
        <v>17</v>
      </c>
      <c r="W40" s="774">
        <f t="shared" si="14"/>
        <v>98</v>
      </c>
      <c r="X40" s="1811"/>
      <c r="Y40" s="3256"/>
      <c r="Z40" s="1812" t="str">
        <f t="shared" si="15"/>
        <v>市政基础设施</v>
      </c>
      <c r="AA40" s="1809">
        <f t="shared" si="3"/>
        <v>1.0204081632653061</v>
      </c>
      <c r="AB40" s="1809">
        <f t="shared" si="4"/>
        <v>1</v>
      </c>
      <c r="AC40" s="2673">
        <f t="shared" si="5"/>
        <v>1.0204081632653061</v>
      </c>
    </row>
    <row r="41" spans="1:29" ht="15">
      <c r="A41" s="471"/>
      <c r="B41" s="421"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54"/>
      <c r="Q41" s="1808" t="str">
        <f t="shared" si="11"/>
        <v>层高</v>
      </c>
      <c r="R41" s="773" t="s">
        <v>17</v>
      </c>
      <c r="S41" s="774">
        <f t="shared" si="12"/>
        <v>100</v>
      </c>
      <c r="T41" s="773" t="s">
        <v>17</v>
      </c>
      <c r="U41" s="774">
        <f t="shared" si="13"/>
        <v>100</v>
      </c>
      <c r="V41" s="773" t="s">
        <v>17</v>
      </c>
      <c r="W41" s="774">
        <f t="shared" si="14"/>
        <v>100</v>
      </c>
      <c r="X41" s="1811"/>
      <c r="Y41" s="3256"/>
      <c r="Z41" s="1812" t="str">
        <f t="shared" si="15"/>
        <v>层高</v>
      </c>
      <c r="AA41" s="1809">
        <f t="shared" si="3"/>
        <v>1</v>
      </c>
      <c r="AB41" s="1809">
        <f t="shared" si="4"/>
        <v>1</v>
      </c>
      <c r="AC41" s="2673">
        <f t="shared" si="5"/>
        <v>1</v>
      </c>
    </row>
    <row r="42" spans="1:29" s="470" customFormat="1" ht="15">
      <c r="A42" s="467"/>
      <c r="B42" s="1810"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54"/>
      <c r="Q42" s="775" t="str">
        <f t="shared" si="11"/>
        <v>单套建筑面积</v>
      </c>
      <c r="R42" s="776" t="s">
        <v>17</v>
      </c>
      <c r="S42" s="777">
        <f t="shared" si="12"/>
        <v>100</v>
      </c>
      <c r="T42" s="776" t="s">
        <v>17</v>
      </c>
      <c r="U42" s="777">
        <f t="shared" si="13"/>
        <v>100</v>
      </c>
      <c r="V42" s="776" t="s">
        <v>17</v>
      </c>
      <c r="W42" s="777">
        <f t="shared" si="14"/>
        <v>100</v>
      </c>
      <c r="X42" s="778"/>
      <c r="Y42" s="3256"/>
      <c r="Z42" s="779" t="str">
        <f t="shared" si="15"/>
        <v>单套建筑面积</v>
      </c>
      <c r="AA42" s="1809">
        <f t="shared" si="3"/>
        <v>1</v>
      </c>
      <c r="AB42" s="1809">
        <f t="shared" si="4"/>
        <v>1</v>
      </c>
      <c r="AC42" s="2673">
        <f t="shared" si="5"/>
        <v>1</v>
      </c>
    </row>
    <row r="43" spans="1:29" ht="15">
      <c r="A43" s="471"/>
      <c r="B43" s="421" t="s">
        <v>2657</v>
      </c>
      <c r="C43" s="459" t="s">
        <v>3092</v>
      </c>
      <c r="D43" s="434">
        <v>100</v>
      </c>
      <c r="E43" s="459" t="s">
        <v>3092</v>
      </c>
      <c r="F43" s="460">
        <f>SUMIF(123:123,E43,124:124)-SUMIF(123:123,C43,124:124)+100</f>
        <v>100</v>
      </c>
      <c r="G43" s="459" t="s">
        <v>3092</v>
      </c>
      <c r="H43" s="434">
        <f>SUMIF(123:123,G43,124:124)-SUMIF(123:123,C43,124:124)+100</f>
        <v>100</v>
      </c>
      <c r="I43" s="459" t="s">
        <v>3092</v>
      </c>
      <c r="J43" s="434">
        <f>SUMIF(123:123,I43,124:124)-SUMIF(123:123,C43,124:124)+100</f>
        <v>100</v>
      </c>
      <c r="K43" s="611">
        <v>2</v>
      </c>
      <c r="L43" s="1140"/>
      <c r="M43" s="1131"/>
      <c r="N43" s="1131"/>
      <c r="O43" s="1131"/>
      <c r="P43" s="3254"/>
      <c r="Q43" s="1808" t="str">
        <f t="shared" si="11"/>
        <v>内部装修</v>
      </c>
      <c r="R43" s="773" t="s">
        <v>17</v>
      </c>
      <c r="S43" s="774">
        <f t="shared" si="12"/>
        <v>100</v>
      </c>
      <c r="T43" s="773" t="s">
        <v>17</v>
      </c>
      <c r="U43" s="774">
        <f t="shared" si="13"/>
        <v>100</v>
      </c>
      <c r="V43" s="773" t="s">
        <v>17</v>
      </c>
      <c r="W43" s="774">
        <f t="shared" si="14"/>
        <v>100</v>
      </c>
      <c r="X43" s="1811"/>
      <c r="Y43" s="3256"/>
      <c r="Z43" s="1812" t="str">
        <f t="shared" si="15"/>
        <v>内部装修</v>
      </c>
      <c r="AA43" s="1809">
        <f t="shared" si="3"/>
        <v>1</v>
      </c>
      <c r="AB43" s="1809">
        <f t="shared" si="4"/>
        <v>1</v>
      </c>
      <c r="AC43" s="2673">
        <f t="shared" si="5"/>
        <v>1</v>
      </c>
    </row>
    <row r="44" spans="1:29" ht="15.75" thickBot="1">
      <c r="A44" s="471"/>
      <c r="B44" s="421" t="s">
        <v>2565</v>
      </c>
      <c r="C44" s="2612" t="s">
        <v>3078</v>
      </c>
      <c r="D44" s="434">
        <v>100</v>
      </c>
      <c r="E44" s="2612" t="s">
        <v>3078</v>
      </c>
      <c r="F44" s="460">
        <f>SUMIF(125:125,E44,126:126)-SUMIF(125:125,C44,126:126)+100</f>
        <v>100</v>
      </c>
      <c r="G44" s="2612" t="s">
        <v>3078</v>
      </c>
      <c r="H44" s="434">
        <f>SUMIF(125:125,G44,126:126)-SUMIF(125:125,C44,126:126)+100</f>
        <v>100</v>
      </c>
      <c r="I44" s="2612" t="s">
        <v>3078</v>
      </c>
      <c r="J44" s="434">
        <f>SUMIF(125:125,I44,126:126)-SUMIF(125:125,C44,126:126)+100</f>
        <v>100</v>
      </c>
      <c r="K44" s="611">
        <v>1</v>
      </c>
      <c r="L44" s="1140"/>
      <c r="M44" s="1131"/>
      <c r="N44" s="1131"/>
      <c r="O44" s="1131"/>
      <c r="P44" s="3254"/>
      <c r="Q44" s="1808" t="str">
        <f t="shared" si="11"/>
        <v>内部装修维护情况</v>
      </c>
      <c r="R44" s="773" t="s">
        <v>17</v>
      </c>
      <c r="S44" s="774">
        <f t="shared" si="12"/>
        <v>100</v>
      </c>
      <c r="T44" s="773" t="s">
        <v>17</v>
      </c>
      <c r="U44" s="774">
        <f t="shared" si="13"/>
        <v>100</v>
      </c>
      <c r="V44" s="773" t="s">
        <v>17</v>
      </c>
      <c r="W44" s="774">
        <f t="shared" si="14"/>
        <v>100</v>
      </c>
      <c r="X44" s="1811"/>
      <c r="Y44" s="3256"/>
      <c r="Z44" s="1812" t="str">
        <f t="shared" si="15"/>
        <v>内部装修维护情况</v>
      </c>
      <c r="AA44" s="1809">
        <f t="shared" si="3"/>
        <v>1</v>
      </c>
      <c r="AB44" s="1809">
        <f t="shared" si="4"/>
        <v>1</v>
      </c>
      <c r="AC44" s="2673">
        <f t="shared" si="5"/>
        <v>1</v>
      </c>
    </row>
    <row r="45" spans="1:29" s="116" customFormat="1" ht="15" hidden="1">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54"/>
      <c r="Q45" s="1793">
        <f t="shared" si="11"/>
        <v>111</v>
      </c>
      <c r="R45" s="769" t="s">
        <v>17</v>
      </c>
      <c r="S45" s="770">
        <f t="shared" si="12"/>
        <v>100</v>
      </c>
      <c r="T45" s="769" t="s">
        <v>17</v>
      </c>
      <c r="U45" s="770">
        <f t="shared" si="13"/>
        <v>100</v>
      </c>
      <c r="V45" s="769" t="s">
        <v>17</v>
      </c>
      <c r="W45" s="770">
        <f t="shared" si="14"/>
        <v>100</v>
      </c>
      <c r="X45" s="771"/>
      <c r="Y45" s="3256"/>
      <c r="Z45" s="54">
        <f t="shared" si="15"/>
        <v>111</v>
      </c>
      <c r="AA45" s="772">
        <f t="shared" si="3"/>
        <v>1</v>
      </c>
      <c r="AB45" s="772">
        <f t="shared" si="4"/>
        <v>1</v>
      </c>
      <c r="AC45" s="2670">
        <f t="shared" si="5"/>
        <v>1</v>
      </c>
    </row>
    <row r="46" spans="1:29" ht="15" hidden="1">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54"/>
      <c r="Q46" s="1808">
        <f t="shared" si="11"/>
        <v>111</v>
      </c>
      <c r="R46" s="773" t="s">
        <v>17</v>
      </c>
      <c r="S46" s="774">
        <f t="shared" si="12"/>
        <v>100</v>
      </c>
      <c r="T46" s="773" t="s">
        <v>17</v>
      </c>
      <c r="U46" s="774">
        <f t="shared" si="13"/>
        <v>100</v>
      </c>
      <c r="V46" s="773" t="s">
        <v>17</v>
      </c>
      <c r="W46" s="774">
        <f t="shared" si="14"/>
        <v>100</v>
      </c>
      <c r="X46" s="1811"/>
      <c r="Y46" s="3256"/>
      <c r="Z46" s="1812">
        <f t="shared" si="15"/>
        <v>111</v>
      </c>
      <c r="AA46" s="1809">
        <f t="shared" si="3"/>
        <v>1</v>
      </c>
      <c r="AB46" s="1809">
        <f t="shared" si="4"/>
        <v>1</v>
      </c>
      <c r="AC46" s="2673">
        <f t="shared" si="5"/>
        <v>1</v>
      </c>
    </row>
    <row r="47" spans="1:29" ht="15.75" hidden="1"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55"/>
      <c r="Q47" s="1808">
        <f t="shared" si="11"/>
        <v>111</v>
      </c>
      <c r="R47" s="773" t="s">
        <v>17</v>
      </c>
      <c r="S47" s="774">
        <f t="shared" si="12"/>
        <v>100</v>
      </c>
      <c r="T47" s="773" t="s">
        <v>17</v>
      </c>
      <c r="U47" s="774">
        <f t="shared" si="13"/>
        <v>100</v>
      </c>
      <c r="V47" s="773" t="s">
        <v>17</v>
      </c>
      <c r="W47" s="774">
        <f t="shared" si="14"/>
        <v>100</v>
      </c>
      <c r="X47" s="1811"/>
      <c r="Y47" s="3257"/>
      <c r="Z47" s="1812">
        <f t="shared" si="15"/>
        <v>111</v>
      </c>
      <c r="AA47" s="1809">
        <f t="shared" si="3"/>
        <v>1</v>
      </c>
      <c r="AB47" s="1809">
        <f t="shared" si="4"/>
        <v>1</v>
      </c>
      <c r="AC47" s="2673">
        <f t="shared" si="5"/>
        <v>1</v>
      </c>
    </row>
    <row r="48" spans="1:29" ht="15">
      <c r="A48" s="478" t="s">
        <v>2566</v>
      </c>
      <c r="B48" s="479"/>
      <c r="C48" s="1406" t="s">
        <v>1</v>
      </c>
      <c r="D48" s="1407"/>
      <c r="E48" s="2951">
        <f>ROUND(6.5*C51,1)</f>
        <v>6.3</v>
      </c>
      <c r="F48" s="1409"/>
      <c r="G48" s="2951">
        <f>ROUND(6*C51,1)</f>
        <v>5.8</v>
      </c>
      <c r="H48" s="1411"/>
      <c r="I48" s="2951">
        <f>ROUND(6.5*C51,1)</f>
        <v>6.3</v>
      </c>
      <c r="J48" s="484"/>
      <c r="K48" s="782"/>
      <c r="L48" s="1143"/>
      <c r="M48" s="1131"/>
      <c r="N48" s="1131"/>
      <c r="O48" s="1131"/>
      <c r="P48" s="3231" t="str">
        <f>A48</f>
        <v>成交单价（元/平方米）</v>
      </c>
      <c r="Q48" s="3249"/>
      <c r="R48" s="3250">
        <f>E48</f>
        <v>6.3</v>
      </c>
      <c r="S48" s="3250"/>
      <c r="T48" s="3250">
        <f>G48</f>
        <v>5.8</v>
      </c>
      <c r="U48" s="3250"/>
      <c r="V48" s="3250">
        <f>I48</f>
        <v>6.3</v>
      </c>
      <c r="W48" s="3250"/>
      <c r="X48" s="445"/>
      <c r="Y48" s="780"/>
      <c r="Z48" s="445"/>
      <c r="AA48" s="445"/>
      <c r="AB48" s="445"/>
      <c r="AC48" s="629"/>
    </row>
    <row r="49" spans="1:29" ht="15.75" thickBot="1">
      <c r="A49" s="485" t="s">
        <v>2658</v>
      </c>
      <c r="B49" s="486"/>
      <c r="C49" s="2956">
        <f>R50</f>
        <v>5.6</v>
      </c>
      <c r="D49" s="1413"/>
      <c r="E49" s="1414">
        <f>R49</f>
        <v>5.9</v>
      </c>
      <c r="F49" s="1414"/>
      <c r="G49" s="2956">
        <f>T49</f>
        <v>5.3</v>
      </c>
      <c r="H49" s="1413"/>
      <c r="I49" s="1414">
        <f>V49</f>
        <v>5.6</v>
      </c>
      <c r="J49" s="488"/>
      <c r="K49" s="783"/>
      <c r="L49" s="1143"/>
      <c r="M49" s="1131"/>
      <c r="N49" s="1131"/>
      <c r="O49" s="1131"/>
      <c r="P49" s="3231" t="str">
        <f>A49</f>
        <v>比较价值（元/平方米）</v>
      </c>
      <c r="Q49" s="3249"/>
      <c r="R49" s="3250">
        <f>IF(F1="售价",ROUND(PRODUCT(R48,AA7:AA47),0),ROUND(PRODUCT(R48,AA7:AA47),1))</f>
        <v>5.9</v>
      </c>
      <c r="S49" s="3250"/>
      <c r="T49" s="3250">
        <f>IF(F1="售价",ROUND(PRODUCT(T48,AB7:AB47),0),ROUND(PRODUCT(T48,AB7:AB47),1))</f>
        <v>5.3</v>
      </c>
      <c r="U49" s="3250"/>
      <c r="V49" s="3250">
        <f>IF(F1="售价",ROUND(PRODUCT(V48,AC7:AC47),0),ROUND(PRODUCT(V48,AC7:AC47),1))</f>
        <v>5.6</v>
      </c>
      <c r="W49" s="3250"/>
      <c r="X49" s="445"/>
      <c r="Y49" s="445"/>
      <c r="Z49" s="445"/>
      <c r="AA49" s="445"/>
      <c r="AB49" s="445"/>
      <c r="AC49" s="629"/>
    </row>
    <row r="50" spans="1:29" ht="15.75" thickBot="1">
      <c r="A50" s="491" t="s">
        <v>2659</v>
      </c>
      <c r="B50" s="492"/>
      <c r="C50" s="2957">
        <f>R50</f>
        <v>5.6</v>
      </c>
      <c r="D50" s="1416"/>
      <c r="E50" s="1416"/>
      <c r="F50" s="1416"/>
      <c r="G50" s="1416"/>
      <c r="H50" s="1416"/>
      <c r="I50" s="1416"/>
      <c r="J50" s="493"/>
      <c r="K50" s="784"/>
      <c r="L50" s="1143"/>
      <c r="M50" s="1131"/>
      <c r="N50" s="1131"/>
      <c r="O50" s="1131"/>
      <c r="P50" s="3273" t="str">
        <f>A50</f>
        <v>估价对象XX用房的比较价值（楼面单价，元/平方米）</v>
      </c>
      <c r="Q50" s="3274"/>
      <c r="R50" s="3275">
        <f>IF(F1="售价",ROUND(AVERAGE(R49:V49),0),ROUND(AVERAGE(R49:V49),1))</f>
        <v>5.6</v>
      </c>
      <c r="S50" s="3275"/>
      <c r="T50" s="3275"/>
      <c r="U50" s="3275"/>
      <c r="V50" s="3275"/>
      <c r="W50" s="3275"/>
      <c r="X50" s="2653"/>
      <c r="Y50" s="2653"/>
      <c r="Z50" s="2653"/>
      <c r="AA50" s="2653"/>
      <c r="AB50" s="2653"/>
      <c r="AC50" s="2654"/>
    </row>
    <row r="51" spans="1:29">
      <c r="A51" s="1144"/>
      <c r="B51" s="1144"/>
      <c r="C51" s="2955">
        <v>0.97</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2660</v>
      </c>
      <c r="D53" s="497"/>
      <c r="E53" s="498">
        <f>IF(E48&lt;E49,E49/E48-1,E48/E49-1)</f>
        <v>6.7796610169491345E-2</v>
      </c>
      <c r="F53" s="499" t="str">
        <f>IF(OR(E53&gt;=0.3,E53&lt;=-0.3),"超过30%","")</f>
        <v/>
      </c>
      <c r="G53" s="498">
        <f>IF(G48&lt;G49,G49/G48-1,G48/G49-1)</f>
        <v>9.4339622641509413E-2</v>
      </c>
      <c r="H53" s="499" t="str">
        <f>IF(OR(G53&gt;=0.3,G53&lt;=-0.3),"超过30%","")</f>
        <v/>
      </c>
      <c r="I53" s="498">
        <f>IF(I48&lt;I49,I49/I48-1,I48/I49-1)</f>
        <v>0.125</v>
      </c>
      <c r="J53" s="499" t="str">
        <f>IF(OR(I53&gt;=0.3,I53&lt;=-0.3),"超过30%","")</f>
        <v/>
      </c>
      <c r="K53" s="1105"/>
      <c r="L53" s="1106"/>
      <c r="M53" s="1144"/>
      <c r="N53" s="1144"/>
      <c r="O53" s="1144"/>
    </row>
    <row r="54" spans="1:29" ht="13.5" customHeight="1">
      <c r="A54" s="1144"/>
      <c r="B54" s="1144"/>
      <c r="C54" s="496" t="s">
        <v>2661</v>
      </c>
      <c r="D54" s="500"/>
      <c r="E54" s="498">
        <f>IF(E49&lt;G49,G49/E49-1,E49/G49-1)</f>
        <v>0.11320754716981152</v>
      </c>
      <c r="F54" s="499" t="str">
        <f>IF(OR(E54&gt;=0.2,E54&lt;=-0.2),"超过20%","")</f>
        <v/>
      </c>
      <c r="G54" s="498">
        <f>IF(G49&lt;I49,I49/G49-1,G49/I49-1)</f>
        <v>5.6603773584905648E-2</v>
      </c>
      <c r="H54" s="499" t="str">
        <f>IF(OR(G54&gt;=0.2,G54&lt;=-0.2),"超过20%","")</f>
        <v/>
      </c>
      <c r="I54" s="498">
        <f>IF(I49&lt;E49,E49/I49-1,I49/E49-1)</f>
        <v>5.3571428571428603E-2</v>
      </c>
      <c r="J54" s="499" t="str">
        <f>IF(OR(I54&gt;=0.2,I54&lt;=-0.2),"超过20%","")</f>
        <v/>
      </c>
      <c r="K54" s="1105"/>
      <c r="L54" s="1106"/>
      <c r="M54" s="1144"/>
      <c r="N54" s="1144"/>
      <c r="O54" s="1144"/>
    </row>
    <row r="55" spans="1:29" s="501" customFormat="1" ht="13.5" customHeight="1">
      <c r="A55" s="1145"/>
      <c r="B55" s="1145"/>
      <c r="C55" s="496" t="s">
        <v>2662</v>
      </c>
      <c r="D55" s="500"/>
      <c r="E55" s="498">
        <f>IF(E48&lt;G48,G48/E48-1,E48/G48-1)</f>
        <v>8.6206896551724199E-2</v>
      </c>
      <c r="F55" s="499" t="str">
        <f>IF(OR(E55&gt;=0.3,E55&lt;=-0.3),"超过30%","")</f>
        <v/>
      </c>
      <c r="G55" s="498">
        <f>IF(G48&lt;I48,I48/G48-1,G48/I48-1)</f>
        <v>8.6206896551724199E-2</v>
      </c>
      <c r="H55" s="499" t="str">
        <f>IF(OR(G55&gt;=0.3,G55&lt;=-0.3),"超过30%","")</f>
        <v/>
      </c>
      <c r="I55" s="498">
        <f>IF(I48&lt;E48,E48/I48-1,I48/E48-1)</f>
        <v>0</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2" t="s">
        <v>2663</v>
      </c>
      <c r="B58" s="758"/>
      <c r="C58" s="763"/>
      <c r="D58" s="763"/>
      <c r="E58" s="763"/>
      <c r="F58" s="764"/>
      <c r="G58" s="764"/>
      <c r="H58" s="763"/>
      <c r="I58" s="763"/>
      <c r="J58" s="763"/>
      <c r="K58" s="765"/>
      <c r="L58" s="1161"/>
      <c r="M58" s="1159"/>
      <c r="N58" s="1159"/>
      <c r="O58" s="1159"/>
      <c r="P58" s="2680"/>
      <c r="Q58" s="503"/>
    </row>
    <row r="59" spans="1:29" s="507" customFormat="1" ht="15">
      <c r="A59" s="504" t="s">
        <v>2537</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6" customFormat="1" ht="15">
      <c r="A60" s="508"/>
      <c r="B60" s="509"/>
      <c r="C60" s="1571">
        <v>100</v>
      </c>
      <c r="D60" s="511">
        <v>100</v>
      </c>
      <c r="E60" s="511">
        <f>D60-1</f>
        <v>99</v>
      </c>
      <c r="F60" s="511">
        <f t="shared" ref="F60:M60" si="17">E60-1</f>
        <v>98</v>
      </c>
      <c r="G60" s="511">
        <f t="shared" si="17"/>
        <v>97</v>
      </c>
      <c r="H60" s="511">
        <f t="shared" si="17"/>
        <v>96</v>
      </c>
      <c r="I60" s="511">
        <f t="shared" si="17"/>
        <v>95</v>
      </c>
      <c r="J60" s="511">
        <f t="shared" si="17"/>
        <v>94</v>
      </c>
      <c r="K60" s="511">
        <f t="shared" si="17"/>
        <v>93</v>
      </c>
      <c r="L60" s="511">
        <f t="shared" si="17"/>
        <v>92</v>
      </c>
      <c r="M60" s="511">
        <f t="shared" si="17"/>
        <v>91</v>
      </c>
      <c r="N60" s="511"/>
      <c r="O60" s="512"/>
      <c r="P60" s="2681"/>
    </row>
    <row r="61" spans="1:29" s="116" customFormat="1" ht="15.75" thickBot="1">
      <c r="A61" s="514" t="s">
        <v>2574</v>
      </c>
      <c r="B61" s="515"/>
      <c r="C61" s="516"/>
      <c r="D61" s="517"/>
      <c r="E61" s="517"/>
      <c r="F61" s="517"/>
      <c r="G61" s="517"/>
      <c r="H61" s="517"/>
      <c r="I61" s="517"/>
      <c r="J61" s="517"/>
      <c r="K61" s="517"/>
      <c r="L61" s="517"/>
      <c r="M61" s="518"/>
      <c r="N61" s="517"/>
      <c r="O61" s="518"/>
      <c r="P61" s="2681"/>
      <c r="Q61" s="503"/>
    </row>
    <row r="62" spans="1:29" s="116" customFormat="1" ht="15">
      <c r="A62" s="520" t="s">
        <v>2539</v>
      </c>
      <c r="B62" s="509"/>
      <c r="C62" s="521" t="s">
        <v>2641</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2577</v>
      </c>
      <c r="B64" s="527" t="s">
        <v>2543</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2"/>
      <c r="O66" s="1152"/>
      <c r="P66" s="2683"/>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3"/>
      <c r="O67" s="1153"/>
      <c r="P67" s="2683"/>
      <c r="Q67" s="503"/>
    </row>
    <row r="68" spans="1:17" ht="15.75" thickTop="1">
      <c r="A68" s="533"/>
      <c r="B68" s="545" t="s">
        <v>2547</v>
      </c>
      <c r="C68" s="546" t="str">
        <f>C69&amp;"（含）"&amp;"-"&amp;D69</f>
        <v>0（含）-2</v>
      </c>
      <c r="D68" s="546" t="str">
        <f t="shared" ref="D68:L68" si="18">D69&amp;"（含）"&amp;"-"&amp;E69</f>
        <v>2（含）-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47" t="str">
        <f>M69&amp;"（含）"&amp;"-"&amp;P69</f>
        <v>（含）-</v>
      </c>
      <c r="N68" s="1153"/>
      <c r="O68" s="1153"/>
      <c r="P68" s="2683"/>
      <c r="Q68" s="503"/>
    </row>
    <row r="69" spans="1:17" ht="15">
      <c r="A69" s="533"/>
      <c r="B69" s="547"/>
      <c r="C69" s="548">
        <v>0</v>
      </c>
      <c r="D69" s="548">
        <v>2</v>
      </c>
      <c r="E69" s="548"/>
      <c r="F69" s="548"/>
      <c r="G69" s="548"/>
      <c r="H69" s="548"/>
      <c r="I69" s="548"/>
      <c r="J69" s="548"/>
      <c r="K69" s="549"/>
      <c r="L69" s="550"/>
      <c r="M69" s="551"/>
      <c r="N69" s="1152"/>
      <c r="O69" s="1152"/>
      <c r="P69" s="2683"/>
      <c r="Q69" s="503"/>
    </row>
    <row r="70" spans="1:17" ht="15.75" thickBot="1">
      <c r="A70" s="533"/>
      <c r="B70" s="534"/>
      <c r="C70" s="543">
        <v>100</v>
      </c>
      <c r="D70" s="543">
        <f t="shared" ref="D70:M70" si="19">C70-$K11</f>
        <v>100</v>
      </c>
      <c r="E70" s="543">
        <f t="shared" si="19"/>
        <v>100</v>
      </c>
      <c r="F70" s="543">
        <f t="shared" si="19"/>
        <v>100</v>
      </c>
      <c r="G70" s="543">
        <f t="shared" si="19"/>
        <v>100</v>
      </c>
      <c r="H70" s="543">
        <f t="shared" si="19"/>
        <v>100</v>
      </c>
      <c r="I70" s="543">
        <f t="shared" si="19"/>
        <v>100</v>
      </c>
      <c r="J70" s="543">
        <f t="shared" si="19"/>
        <v>100</v>
      </c>
      <c r="K70" s="543">
        <f t="shared" si="19"/>
        <v>100</v>
      </c>
      <c r="L70" s="543">
        <f t="shared" si="19"/>
        <v>100</v>
      </c>
      <c r="M70" s="544">
        <f t="shared" si="19"/>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2678</v>
      </c>
      <c r="C83" s="659" t="s">
        <v>2664</v>
      </c>
      <c r="D83" s="659" t="s">
        <v>2665</v>
      </c>
      <c r="E83" s="659" t="s">
        <v>2666</v>
      </c>
      <c r="F83" s="659" t="s">
        <v>2667</v>
      </c>
      <c r="G83" s="659" t="s">
        <v>2668</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2688</v>
      </c>
      <c r="C87" s="2952" t="s">
        <v>3096</v>
      </c>
      <c r="D87" s="2952" t="s">
        <v>3097</v>
      </c>
      <c r="E87" s="2952" t="s">
        <v>3098</v>
      </c>
      <c r="F87" s="2952" t="s">
        <v>3099</v>
      </c>
      <c r="G87" s="2952" t="s">
        <v>3100</v>
      </c>
      <c r="H87" s="553"/>
      <c r="I87" s="553"/>
      <c r="J87" s="553"/>
      <c r="K87" s="553"/>
      <c r="L87" s="579"/>
      <c r="M87" s="580"/>
      <c r="N87" s="1151"/>
      <c r="O87" s="1151"/>
      <c r="P87" s="2683"/>
      <c r="Q87" s="503"/>
    </row>
    <row r="88" spans="1:17" s="116" customFormat="1" ht="15.75" thickBot="1">
      <c r="A88" s="578"/>
      <c r="B88" s="542"/>
      <c r="C88" s="581">
        <v>100</v>
      </c>
      <c r="D88" s="543">
        <f t="shared" ref="D88:M88" si="20">C88-$K25</f>
        <v>98</v>
      </c>
      <c r="E88" s="543">
        <f t="shared" si="20"/>
        <v>96</v>
      </c>
      <c r="F88" s="543">
        <f t="shared" si="20"/>
        <v>94</v>
      </c>
      <c r="G88" s="543">
        <f t="shared" si="20"/>
        <v>92</v>
      </c>
      <c r="H88" s="543">
        <f t="shared" si="20"/>
        <v>90</v>
      </c>
      <c r="I88" s="543">
        <f t="shared" si="20"/>
        <v>88</v>
      </c>
      <c r="J88" s="543">
        <f t="shared" si="20"/>
        <v>86</v>
      </c>
      <c r="K88" s="543">
        <f t="shared" si="20"/>
        <v>84</v>
      </c>
      <c r="L88" s="543">
        <f t="shared" si="20"/>
        <v>82</v>
      </c>
      <c r="M88" s="543">
        <f t="shared" si="20"/>
        <v>80</v>
      </c>
      <c r="N88" s="1153"/>
      <c r="O88" s="1153"/>
      <c r="P88" s="2683"/>
      <c r="Q88" s="503"/>
    </row>
    <row r="89" spans="1:17" s="116" customFormat="1" ht="15.75" thickTop="1">
      <c r="A89" s="578"/>
      <c r="B89" s="537" t="str">
        <f>B27</f>
        <v>楼层</v>
      </c>
      <c r="C89" s="2952" t="s">
        <v>3101</v>
      </c>
      <c r="D89" s="2952" t="s">
        <v>3102</v>
      </c>
      <c r="E89" s="2952" t="s">
        <v>3103</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1">D90-$K27</f>
        <v>96</v>
      </c>
      <c r="F90" s="543">
        <f t="shared" si="21"/>
        <v>94</v>
      </c>
      <c r="G90" s="543">
        <f t="shared" si="21"/>
        <v>92</v>
      </c>
      <c r="H90" s="543">
        <f t="shared" si="21"/>
        <v>90</v>
      </c>
      <c r="I90" s="543">
        <f t="shared" si="21"/>
        <v>88</v>
      </c>
      <c r="J90" s="543">
        <f t="shared" si="21"/>
        <v>86</v>
      </c>
      <c r="K90" s="543">
        <f t="shared" si="21"/>
        <v>84</v>
      </c>
      <c r="L90" s="543">
        <f t="shared" si="21"/>
        <v>82</v>
      </c>
      <c r="M90" s="543">
        <f t="shared" si="21"/>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2">C92-$K28</f>
        <v>100</v>
      </c>
      <c r="E92" s="543">
        <f t="shared" si="22"/>
        <v>100</v>
      </c>
      <c r="F92" s="543">
        <f t="shared" si="22"/>
        <v>100</v>
      </c>
      <c r="G92" s="543">
        <f t="shared" si="22"/>
        <v>100</v>
      </c>
      <c r="H92" s="543">
        <f t="shared" si="22"/>
        <v>100</v>
      </c>
      <c r="I92" s="543">
        <f t="shared" si="22"/>
        <v>100</v>
      </c>
      <c r="J92" s="543">
        <f t="shared" si="22"/>
        <v>100</v>
      </c>
      <c r="K92" s="543">
        <f t="shared" si="22"/>
        <v>100</v>
      </c>
      <c r="L92" s="543">
        <f t="shared" si="22"/>
        <v>100</v>
      </c>
      <c r="M92" s="543">
        <f t="shared" si="22"/>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2552</v>
      </c>
      <c r="B101" s="527" t="s">
        <v>2601</v>
      </c>
      <c r="C101" s="2953" t="s">
        <v>3104</v>
      </c>
      <c r="D101" s="529"/>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3">C102-$K33</f>
        <v>98</v>
      </c>
      <c r="E102" s="543">
        <f t="shared" si="23"/>
        <v>96</v>
      </c>
      <c r="F102" s="543">
        <f t="shared" si="23"/>
        <v>94</v>
      </c>
      <c r="G102" s="543">
        <f t="shared" si="23"/>
        <v>92</v>
      </c>
      <c r="H102" s="543">
        <f t="shared" si="23"/>
        <v>90</v>
      </c>
      <c r="I102" s="543">
        <f t="shared" si="23"/>
        <v>88</v>
      </c>
      <c r="J102" s="543">
        <f t="shared" si="23"/>
        <v>86</v>
      </c>
      <c r="K102" s="543">
        <f t="shared" si="23"/>
        <v>84</v>
      </c>
      <c r="L102" s="543">
        <f t="shared" si="23"/>
        <v>82</v>
      </c>
      <c r="M102" s="544">
        <f t="shared" si="23"/>
        <v>80</v>
      </c>
      <c r="N102" s="1153"/>
      <c r="O102" s="1153"/>
      <c r="P102" s="2683"/>
      <c r="Q102" s="503"/>
    </row>
    <row r="103" spans="1:17" ht="29.25" thickTop="1">
      <c r="A103" s="533"/>
      <c r="B103" s="537" t="s">
        <v>2602</v>
      </c>
      <c r="C103" s="577" t="str">
        <f>C104&amp;"(含)"&amp;"-"&amp;D104</f>
        <v>0(含)-2000</v>
      </c>
      <c r="D103" s="577" t="str">
        <f t="shared" ref="D103:L103" si="24">D104&amp;"(含)"&amp;"-"&amp;E104</f>
        <v>2000(含)-4000</v>
      </c>
      <c r="E103" s="577" t="str">
        <f t="shared" si="24"/>
        <v>4000(含)-6000</v>
      </c>
      <c r="F103" s="577" t="str">
        <f t="shared" si="24"/>
        <v>6000(含)-8000</v>
      </c>
      <c r="G103" s="577" t="str">
        <f t="shared" si="24"/>
        <v>8000(含)-9000</v>
      </c>
      <c r="H103" s="577" t="str">
        <f t="shared" si="24"/>
        <v>9000(含)-</v>
      </c>
      <c r="I103" s="577" t="str">
        <f t="shared" si="24"/>
        <v>(含)-</v>
      </c>
      <c r="J103" s="577" t="str">
        <f t="shared" si="24"/>
        <v>(含)-</v>
      </c>
      <c r="K103" s="577" t="str">
        <f t="shared" si="24"/>
        <v>(含)-</v>
      </c>
      <c r="L103" s="577" t="str">
        <f t="shared" si="24"/>
        <v>(含)-</v>
      </c>
      <c r="M103" s="621" t="str">
        <f>M104&amp;"(含)"&amp;"-"&amp;P104</f>
        <v>(含)-</v>
      </c>
      <c r="N103" s="1151"/>
      <c r="O103" s="1151"/>
      <c r="P103" s="2683"/>
      <c r="Q103" s="503"/>
    </row>
    <row r="104" spans="1:17" s="470" customFormat="1">
      <c r="A104" s="592"/>
      <c r="B104" s="593"/>
      <c r="C104" s="594">
        <v>0</v>
      </c>
      <c r="D104" s="594">
        <v>2000</v>
      </c>
      <c r="E104" s="594">
        <v>4000</v>
      </c>
      <c r="F104" s="594">
        <v>6000</v>
      </c>
      <c r="G104" s="594">
        <v>8000</v>
      </c>
      <c r="H104" s="594">
        <v>9000</v>
      </c>
      <c r="I104" s="594"/>
      <c r="J104" s="595"/>
      <c r="K104" s="595"/>
      <c r="L104" s="596"/>
      <c r="M104" s="597"/>
      <c r="N104" s="1154"/>
      <c r="O104" s="1154"/>
      <c r="P104" s="2684"/>
      <c r="Q104" s="558"/>
    </row>
    <row r="105" spans="1:17" s="470" customFormat="1" ht="15.75" thickBot="1">
      <c r="A105" s="552"/>
      <c r="B105" s="542"/>
      <c r="C105" s="559">
        <v>100</v>
      </c>
      <c r="D105" s="535">
        <f>C105-2</f>
        <v>98</v>
      </c>
      <c r="E105" s="535">
        <f t="shared" ref="E105:H105" si="25">D105-2</f>
        <v>96</v>
      </c>
      <c r="F105" s="535">
        <f t="shared" si="25"/>
        <v>94</v>
      </c>
      <c r="G105" s="535">
        <f t="shared" si="25"/>
        <v>92</v>
      </c>
      <c r="H105" s="535">
        <f t="shared" si="25"/>
        <v>90</v>
      </c>
      <c r="I105" s="535"/>
      <c r="J105" s="535"/>
      <c r="K105" s="535"/>
      <c r="L105" s="535"/>
      <c r="M105" s="536"/>
      <c r="N105" s="1153"/>
      <c r="O105" s="1153"/>
      <c r="P105" s="2684"/>
      <c r="Q105" s="558"/>
    </row>
    <row r="106" spans="1:17" ht="15" thickTop="1">
      <c r="A106" s="598"/>
      <c r="B106" s="537" t="s">
        <v>2603</v>
      </c>
      <c r="C106" s="2952" t="s">
        <v>3105</v>
      </c>
      <c r="D106" s="553"/>
      <c r="E106" s="582"/>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6">C107-$K35</f>
        <v>97</v>
      </c>
      <c r="E107" s="543">
        <f t="shared" si="26"/>
        <v>94</v>
      </c>
      <c r="F107" s="543">
        <f t="shared" si="26"/>
        <v>91</v>
      </c>
      <c r="G107" s="543">
        <f t="shared" si="26"/>
        <v>88</v>
      </c>
      <c r="H107" s="543">
        <f t="shared" si="26"/>
        <v>85</v>
      </c>
      <c r="I107" s="543">
        <f t="shared" si="26"/>
        <v>82</v>
      </c>
      <c r="J107" s="543">
        <f t="shared" si="26"/>
        <v>79</v>
      </c>
      <c r="K107" s="543">
        <f t="shared" si="26"/>
        <v>76</v>
      </c>
      <c r="L107" s="543">
        <f t="shared" si="26"/>
        <v>73</v>
      </c>
      <c r="M107" s="544">
        <f t="shared" si="26"/>
        <v>70</v>
      </c>
      <c r="N107" s="1153"/>
      <c r="O107" s="1153"/>
      <c r="P107" s="2683"/>
      <c r="Q107" s="503"/>
    </row>
    <row r="108" spans="1:17" ht="15" thickTop="1">
      <c r="A108" s="598"/>
      <c r="B108" s="537" t="s">
        <v>2605</v>
      </c>
      <c r="C108" s="2952" t="s">
        <v>3106</v>
      </c>
      <c r="D108" s="2952" t="s">
        <v>3127</v>
      </c>
      <c r="E108" s="2952" t="s">
        <v>3107</v>
      </c>
      <c r="F108" s="2952" t="s">
        <v>3108</v>
      </c>
      <c r="G108" s="582"/>
      <c r="H108" s="582"/>
      <c r="I108" s="582"/>
      <c r="J108" s="582"/>
      <c r="K108" s="583"/>
      <c r="L108" s="584"/>
      <c r="M108" s="585"/>
      <c r="N108" s="1152"/>
      <c r="O108" s="1152"/>
      <c r="P108" s="2683"/>
      <c r="Q108" s="503"/>
    </row>
    <row r="109" spans="1:17" ht="15.75" thickBot="1">
      <c r="A109" s="533"/>
      <c r="B109" s="542"/>
      <c r="C109" s="543">
        <v>100</v>
      </c>
      <c r="D109" s="543">
        <f t="shared" ref="D109:M109" si="27">C109-$K36</f>
        <v>98</v>
      </c>
      <c r="E109" s="543">
        <f t="shared" si="27"/>
        <v>96</v>
      </c>
      <c r="F109" s="543">
        <f t="shared" si="27"/>
        <v>94</v>
      </c>
      <c r="G109" s="543">
        <f t="shared" si="27"/>
        <v>92</v>
      </c>
      <c r="H109" s="543">
        <f t="shared" si="27"/>
        <v>90</v>
      </c>
      <c r="I109" s="543">
        <f t="shared" si="27"/>
        <v>88</v>
      </c>
      <c r="J109" s="543">
        <f t="shared" si="27"/>
        <v>86</v>
      </c>
      <c r="K109" s="543">
        <f t="shared" si="27"/>
        <v>84</v>
      </c>
      <c r="L109" s="543">
        <f t="shared" si="27"/>
        <v>82</v>
      </c>
      <c r="M109" s="544">
        <f t="shared" si="27"/>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101</v>
      </c>
      <c r="E112" s="543">
        <f t="shared" ref="E112:M112" si="28">D112+$K37</f>
        <v>102</v>
      </c>
      <c r="F112" s="543">
        <f t="shared" si="28"/>
        <v>103</v>
      </c>
      <c r="G112" s="543">
        <f t="shared" si="28"/>
        <v>104</v>
      </c>
      <c r="H112" s="543">
        <f t="shared" si="28"/>
        <v>105</v>
      </c>
      <c r="I112" s="543">
        <f t="shared" si="28"/>
        <v>106</v>
      </c>
      <c r="J112" s="543">
        <f t="shared" si="28"/>
        <v>107</v>
      </c>
      <c r="K112" s="543">
        <f t="shared" si="28"/>
        <v>108</v>
      </c>
      <c r="L112" s="543">
        <f t="shared" si="28"/>
        <v>109</v>
      </c>
      <c r="M112" s="543">
        <f t="shared" si="28"/>
        <v>110</v>
      </c>
      <c r="N112" s="1153"/>
      <c r="O112" s="1153"/>
      <c r="P112" s="2683"/>
      <c r="Q112" s="503"/>
    </row>
    <row r="113" spans="1:17" s="470" customFormat="1" ht="15" thickTop="1">
      <c r="A113" s="592"/>
      <c r="B113" s="537" t="s">
        <v>2689</v>
      </c>
      <c r="C113" s="2952" t="s">
        <v>3109</v>
      </c>
      <c r="D113" s="553"/>
      <c r="E113" s="553"/>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9">D114-$K38</f>
        <v>96</v>
      </c>
      <c r="F114" s="543">
        <f t="shared" si="29"/>
        <v>94</v>
      </c>
      <c r="G114" s="543">
        <f t="shared" si="29"/>
        <v>92</v>
      </c>
      <c r="H114" s="543">
        <f t="shared" si="29"/>
        <v>90</v>
      </c>
      <c r="I114" s="543">
        <f t="shared" si="29"/>
        <v>88</v>
      </c>
      <c r="J114" s="543">
        <f t="shared" si="29"/>
        <v>86</v>
      </c>
      <c r="K114" s="543">
        <f t="shared" si="29"/>
        <v>84</v>
      </c>
      <c r="L114" s="543">
        <f t="shared" si="29"/>
        <v>82</v>
      </c>
      <c r="M114" s="543">
        <f t="shared" si="29"/>
        <v>80</v>
      </c>
      <c r="N114" s="1154"/>
      <c r="O114" s="1154"/>
      <c r="P114" s="2684"/>
      <c r="Q114" s="558"/>
    </row>
    <row r="115" spans="1:17" ht="15" thickTop="1">
      <c r="A115" s="598"/>
      <c r="B115" s="537" t="s">
        <v>2606</v>
      </c>
      <c r="C115" s="2952" t="s">
        <v>3110</v>
      </c>
      <c r="D115" s="553"/>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30">C116-$K39</f>
        <v>99</v>
      </c>
      <c r="E116" s="543">
        <f t="shared" si="30"/>
        <v>98</v>
      </c>
      <c r="F116" s="543">
        <f t="shared" si="30"/>
        <v>97</v>
      </c>
      <c r="G116" s="543">
        <f t="shared" si="30"/>
        <v>96</v>
      </c>
      <c r="H116" s="543">
        <f t="shared" si="30"/>
        <v>95</v>
      </c>
      <c r="I116" s="543">
        <f t="shared" si="30"/>
        <v>94</v>
      </c>
      <c r="J116" s="543">
        <f t="shared" si="30"/>
        <v>93</v>
      </c>
      <c r="K116" s="543">
        <f t="shared" si="30"/>
        <v>92</v>
      </c>
      <c r="L116" s="543">
        <f t="shared" si="30"/>
        <v>91</v>
      </c>
      <c r="M116" s="544">
        <f t="shared" si="30"/>
        <v>90</v>
      </c>
      <c r="N116" s="1153"/>
      <c r="O116" s="1153"/>
      <c r="P116" s="2683"/>
      <c r="Q116" s="503"/>
    </row>
    <row r="117" spans="1:17" ht="15" thickTop="1">
      <c r="A117" s="598"/>
      <c r="B117" s="537" t="s">
        <v>2607</v>
      </c>
      <c r="C117" s="2952" t="s">
        <v>3111</v>
      </c>
      <c r="D117" s="2952" t="s">
        <v>3112</v>
      </c>
      <c r="E117" s="2952" t="s">
        <v>3122</v>
      </c>
      <c r="F117" s="2952" t="s">
        <v>3123</v>
      </c>
      <c r="G117" s="2952" t="s">
        <v>3124</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2690</v>
      </c>
      <c r="C119" s="582"/>
      <c r="D119" s="582"/>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100</v>
      </c>
      <c r="E120" s="543">
        <f t="shared" ref="E120:M120" si="31">D120-$K41</f>
        <v>100</v>
      </c>
      <c r="F120" s="543">
        <f t="shared" si="31"/>
        <v>100</v>
      </c>
      <c r="G120" s="543">
        <f t="shared" si="31"/>
        <v>100</v>
      </c>
      <c r="H120" s="543">
        <f t="shared" si="31"/>
        <v>100</v>
      </c>
      <c r="I120" s="543">
        <f t="shared" si="31"/>
        <v>100</v>
      </c>
      <c r="J120" s="543">
        <f t="shared" si="31"/>
        <v>100</v>
      </c>
      <c r="K120" s="543">
        <f t="shared" si="31"/>
        <v>100</v>
      </c>
      <c r="L120" s="543">
        <f t="shared" si="31"/>
        <v>100</v>
      </c>
      <c r="M120" s="543">
        <f t="shared" si="31"/>
        <v>100</v>
      </c>
      <c r="N120" s="1153"/>
      <c r="O120" s="1153"/>
      <c r="P120" s="2683"/>
      <c r="Q120" s="503"/>
    </row>
    <row r="121" spans="1:17" s="470" customFormat="1" ht="15" thickTop="1">
      <c r="A121" s="592"/>
      <c r="B121" s="537" t="s">
        <v>2673</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2609</v>
      </c>
      <c r="C123" s="2952" t="s">
        <v>3106</v>
      </c>
      <c r="D123" s="2952" t="s">
        <v>3107</v>
      </c>
      <c r="E123" s="2952" t="s">
        <v>3108</v>
      </c>
      <c r="F123" s="582"/>
      <c r="G123" s="582"/>
      <c r="H123" s="582"/>
      <c r="I123" s="582"/>
      <c r="J123" s="582"/>
      <c r="K123" s="583"/>
      <c r="L123" s="584"/>
      <c r="M123" s="585"/>
      <c r="N123" s="1152"/>
      <c r="O123" s="1152"/>
      <c r="P123" s="2683"/>
      <c r="Q123" s="503"/>
    </row>
    <row r="124" spans="1:17" ht="15.75" thickBot="1">
      <c r="A124" s="533"/>
      <c r="B124" s="542"/>
      <c r="C124" s="543">
        <v>100</v>
      </c>
      <c r="D124" s="543">
        <f t="shared" ref="D124:M124" si="32">C124-$K43</f>
        <v>98</v>
      </c>
      <c r="E124" s="543">
        <f t="shared" si="32"/>
        <v>96</v>
      </c>
      <c r="F124" s="543">
        <f t="shared" si="32"/>
        <v>94</v>
      </c>
      <c r="G124" s="543">
        <f t="shared" si="32"/>
        <v>92</v>
      </c>
      <c r="H124" s="543">
        <f t="shared" si="32"/>
        <v>90</v>
      </c>
      <c r="I124" s="543">
        <f t="shared" si="32"/>
        <v>88</v>
      </c>
      <c r="J124" s="543">
        <f t="shared" si="32"/>
        <v>86</v>
      </c>
      <c r="K124" s="543">
        <f t="shared" si="32"/>
        <v>84</v>
      </c>
      <c r="L124" s="543">
        <f t="shared" si="32"/>
        <v>82</v>
      </c>
      <c r="M124" s="544">
        <f t="shared" si="32"/>
        <v>80</v>
      </c>
      <c r="N124" s="1153"/>
      <c r="O124" s="1153"/>
      <c r="P124" s="2683"/>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2"/>
      <c r="O125" s="1152"/>
      <c r="P125" s="2684"/>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3"/>
      <c r="O126" s="1153"/>
      <c r="P126" s="2683"/>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4"/>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4"/>
      <c r="Q128" s="558"/>
    </row>
    <row r="129" spans="1:17" ht="15" thickTop="1">
      <c r="A129" s="598"/>
      <c r="B129" s="537">
        <f>B46</f>
        <v>111</v>
      </c>
      <c r="C129" s="553"/>
      <c r="D129" s="553"/>
      <c r="E129" s="553"/>
      <c r="F129" s="553"/>
      <c r="G129" s="582"/>
      <c r="H129" s="582"/>
      <c r="I129" s="582"/>
      <c r="J129" s="582"/>
      <c r="K129" s="583"/>
      <c r="L129" s="584"/>
      <c r="M129" s="585"/>
      <c r="N129" s="1152"/>
      <c r="O129" s="1152"/>
      <c r="P129" s="2683"/>
      <c r="Q129" s="503"/>
    </row>
    <row r="130" spans="1:17" ht="15.75" thickBot="1">
      <c r="A130" s="533"/>
      <c r="B130" s="542"/>
      <c r="C130" s="559"/>
      <c r="D130" s="559"/>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3" priority="16" stopIfTrue="1" operator="containsText" text="超过">
      <formula>NOT(ISERROR(SEARCH("超过",F53)))</formula>
    </cfRule>
  </conditionalFormatting>
  <conditionalFormatting sqref="H55">
    <cfRule type="containsText" dxfId="102" priority="15" stopIfTrue="1" operator="containsText" text="超过">
      <formula>NOT(ISERROR(SEARCH("超过",H55)))</formula>
    </cfRule>
  </conditionalFormatting>
  <conditionalFormatting sqref="F55">
    <cfRule type="containsText" dxfId="101" priority="14" stopIfTrue="1" operator="containsText" text="超过">
      <formula>NOT(ISERROR(SEARCH("超过",F55)))</formula>
    </cfRule>
  </conditionalFormatting>
  <conditionalFormatting sqref="F54 H54">
    <cfRule type="containsText" dxfId="100" priority="13" stopIfTrue="1" operator="containsText" text="超过">
      <formula>NOT(ISERROR(SEARCH("超过",F54)))</formula>
    </cfRule>
  </conditionalFormatting>
  <conditionalFormatting sqref="E53">
    <cfRule type="expression" dxfId="99" priority="12" stopIfTrue="1">
      <formula>$F$53="超过30%"</formula>
    </cfRule>
  </conditionalFormatting>
  <conditionalFormatting sqref="E54">
    <cfRule type="expression" dxfId="98" priority="11" stopIfTrue="1">
      <formula>$F$54="超过20%"</formula>
    </cfRule>
  </conditionalFormatting>
  <conditionalFormatting sqref="E55">
    <cfRule type="expression" dxfId="97" priority="10" stopIfTrue="1">
      <formula>$F$55="超过30%"</formula>
    </cfRule>
  </conditionalFormatting>
  <conditionalFormatting sqref="G55">
    <cfRule type="expression" dxfId="96" priority="9" stopIfTrue="1">
      <formula>$H$55="超过30%"</formula>
    </cfRule>
  </conditionalFormatting>
  <conditionalFormatting sqref="G53">
    <cfRule type="expression" dxfId="95" priority="8" stopIfTrue="1">
      <formula>$H$53="超过30%"</formula>
    </cfRule>
  </conditionalFormatting>
  <conditionalFormatting sqref="G54">
    <cfRule type="expression" dxfId="94" priority="7" stopIfTrue="1">
      <formula>$H$54="超过20%"</formula>
    </cfRule>
  </conditionalFormatting>
  <conditionalFormatting sqref="J53">
    <cfRule type="containsText" dxfId="93" priority="6" stopIfTrue="1" operator="containsText" text="超过">
      <formula>NOT(ISERROR(SEARCH("超过",J53)))</formula>
    </cfRule>
  </conditionalFormatting>
  <conditionalFormatting sqref="J55">
    <cfRule type="containsText" dxfId="92" priority="5" stopIfTrue="1" operator="containsText" text="超过">
      <formula>NOT(ISERROR(SEARCH("超过",J55)))</formula>
    </cfRule>
  </conditionalFormatting>
  <conditionalFormatting sqref="J54">
    <cfRule type="containsText" dxfId="91" priority="4" stopIfTrue="1" operator="containsText" text="超过">
      <formula>NOT(ISERROR(SEARCH("超过",J54)))</formula>
    </cfRule>
  </conditionalFormatting>
  <conditionalFormatting sqref="I53">
    <cfRule type="expression" dxfId="90" priority="3" stopIfTrue="1">
      <formula>$J$53="超过30%"</formula>
    </cfRule>
  </conditionalFormatting>
  <conditionalFormatting sqref="I54">
    <cfRule type="expression" dxfId="89" priority="2" stopIfTrue="1">
      <formula>$J$53+$J$54="超过20%"</formula>
    </cfRule>
  </conditionalFormatting>
  <conditionalFormatting sqref="I55">
    <cfRule type="expression" dxfId="8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1611</v>
      </c>
    </row>
    <row r="2" spans="1:1">
      <c r="A2" s="1944"/>
    </row>
    <row r="3" spans="1:1" ht="18">
      <c r="A3" s="1945" t="str">
        <f>项目基本情况!B5&amp;"："</f>
        <v>大连国美电器有限公司：</v>
      </c>
    </row>
    <row r="4" spans="1:1" ht="36">
      <c r="A4" s="1946" t="str">
        <f>"受贵公司委托，我公司对"&amp;项目基本情况!S1&amp;"进行了预评估。"</f>
        <v>受贵公司委托，我公司对北京市北京市海淀区中关村大街18号房地产抵押价值进行了预评估。</v>
      </c>
    </row>
    <row r="5" spans="1:1" ht="18.75">
      <c r="A5" s="1947" t="s">
        <v>1612</v>
      </c>
    </row>
    <row r="6" spans="1:1" ht="18.75">
      <c r="A6" s="1948" t="s">
        <v>1613</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估价对象为北京市北京市海淀区中关村大街18号房地产，为所有。根据《国有土地使用证》[京海国用（2009转）第4657号]，估价对象（分摊）出让国有建设用地使用权面积为927.85平方米，建筑面积为8276.64平方米。</v>
      </c>
    </row>
    <row r="8" spans="1:1" ht="57.75">
      <c r="A8" s="1949" t="s">
        <v>1614</v>
      </c>
    </row>
    <row r="9" spans="1:1" ht="18.75">
      <c r="A9" s="1948" t="s">
        <v>1615</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中关村大街18号房地产,属开发建设的综合项目（商业、办公），该项目尚在开发建设中。根据《国有土地使用证》[京海国用（2009转）第4657号]，估价对象（分摊）出让国有建设用地使用权面积为927.85平方米，规划建筑面积为8276.64平方米。</v>
      </c>
    </row>
    <row r="11" spans="1:1" ht="76.5">
      <c r="A11" s="1949" t="s">
        <v>1616</v>
      </c>
    </row>
    <row r="12" spans="1:1" ht="18.75">
      <c r="A12" s="1947" t="s">
        <v>1617</v>
      </c>
    </row>
    <row r="13" spans="1:1" ht="38.25" customHeight="1">
      <c r="A13" s="1950" t="str">
        <f>IF(项目基本情况!B8="抵押",IF(项目基本情况!B5=项目基本情况!B6,定义!C51,定义!B51),定义!D51)</f>
        <v>为估价委托人在向民生银行大连支行办理贷款手续过程中，确定房地产抵押贷款额度提供参考依据而评估房地产抵押价值。</v>
      </c>
    </row>
    <row r="14" spans="1:1" ht="18.75">
      <c r="A14" s="1951" t="s">
        <v>1618</v>
      </c>
    </row>
    <row r="15" spans="1:1" ht="18">
      <c r="A15" s="1952" t="str">
        <f>TEXT(项目基本情况!D3,"yyyy年m月d日;;")&amp;IF(项目基本情况!D3=项目基本情况!B3,"（评估专业人员实地查勘之日）","")</f>
        <v>2018年12月18日（评估专业人员实地查勘之日）</v>
      </c>
    </row>
    <row r="16" spans="1:1" ht="18.75">
      <c r="A16" s="1951" t="s">
        <v>1619</v>
      </c>
    </row>
    <row r="17" spans="1:1" ht="75">
      <c r="A17" s="1946" t="s">
        <v>1620</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18日，估价对象规划用途为办公，土地取得方式为出让，出让国有建设用地使用权剩余土地使用年限为32.53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六通”（即通路、通电、通讯、通上水、通下水、通热）、红线内场地平整条件下，剩余土地使用年限为32.53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1609</v>
      </c>
    </row>
    <row r="24" spans="1:1" ht="18">
      <c r="A24" s="1953" t="str">
        <f>"本次评估采用的主估价方法为"&amp;结果表!K4&amp;"和"&amp;结果表!L4&amp;"。"</f>
        <v>本次评估采用的主估价方法为成本法和收益法。</v>
      </c>
    </row>
    <row r="25" spans="1:1" ht="18">
      <c r="A25" s="1953"/>
    </row>
    <row r="26" spans="1:1" ht="18.75">
      <c r="A26" s="1954" t="s">
        <v>1610</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8" t="s">
        <v>2691</v>
      </c>
      <c r="C1" s="1618" t="s">
        <v>2519</v>
      </c>
      <c r="D1" s="1619"/>
      <c r="E1" s="1628"/>
      <c r="F1" s="258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t="e">
        <f ca="1">IF(C2="——",ROUND(C43*D3/10000,0),ROUND(C43*D3/10000,0)-D2)</f>
        <v>#DIV/0!</v>
      </c>
      <c r="C2" s="2585"/>
      <c r="D2" s="1124" t="e">
        <f ca="1">SUMIF(INDIRECT("'"&amp;F2&amp;"'"&amp;"!A:A"),"承租人权益价值",INDIRECT("'"&amp;F2&amp;"'"&amp;"!c:c"))</f>
        <v>#REF!</v>
      </c>
      <c r="E2" s="2586" t="s">
        <v>2317</v>
      </c>
      <c r="F2" s="2587"/>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2633</v>
      </c>
      <c r="D3" s="398">
        <f>IF(D1="",'数据-汇总表'!E3,SUMIF('数据-汇总表'!$C19:$C33,D1,'数据-汇总表'!$E19:$E33))</f>
        <v>8276.64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19" t="s">
        <v>2636</v>
      </c>
      <c r="S4" s="3220"/>
      <c r="T4" s="3219" t="s">
        <v>2637</v>
      </c>
      <c r="U4" s="3220"/>
      <c r="V4" s="3244" t="s">
        <v>2638</v>
      </c>
      <c r="W4" s="3244"/>
      <c r="X4" s="1811"/>
      <c r="Y4" s="3219" t="s">
        <v>2640</v>
      </c>
      <c r="Z4" s="3220"/>
      <c r="AA4" s="3214" t="s">
        <v>2636</v>
      </c>
      <c r="AB4" s="3215" t="s">
        <v>2637</v>
      </c>
      <c r="AC4" s="3214" t="s">
        <v>2638</v>
      </c>
    </row>
    <row r="5" spans="1:29" ht="15">
      <c r="A5" s="403"/>
      <c r="B5" s="404"/>
      <c r="C5" s="3225" t="s">
        <v>2531</v>
      </c>
      <c r="D5" s="3226"/>
      <c r="E5" s="3223" t="s">
        <v>2532</v>
      </c>
      <c r="F5" s="3224"/>
      <c r="G5" s="3225" t="s">
        <v>2533</v>
      </c>
      <c r="H5" s="3226"/>
      <c r="I5" s="3225" t="s">
        <v>2534</v>
      </c>
      <c r="J5" s="3226"/>
      <c r="K5" s="609"/>
      <c r="L5" s="1130"/>
      <c r="M5" s="1131"/>
      <c r="N5" s="1131"/>
      <c r="O5" s="1131"/>
      <c r="P5" s="3238"/>
      <c r="Q5" s="3239"/>
      <c r="R5" s="3221"/>
      <c r="S5" s="3222"/>
      <c r="T5" s="3221"/>
      <c r="U5" s="3222"/>
      <c r="V5" s="3244"/>
      <c r="W5" s="3244"/>
      <c r="X5" s="1811"/>
      <c r="Y5" s="3221"/>
      <c r="Z5" s="3222"/>
      <c r="AA5" s="3215"/>
      <c r="AB5" s="3215"/>
      <c r="AC5" s="3215"/>
    </row>
    <row r="6" spans="1:29" ht="15.75" thickBot="1">
      <c r="A6" s="405"/>
      <c r="B6" s="406"/>
      <c r="C6" s="3227" t="s">
        <v>2535</v>
      </c>
      <c r="D6" s="3228"/>
      <c r="E6" s="3229" t="s">
        <v>2535</v>
      </c>
      <c r="F6" s="3230"/>
      <c r="G6" s="3227" t="s">
        <v>2535</v>
      </c>
      <c r="H6" s="3228"/>
      <c r="I6" s="3227" t="s">
        <v>2535</v>
      </c>
      <c r="J6" s="3228"/>
      <c r="K6" s="609" t="s">
        <v>2536</v>
      </c>
      <c r="L6" s="1130"/>
      <c r="M6" s="1131"/>
      <c r="N6" s="1131"/>
      <c r="O6" s="1131"/>
      <c r="P6" s="3240"/>
      <c r="Q6" s="3241"/>
      <c r="R6" s="3221"/>
      <c r="S6" s="3222"/>
      <c r="T6" s="3242"/>
      <c r="U6" s="3243"/>
      <c r="V6" s="3244"/>
      <c r="W6" s="3244"/>
      <c r="X6" s="1811"/>
      <c r="Y6" s="3242"/>
      <c r="Z6" s="3243"/>
      <c r="AA6" s="3216"/>
      <c r="AB6" s="3216"/>
      <c r="AC6" s="3216"/>
    </row>
    <row r="7" spans="1:29" s="116" customFormat="1" ht="15.75" thickBot="1">
      <c r="A7" s="407" t="s">
        <v>2537</v>
      </c>
      <c r="B7" s="408"/>
      <c r="C7" s="409">
        <f>'数据-取费表'!B2</f>
        <v>43452</v>
      </c>
      <c r="D7" s="410">
        <v>100</v>
      </c>
      <c r="E7" s="411"/>
      <c r="F7" s="412">
        <f>SUMIF(52:52,YEAR(E7)&amp;"-"&amp;MONTH(E7),53:53)</f>
        <v>0</v>
      </c>
      <c r="G7" s="411"/>
      <c r="H7" s="410">
        <f>SUMIF(52:52,YEAR(G7)&amp;"-"&amp;MONTH(G7),53:53)</f>
        <v>0</v>
      </c>
      <c r="I7" s="411"/>
      <c r="J7" s="410">
        <f>SUMIF(52:52,YEAR(I7)&amp;"-"&amp;MONTH(I7),53:53)</f>
        <v>0</v>
      </c>
      <c r="K7" s="610"/>
      <c r="L7" s="1132"/>
      <c r="M7" s="1133"/>
      <c r="N7" s="1133"/>
      <c r="O7" s="1133"/>
      <c r="P7" s="3217" t="s">
        <v>2538</v>
      </c>
      <c r="Q7" s="3245"/>
      <c r="R7" s="769" t="s">
        <v>17</v>
      </c>
      <c r="S7" s="770">
        <f t="shared" ref="S7:S15" si="0">F7</f>
        <v>0</v>
      </c>
      <c r="T7" s="769" t="s">
        <v>17</v>
      </c>
      <c r="U7" s="770">
        <f t="shared" ref="U7:U15" si="1">H7</f>
        <v>0</v>
      </c>
      <c r="V7" s="769" t="s">
        <v>17</v>
      </c>
      <c r="W7" s="770">
        <f t="shared" ref="W7:W15" si="2">J7</f>
        <v>0</v>
      </c>
      <c r="X7" s="771"/>
      <c r="Y7" s="3217" t="s">
        <v>2538</v>
      </c>
      <c r="Z7" s="3218"/>
      <c r="AA7" s="772" t="e">
        <f>D7/F7</f>
        <v>#DIV/0!</v>
      </c>
      <c r="AB7" s="772" t="e">
        <f>D7/H7</f>
        <v>#DIV/0!</v>
      </c>
      <c r="AC7" s="772" t="e">
        <f>D7/J7</f>
        <v>#DIV/0!</v>
      </c>
    </row>
    <row r="8" spans="1:29" s="116" customFormat="1" ht="15.7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32"/>
      <c r="M8" s="1133"/>
      <c r="N8" s="1133"/>
      <c r="O8" s="1133"/>
      <c r="P8" s="3217" t="s">
        <v>2541</v>
      </c>
      <c r="Q8" s="3218"/>
      <c r="R8" s="769" t="s">
        <v>17</v>
      </c>
      <c r="S8" s="770">
        <f t="shared" si="0"/>
        <v>0</v>
      </c>
      <c r="T8" s="769" t="s">
        <v>17</v>
      </c>
      <c r="U8" s="770">
        <f t="shared" si="1"/>
        <v>0</v>
      </c>
      <c r="V8" s="769" t="s">
        <v>17</v>
      </c>
      <c r="W8" s="770">
        <f t="shared" si="2"/>
        <v>0</v>
      </c>
      <c r="X8" s="771"/>
      <c r="Y8" s="3217" t="s">
        <v>2541</v>
      </c>
      <c r="Z8" s="3218"/>
      <c r="AA8" s="772" t="e">
        <f t="shared" ref="AA8:AA40" si="3">D8/F8</f>
        <v>#DIV/0!</v>
      </c>
      <c r="AB8" s="772" t="e">
        <f t="shared" ref="AB8:AB40" si="4">D8/H8</f>
        <v>#DIV/0!</v>
      </c>
      <c r="AC8" s="772" t="e">
        <f t="shared" ref="AC8:AC40" si="5">D8/J8</f>
        <v>#DIV/0!</v>
      </c>
    </row>
    <row r="9" spans="1:29" s="116" customFormat="1">
      <c r="A9" s="414" t="s">
        <v>2542</v>
      </c>
      <c r="B9" s="70" t="s">
        <v>2543</v>
      </c>
      <c r="C9" s="415"/>
      <c r="D9" s="134">
        <v>100</v>
      </c>
      <c r="E9" s="418"/>
      <c r="F9" s="134">
        <f>SUMIF(57:57,E9,58:58)-SUMIF(57:57,C9,58:58)+100</f>
        <v>100</v>
      </c>
      <c r="G9" s="416"/>
      <c r="H9" s="134">
        <f>SUMIF(57:57,G9,58:58)-SUMIF(57:57,C9,58:58)+100</f>
        <v>100</v>
      </c>
      <c r="I9" s="416"/>
      <c r="J9" s="134">
        <f>SUMIF(57:57,I9,58:58)-SUMIF(57:57,C9,58:58)+100</f>
        <v>100</v>
      </c>
      <c r="K9" s="610"/>
      <c r="L9" s="1132"/>
      <c r="M9" s="1133"/>
      <c r="N9" s="1133"/>
      <c r="O9" s="1134"/>
      <c r="P9" s="3249" t="s">
        <v>2544</v>
      </c>
      <c r="Q9" s="1793" t="str">
        <f t="shared" ref="Q9:Q15" si="6">B9</f>
        <v>用途</v>
      </c>
      <c r="R9" s="769" t="s">
        <v>17</v>
      </c>
      <c r="S9" s="770">
        <f t="shared" si="0"/>
        <v>100</v>
      </c>
      <c r="T9" s="769" t="s">
        <v>17</v>
      </c>
      <c r="U9" s="770">
        <f t="shared" si="1"/>
        <v>100</v>
      </c>
      <c r="V9" s="769" t="s">
        <v>17</v>
      </c>
      <c r="W9" s="770">
        <f t="shared" si="2"/>
        <v>100</v>
      </c>
      <c r="X9" s="771"/>
      <c r="Y9" s="3044" t="s">
        <v>2545</v>
      </c>
      <c r="Z9" s="54" t="str">
        <f t="shared" ref="Z9:Z15" si="7">Q9</f>
        <v>用途</v>
      </c>
      <c r="AA9" s="772">
        <f t="shared" si="3"/>
        <v>1</v>
      </c>
      <c r="AB9" s="772">
        <f t="shared" si="4"/>
        <v>1</v>
      </c>
      <c r="AC9" s="772">
        <f t="shared" si="5"/>
        <v>1</v>
      </c>
    </row>
    <row r="10" spans="1:29" s="426" customFormat="1" ht="27">
      <c r="A10" s="420"/>
      <c r="B10" s="421" t="s">
        <v>2546</v>
      </c>
      <c r="C10" s="422"/>
      <c r="D10" s="135">
        <v>100</v>
      </c>
      <c r="E10" s="422"/>
      <c r="F10" s="135">
        <f>SUMIF(59:59,E10,60:60)-SUMIF(59:59,C10,60:60)+100</f>
        <v>100</v>
      </c>
      <c r="G10" s="423"/>
      <c r="H10" s="135">
        <f>SUMIF(59:59,G10,60:60)-SUMIF(59:59,C10,60:60)+100</f>
        <v>100</v>
      </c>
      <c r="I10" s="422"/>
      <c r="J10" s="135">
        <f>SUMIF(59:59,I10,60:60)-SUMIF(59:59,C10,60:60)+100</f>
        <v>100</v>
      </c>
      <c r="K10" s="611"/>
      <c r="L10" s="1135"/>
      <c r="M10" s="1136"/>
      <c r="N10" s="1136"/>
      <c r="O10" s="1137"/>
      <c r="P10" s="3249"/>
      <c r="Q10" s="1793" t="str">
        <f t="shared" si="6"/>
        <v>土地使用年限（年）</v>
      </c>
      <c r="R10" s="769" t="s">
        <v>17</v>
      </c>
      <c r="S10" s="770">
        <f t="shared" si="0"/>
        <v>100</v>
      </c>
      <c r="T10" s="769" t="s">
        <v>17</v>
      </c>
      <c r="U10" s="770">
        <f t="shared" si="1"/>
        <v>100</v>
      </c>
      <c r="V10" s="769" t="s">
        <v>17</v>
      </c>
      <c r="W10" s="770">
        <f t="shared" si="2"/>
        <v>100</v>
      </c>
      <c r="X10" s="771"/>
      <c r="Y10" s="3044"/>
      <c r="Z10" s="54" t="str">
        <f t="shared" si="7"/>
        <v>土地使用年限（年）</v>
      </c>
      <c r="AA10" s="772">
        <f t="shared" si="3"/>
        <v>1</v>
      </c>
      <c r="AB10" s="772">
        <f t="shared" si="4"/>
        <v>1</v>
      </c>
      <c r="AC10" s="772">
        <f t="shared" si="5"/>
        <v>1</v>
      </c>
    </row>
    <row r="11" spans="1:29" ht="15">
      <c r="A11" s="427"/>
      <c r="B11" s="421" t="s">
        <v>2547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8"/>
      <c r="M11" s="1131"/>
      <c r="N11" s="1131"/>
      <c r="O11" s="1139"/>
      <c r="P11" s="3249"/>
      <c r="Q11" s="1793" t="str">
        <f t="shared" si="6"/>
        <v>容积率</v>
      </c>
      <c r="R11" s="769" t="s">
        <v>17</v>
      </c>
      <c r="S11" s="770" t="e">
        <f t="shared" si="0"/>
        <v>#N/A</v>
      </c>
      <c r="T11" s="769" t="s">
        <v>17</v>
      </c>
      <c r="U11" s="770" t="e">
        <f t="shared" si="1"/>
        <v>#N/A</v>
      </c>
      <c r="V11" s="769" t="s">
        <v>17</v>
      </c>
      <c r="W11" s="770" t="e">
        <f t="shared" si="2"/>
        <v>#N/A</v>
      </c>
      <c r="X11" s="771"/>
      <c r="Y11" s="3044"/>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2"/>
      <c r="M12" s="1133"/>
      <c r="N12" s="1133"/>
      <c r="O12" s="1134"/>
      <c r="P12" s="3249"/>
      <c r="Q12" s="1793">
        <f t="shared" si="6"/>
        <v>111</v>
      </c>
      <c r="R12" s="769" t="s">
        <v>17</v>
      </c>
      <c r="S12" s="770">
        <f t="shared" si="0"/>
        <v>100</v>
      </c>
      <c r="T12" s="769" t="s">
        <v>17</v>
      </c>
      <c r="U12" s="770">
        <f t="shared" si="1"/>
        <v>100</v>
      </c>
      <c r="V12" s="769" t="s">
        <v>17</v>
      </c>
      <c r="W12" s="770">
        <f t="shared" si="2"/>
        <v>100</v>
      </c>
      <c r="X12" s="771"/>
      <c r="Y12" s="3044"/>
      <c r="Z12" s="54">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0"/>
      <c r="M13" s="1131"/>
      <c r="N13" s="1131"/>
      <c r="O13" s="1139"/>
      <c r="P13" s="3249"/>
      <c r="Q13" s="1793">
        <f t="shared" si="6"/>
        <v>111</v>
      </c>
      <c r="R13" s="769" t="s">
        <v>17</v>
      </c>
      <c r="S13" s="770">
        <f t="shared" si="0"/>
        <v>100</v>
      </c>
      <c r="T13" s="769" t="s">
        <v>17</v>
      </c>
      <c r="U13" s="770">
        <f t="shared" si="1"/>
        <v>100</v>
      </c>
      <c r="V13" s="769" t="s">
        <v>17</v>
      </c>
      <c r="W13" s="770">
        <f t="shared" si="2"/>
        <v>100</v>
      </c>
      <c r="X13" s="771"/>
      <c r="Y13" s="3044"/>
      <c r="Z13" s="54">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0"/>
      <c r="M14" s="1131"/>
      <c r="N14" s="1131"/>
      <c r="O14" s="1139"/>
      <c r="P14" s="3249"/>
      <c r="Q14" s="1793">
        <f t="shared" si="6"/>
        <v>111</v>
      </c>
      <c r="R14" s="769" t="s">
        <v>17</v>
      </c>
      <c r="S14" s="770">
        <f t="shared" si="0"/>
        <v>100</v>
      </c>
      <c r="T14" s="769" t="s">
        <v>17</v>
      </c>
      <c r="U14" s="770">
        <f t="shared" si="1"/>
        <v>100</v>
      </c>
      <c r="V14" s="769" t="s">
        <v>17</v>
      </c>
      <c r="W14" s="770">
        <f t="shared" si="2"/>
        <v>100</v>
      </c>
      <c r="X14" s="771"/>
      <c r="Y14" s="3044"/>
      <c r="Z14" s="54">
        <f t="shared" si="7"/>
        <v>111</v>
      </c>
      <c r="AA14" s="772">
        <f t="shared" si="3"/>
        <v>1</v>
      </c>
      <c r="AB14" s="772">
        <f t="shared" si="4"/>
        <v>1</v>
      </c>
      <c r="AC14" s="772">
        <f t="shared" si="5"/>
        <v>1</v>
      </c>
    </row>
    <row r="15" spans="1:29" ht="15">
      <c r="A15" s="439" t="s">
        <v>2548</v>
      </c>
      <c r="B15" s="68" t="s">
        <v>2692</v>
      </c>
      <c r="C15" s="2692">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251" t="s">
        <v>2549</v>
      </c>
      <c r="Q15" s="1808" t="str">
        <f t="shared" si="6"/>
        <v>产业集聚程度</v>
      </c>
      <c r="R15" s="773" t="s">
        <v>17</v>
      </c>
      <c r="S15" s="774">
        <f t="shared" si="0"/>
        <v>100</v>
      </c>
      <c r="T15" s="773" t="s">
        <v>17</v>
      </c>
      <c r="U15" s="774">
        <f t="shared" si="1"/>
        <v>100</v>
      </c>
      <c r="V15" s="773" t="s">
        <v>17</v>
      </c>
      <c r="W15" s="774">
        <f t="shared" si="2"/>
        <v>100</v>
      </c>
      <c r="X15" s="1811"/>
      <c r="Y15" s="3251" t="s">
        <v>2549</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40"/>
      <c r="M16" s="1131"/>
      <c r="N16" s="1131"/>
      <c r="O16" s="1139"/>
      <c r="P16" s="3252"/>
      <c r="Q16" s="1808"/>
      <c r="R16" s="773"/>
      <c r="S16" s="774"/>
      <c r="T16" s="773"/>
      <c r="U16" s="774"/>
      <c r="V16" s="773"/>
      <c r="W16" s="774"/>
      <c r="X16" s="1811"/>
      <c r="Y16" s="3252"/>
      <c r="Z16" s="1812"/>
      <c r="AA16" s="1809">
        <v>1</v>
      </c>
      <c r="AB16" s="1809">
        <v>1</v>
      </c>
      <c r="AC16" s="1809">
        <v>1</v>
      </c>
    </row>
    <row r="17" spans="1:29" ht="15">
      <c r="A17" s="427"/>
      <c r="B17" s="450" t="s">
        <v>2091</v>
      </c>
      <c r="C17" s="2606">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252"/>
      <c r="Q17" s="1808" t="str">
        <f>B17</f>
        <v>交通便捷度</v>
      </c>
      <c r="R17" s="773" t="s">
        <v>17</v>
      </c>
      <c r="S17" s="774">
        <f>F17</f>
        <v>100</v>
      </c>
      <c r="T17" s="773" t="s">
        <v>17</v>
      </c>
      <c r="U17" s="774">
        <f>H17</f>
        <v>100</v>
      </c>
      <c r="V17" s="773" t="s">
        <v>17</v>
      </c>
      <c r="W17" s="774">
        <f>J17</f>
        <v>100</v>
      </c>
      <c r="X17" s="1811"/>
      <c r="Y17" s="3252"/>
      <c r="Z17" s="1812" t="str">
        <f>Q17</f>
        <v>交通便捷度</v>
      </c>
      <c r="AA17" s="1809">
        <f t="shared" si="3"/>
        <v>1</v>
      </c>
      <c r="AB17" s="1809">
        <f t="shared" si="4"/>
        <v>1</v>
      </c>
      <c r="AC17" s="1809">
        <f t="shared" si="5"/>
        <v>1</v>
      </c>
    </row>
    <row r="18" spans="1:29" ht="15">
      <c r="A18" s="427"/>
      <c r="B18" s="455"/>
      <c r="C18" s="2607"/>
      <c r="D18" s="449"/>
      <c r="E18" s="2609"/>
      <c r="F18" s="452"/>
      <c r="G18" s="2608"/>
      <c r="H18" s="447"/>
      <c r="I18" s="2609"/>
      <c r="J18" s="447"/>
      <c r="K18" s="614"/>
      <c r="L18" s="1140"/>
      <c r="M18" s="1131"/>
      <c r="N18" s="1131"/>
      <c r="O18" s="1139"/>
      <c r="P18" s="3252"/>
      <c r="Q18" s="1808"/>
      <c r="R18" s="773"/>
      <c r="S18" s="774"/>
      <c r="T18" s="773"/>
      <c r="U18" s="774"/>
      <c r="V18" s="773"/>
      <c r="W18" s="774"/>
      <c r="X18" s="1811"/>
      <c r="Y18" s="3252"/>
      <c r="Z18" s="1812"/>
      <c r="AA18" s="1809">
        <v>1</v>
      </c>
      <c r="AB18" s="1809">
        <v>1</v>
      </c>
      <c r="AC18" s="1809">
        <v>1</v>
      </c>
    </row>
    <row r="19" spans="1:29" ht="15">
      <c r="A19" s="427"/>
      <c r="B19" s="450" t="s">
        <v>2677</v>
      </c>
      <c r="C19" s="2606">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252"/>
      <c r="Q19" s="1808" t="str">
        <f>B19</f>
        <v>公共配套设施</v>
      </c>
      <c r="R19" s="773" t="s">
        <v>17</v>
      </c>
      <c r="S19" s="774">
        <f>F19</f>
        <v>100</v>
      </c>
      <c r="T19" s="773" t="s">
        <v>17</v>
      </c>
      <c r="U19" s="774">
        <f>H19</f>
        <v>100</v>
      </c>
      <c r="V19" s="773" t="s">
        <v>17</v>
      </c>
      <c r="W19" s="774">
        <f>J19</f>
        <v>100</v>
      </c>
      <c r="X19" s="1811"/>
      <c r="Y19" s="3252"/>
      <c r="Z19" s="1812" t="str">
        <f>Q19</f>
        <v>公共配套设施</v>
      </c>
      <c r="AA19" s="1809">
        <f t="shared" si="3"/>
        <v>1</v>
      </c>
      <c r="AB19" s="1809">
        <f t="shared" si="4"/>
        <v>1</v>
      </c>
      <c r="AC19" s="1809">
        <f t="shared" si="5"/>
        <v>1</v>
      </c>
    </row>
    <row r="20" spans="1:29" ht="15">
      <c r="A20" s="427"/>
      <c r="B20" s="455"/>
      <c r="C20" s="446"/>
      <c r="D20" s="447"/>
      <c r="E20" s="2604"/>
      <c r="F20" s="448"/>
      <c r="G20" s="2603"/>
      <c r="H20" s="447"/>
      <c r="I20" s="2604"/>
      <c r="J20" s="447"/>
      <c r="K20" s="614"/>
      <c r="L20" s="1140"/>
      <c r="M20" s="1131"/>
      <c r="N20" s="1131"/>
      <c r="O20" s="1139"/>
      <c r="P20" s="3252"/>
      <c r="Q20" s="1808"/>
      <c r="R20" s="773"/>
      <c r="S20" s="774"/>
      <c r="T20" s="773"/>
      <c r="U20" s="774"/>
      <c r="V20" s="773"/>
      <c r="W20" s="774"/>
      <c r="X20" s="1811"/>
      <c r="Y20" s="3252"/>
      <c r="Z20" s="1812"/>
      <c r="AA20" s="1809">
        <v>1</v>
      </c>
      <c r="AB20" s="1809">
        <v>1</v>
      </c>
      <c r="AC20" s="1809">
        <v>1</v>
      </c>
    </row>
    <row r="21" spans="1:29" ht="15">
      <c r="A21" s="427"/>
      <c r="B21" s="1384" t="s">
        <v>2678</v>
      </c>
      <c r="C21" s="2606">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252"/>
      <c r="Q21" s="1808" t="str">
        <f>B21</f>
        <v>基础设施水平</v>
      </c>
      <c r="R21" s="773" t="s">
        <v>17</v>
      </c>
      <c r="S21" s="774">
        <f>F21</f>
        <v>100</v>
      </c>
      <c r="T21" s="773" t="s">
        <v>17</v>
      </c>
      <c r="U21" s="774">
        <f>H21</f>
        <v>100</v>
      </c>
      <c r="V21" s="773" t="s">
        <v>17</v>
      </c>
      <c r="W21" s="774">
        <f>J21</f>
        <v>100</v>
      </c>
      <c r="X21" s="1811"/>
      <c r="Y21" s="3252"/>
      <c r="Z21" s="1812" t="str">
        <f>Q21</f>
        <v>基础设施水平</v>
      </c>
      <c r="AA21" s="1809">
        <f t="shared" ref="AA21" si="8">D21/F21</f>
        <v>1</v>
      </c>
      <c r="AB21" s="1809">
        <f t="shared" ref="AB21" si="9">D21/H21</f>
        <v>1</v>
      </c>
      <c r="AC21" s="1809">
        <f t="shared" ref="AC21" si="10">D21/J21</f>
        <v>1</v>
      </c>
    </row>
    <row r="22" spans="1:29" ht="15">
      <c r="A22" s="427"/>
      <c r="B22" s="1384"/>
      <c r="C22" s="2607"/>
      <c r="D22" s="447"/>
      <c r="E22" s="446"/>
      <c r="F22" s="448"/>
      <c r="G22" s="446"/>
      <c r="H22" s="447"/>
      <c r="I22" s="446"/>
      <c r="J22" s="447"/>
      <c r="K22" s="1383"/>
      <c r="L22" s="1140"/>
      <c r="M22" s="1131"/>
      <c r="N22" s="1131"/>
      <c r="O22" s="1139"/>
      <c r="P22" s="3252"/>
      <c r="Q22" s="1808"/>
      <c r="R22" s="773"/>
      <c r="S22" s="774"/>
      <c r="T22" s="773"/>
      <c r="U22" s="774"/>
      <c r="V22" s="773"/>
      <c r="W22" s="774"/>
      <c r="X22" s="1811"/>
      <c r="Y22" s="3252"/>
      <c r="Z22" s="1812"/>
      <c r="AA22" s="1809">
        <v>1</v>
      </c>
      <c r="AB22" s="1809">
        <v>1</v>
      </c>
      <c r="AC22" s="1809">
        <v>1</v>
      </c>
    </row>
    <row r="23" spans="1:29" ht="15">
      <c r="A23" s="427"/>
      <c r="B23" s="450" t="s">
        <v>2679</v>
      </c>
      <c r="C23" s="2606">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252"/>
      <c r="Q23" s="1808" t="str">
        <f>B23</f>
        <v>环境质量</v>
      </c>
      <c r="R23" s="773" t="s">
        <v>17</v>
      </c>
      <c r="S23" s="774">
        <f>F23</f>
        <v>100</v>
      </c>
      <c r="T23" s="773" t="s">
        <v>17</v>
      </c>
      <c r="U23" s="774">
        <f>H23</f>
        <v>100</v>
      </c>
      <c r="V23" s="773" t="s">
        <v>17</v>
      </c>
      <c r="W23" s="774">
        <f>J23</f>
        <v>100</v>
      </c>
      <c r="X23" s="1811"/>
      <c r="Y23" s="3252"/>
      <c r="Z23" s="1812" t="str">
        <f>Q23</f>
        <v>环境质量</v>
      </c>
      <c r="AA23" s="1809">
        <f t="shared" si="3"/>
        <v>1</v>
      </c>
      <c r="AB23" s="1809">
        <f t="shared" si="4"/>
        <v>1</v>
      </c>
      <c r="AC23" s="1809">
        <f t="shared" si="5"/>
        <v>1</v>
      </c>
    </row>
    <row r="24" spans="1:29" ht="15">
      <c r="A24" s="427"/>
      <c r="B24" s="1384"/>
      <c r="C24" s="446"/>
      <c r="D24" s="447"/>
      <c r="E24" s="2604"/>
      <c r="F24" s="448"/>
      <c r="G24" s="2603"/>
      <c r="H24" s="447"/>
      <c r="I24" s="2604"/>
      <c r="J24" s="447"/>
      <c r="K24" s="614"/>
      <c r="L24" s="1140"/>
      <c r="M24" s="1131"/>
      <c r="N24" s="1131"/>
      <c r="O24" s="1139"/>
      <c r="P24" s="3252"/>
      <c r="Q24" s="1808"/>
      <c r="R24" s="773"/>
      <c r="S24" s="774"/>
      <c r="T24" s="773"/>
      <c r="U24" s="774"/>
      <c r="V24" s="773"/>
      <c r="W24" s="774"/>
      <c r="X24" s="1811"/>
      <c r="Y24" s="3252"/>
      <c r="Z24" s="1812"/>
      <c r="AA24" s="1809">
        <v>1</v>
      </c>
      <c r="AB24" s="1809">
        <v>1</v>
      </c>
      <c r="AC24" s="1809">
        <v>1</v>
      </c>
    </row>
    <row r="25" spans="1:29" ht="15">
      <c r="A25" s="403"/>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252"/>
      <c r="Q25" s="1808">
        <f>B25</f>
        <v>111</v>
      </c>
      <c r="R25" s="773" t="s">
        <v>17</v>
      </c>
      <c r="S25" s="774">
        <f>F25</f>
        <v>100</v>
      </c>
      <c r="T25" s="773" t="s">
        <v>17</v>
      </c>
      <c r="U25" s="774">
        <f>H25</f>
        <v>100</v>
      </c>
      <c r="V25" s="773" t="s">
        <v>17</v>
      </c>
      <c r="W25" s="774">
        <f>J25</f>
        <v>100</v>
      </c>
      <c r="X25" s="1811"/>
      <c r="Y25" s="3252"/>
      <c r="Z25" s="1812">
        <f>Q25</f>
        <v>111</v>
      </c>
      <c r="AA25" s="1809">
        <f t="shared" si="3"/>
        <v>1</v>
      </c>
      <c r="AB25" s="1809">
        <f t="shared" si="4"/>
        <v>1</v>
      </c>
      <c r="AC25" s="1809">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252"/>
      <c r="Q26" s="1808">
        <f t="shared" ref="Q26:Q40" si="11">B26</f>
        <v>111</v>
      </c>
      <c r="R26" s="773" t="s">
        <v>17</v>
      </c>
      <c r="S26" s="774">
        <f>F26</f>
        <v>100</v>
      </c>
      <c r="T26" s="773" t="s">
        <v>17</v>
      </c>
      <c r="U26" s="774">
        <f>H26</f>
        <v>100</v>
      </c>
      <c r="V26" s="773" t="s">
        <v>17</v>
      </c>
      <c r="W26" s="774">
        <f>J26</f>
        <v>100</v>
      </c>
      <c r="X26" s="1811"/>
      <c r="Y26" s="3252"/>
      <c r="Z26" s="1812">
        <f>Q26</f>
        <v>111</v>
      </c>
      <c r="AA26" s="1809">
        <f t="shared" si="3"/>
        <v>1</v>
      </c>
      <c r="AB26" s="1809">
        <f t="shared" si="4"/>
        <v>1</v>
      </c>
      <c r="AC26" s="1809">
        <f t="shared" si="5"/>
        <v>1</v>
      </c>
    </row>
    <row r="27" spans="1:29" s="116"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252"/>
      <c r="Q27" s="1793">
        <f t="shared" si="11"/>
        <v>111</v>
      </c>
      <c r="R27" s="769" t="s">
        <v>17</v>
      </c>
      <c r="S27" s="770">
        <f>F27</f>
        <v>100</v>
      </c>
      <c r="T27" s="769" t="s">
        <v>17</v>
      </c>
      <c r="U27" s="770">
        <f>H27</f>
        <v>100</v>
      </c>
      <c r="V27" s="769" t="s">
        <v>17</v>
      </c>
      <c r="W27" s="770">
        <f>J27</f>
        <v>100</v>
      </c>
      <c r="X27" s="771"/>
      <c r="Y27" s="3252"/>
      <c r="Z27" s="54">
        <f>Q27</f>
        <v>111</v>
      </c>
      <c r="AA27" s="1809">
        <f>D27/F27</f>
        <v>1</v>
      </c>
      <c r="AB27" s="1809">
        <f>D27/H27</f>
        <v>1</v>
      </c>
      <c r="AC27" s="1809">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252"/>
      <c r="Q28" s="1808">
        <f t="shared" si="11"/>
        <v>111</v>
      </c>
      <c r="R28" s="773" t="s">
        <v>17</v>
      </c>
      <c r="S28" s="774">
        <f t="shared" ref="S28:S40" si="12">F28</f>
        <v>100</v>
      </c>
      <c r="T28" s="773" t="s">
        <v>17</v>
      </c>
      <c r="U28" s="774">
        <f t="shared" ref="U28:U40" si="13">H28</f>
        <v>100</v>
      </c>
      <c r="V28" s="773" t="s">
        <v>17</v>
      </c>
      <c r="W28" s="774">
        <f t="shared" ref="W28:W40" si="14">J28</f>
        <v>100</v>
      </c>
      <c r="X28" s="1811"/>
      <c r="Y28" s="3252"/>
      <c r="Z28" s="1812">
        <f t="shared" ref="Z28:Z40" si="15">Q28</f>
        <v>111</v>
      </c>
      <c r="AA28" s="1809">
        <f t="shared" si="3"/>
        <v>1</v>
      </c>
      <c r="AB28" s="1809">
        <f t="shared" si="4"/>
        <v>1</v>
      </c>
      <c r="AC28" s="1809">
        <f t="shared" si="5"/>
        <v>1</v>
      </c>
    </row>
    <row r="29" spans="1:29" ht="15">
      <c r="A29" s="465" t="s">
        <v>2552</v>
      </c>
      <c r="B29" s="70" t="s">
        <v>2682</v>
      </c>
      <c r="C29" s="2678"/>
      <c r="D29" s="466">
        <v>100</v>
      </c>
      <c r="E29" s="2678"/>
      <c r="F29" s="460">
        <f>SUMIF(88:88,E29,89:89)-SUMIF(88:88,C29,89:89)+100</f>
        <v>100</v>
      </c>
      <c r="G29" s="2678"/>
      <c r="H29" s="434">
        <f>SUMIF(88:88,G29,89:89)-SUMIF(88:88,C29,89:89)+100</f>
        <v>100</v>
      </c>
      <c r="I29" s="2678"/>
      <c r="J29" s="466">
        <f>SUMIF(88:88,I29,89:89)-SUMIF(88:88,C29,89:89)+100</f>
        <v>100</v>
      </c>
      <c r="K29" s="611"/>
      <c r="L29" s="1140"/>
      <c r="M29" s="1131"/>
      <c r="N29" s="1131"/>
      <c r="O29" s="1139"/>
      <c r="P29" s="3276" t="s">
        <v>2554</v>
      </c>
      <c r="Q29" s="1808" t="str">
        <f t="shared" si="11"/>
        <v>建筑类型</v>
      </c>
      <c r="R29" s="773" t="s">
        <v>17</v>
      </c>
      <c r="S29" s="774">
        <f t="shared" si="12"/>
        <v>100</v>
      </c>
      <c r="T29" s="773" t="s">
        <v>17</v>
      </c>
      <c r="U29" s="774">
        <f t="shared" si="13"/>
        <v>100</v>
      </c>
      <c r="V29" s="773" t="s">
        <v>17</v>
      </c>
      <c r="W29" s="774">
        <f t="shared" si="14"/>
        <v>100</v>
      </c>
      <c r="X29" s="1811"/>
      <c r="Y29" s="3256" t="s">
        <v>2554</v>
      </c>
      <c r="Z29" s="1812" t="str">
        <f t="shared" si="15"/>
        <v>建筑类型</v>
      </c>
      <c r="AA29" s="1809">
        <f t="shared" si="3"/>
        <v>1</v>
      </c>
      <c r="AB29" s="1809">
        <f t="shared" si="4"/>
        <v>1</v>
      </c>
      <c r="AC29" s="1809">
        <f t="shared" si="5"/>
        <v>1</v>
      </c>
    </row>
    <row r="30" spans="1:29" s="470" customFormat="1" ht="15">
      <c r="A30" s="467"/>
      <c r="B30" s="421" t="s">
        <v>2555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8"/>
      <c r="M30" s="1141"/>
      <c r="N30" s="1141"/>
      <c r="O30" s="1142"/>
      <c r="P30" s="3256"/>
      <c r="Q30" s="775" t="str">
        <f t="shared" si="11"/>
        <v>项目建筑规模</v>
      </c>
      <c r="R30" s="776" t="s">
        <v>17</v>
      </c>
      <c r="S30" s="777" t="e">
        <f t="shared" si="12"/>
        <v>#N/A</v>
      </c>
      <c r="T30" s="776" t="s">
        <v>17</v>
      </c>
      <c r="U30" s="777" t="e">
        <f t="shared" si="13"/>
        <v>#N/A</v>
      </c>
      <c r="V30" s="776" t="s">
        <v>17</v>
      </c>
      <c r="W30" s="777" t="e">
        <f t="shared" si="14"/>
        <v>#N/A</v>
      </c>
      <c r="X30" s="778"/>
      <c r="Y30" s="3256"/>
      <c r="Z30" s="779" t="str">
        <f t="shared" si="15"/>
        <v>项目建筑规模</v>
      </c>
      <c r="AA30" s="1809" t="e">
        <f t="shared" si="3"/>
        <v>#N/A</v>
      </c>
      <c r="AB30" s="1809" t="e">
        <f t="shared" si="4"/>
        <v>#N/A</v>
      </c>
      <c r="AC30" s="1809"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256"/>
      <c r="Q31" s="1808" t="str">
        <f t="shared" si="11"/>
        <v>建筑结构</v>
      </c>
      <c r="R31" s="773" t="s">
        <v>17</v>
      </c>
      <c r="S31" s="774">
        <f t="shared" si="12"/>
        <v>100</v>
      </c>
      <c r="T31" s="773" t="s">
        <v>17</v>
      </c>
      <c r="U31" s="774">
        <f t="shared" si="13"/>
        <v>100</v>
      </c>
      <c r="V31" s="773" t="s">
        <v>17</v>
      </c>
      <c r="W31" s="774">
        <f t="shared" si="14"/>
        <v>100</v>
      </c>
      <c r="X31" s="1811"/>
      <c r="Y31" s="3256"/>
      <c r="Z31" s="1812" t="str">
        <f t="shared" si="15"/>
        <v>建筑结构</v>
      </c>
      <c r="AA31" s="1809">
        <f t="shared" si="3"/>
        <v>1</v>
      </c>
      <c r="AB31" s="1809">
        <f t="shared" si="4"/>
        <v>1</v>
      </c>
      <c r="AC31" s="1809">
        <f t="shared" si="5"/>
        <v>1</v>
      </c>
    </row>
    <row r="32" spans="1:29" ht="15">
      <c r="A32" s="471"/>
      <c r="B32" s="421" t="s">
        <v>2650</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256"/>
      <c r="Q32" s="1808" t="str">
        <f t="shared" si="11"/>
        <v>公共部分装修</v>
      </c>
      <c r="R32" s="773" t="s">
        <v>17</v>
      </c>
      <c r="S32" s="774">
        <f t="shared" si="12"/>
        <v>100</v>
      </c>
      <c r="T32" s="773" t="s">
        <v>17</v>
      </c>
      <c r="U32" s="774">
        <f t="shared" si="13"/>
        <v>100</v>
      </c>
      <c r="V32" s="773" t="s">
        <v>17</v>
      </c>
      <c r="W32" s="774">
        <f t="shared" si="14"/>
        <v>100</v>
      </c>
      <c r="X32" s="1811"/>
      <c r="Y32" s="3256"/>
      <c r="Z32" s="1812" t="str">
        <f t="shared" si="15"/>
        <v>公共部分装修</v>
      </c>
      <c r="AA32" s="1809">
        <f t="shared" si="3"/>
        <v>1</v>
      </c>
      <c r="AB32" s="1809">
        <f t="shared" si="4"/>
        <v>1</v>
      </c>
      <c r="AC32" s="1809">
        <f t="shared" si="5"/>
        <v>1</v>
      </c>
    </row>
    <row r="33" spans="1:29" ht="15">
      <c r="A33" s="471"/>
      <c r="B33" s="421" t="s">
        <v>2651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256"/>
      <c r="Q33" s="1808" t="str">
        <f t="shared" si="11"/>
        <v>成新度</v>
      </c>
      <c r="R33" s="773" t="s">
        <v>17</v>
      </c>
      <c r="S33" s="774" t="e">
        <f t="shared" si="12"/>
        <v>#N/A</v>
      </c>
      <c r="T33" s="773" t="s">
        <v>17</v>
      </c>
      <c r="U33" s="774" t="e">
        <f t="shared" si="13"/>
        <v>#N/A</v>
      </c>
      <c r="V33" s="773" t="s">
        <v>17</v>
      </c>
      <c r="W33" s="774" t="e">
        <f t="shared" si="14"/>
        <v>#N/A</v>
      </c>
      <c r="X33" s="1811"/>
      <c r="Y33" s="3256"/>
      <c r="Z33" s="1812" t="str">
        <f t="shared" si="15"/>
        <v>成新度</v>
      </c>
      <c r="AA33" s="1809" t="e">
        <f t="shared" si="3"/>
        <v>#N/A</v>
      </c>
      <c r="AB33" s="1809" t="e">
        <f t="shared" si="4"/>
        <v>#N/A</v>
      </c>
      <c r="AC33" s="1809" t="e">
        <f t="shared" si="5"/>
        <v>#N/A</v>
      </c>
    </row>
    <row r="34" spans="1:29" s="116" customFormat="1" ht="15">
      <c r="A34" s="472"/>
      <c r="B34" s="421" t="s">
        <v>2684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256"/>
      <c r="Q34" s="1793" t="str">
        <f t="shared" si="11"/>
        <v>物业管理</v>
      </c>
      <c r="R34" s="769" t="s">
        <v>17</v>
      </c>
      <c r="S34" s="770">
        <f t="shared" si="12"/>
        <v>100</v>
      </c>
      <c r="T34" s="769" t="s">
        <v>17</v>
      </c>
      <c r="U34" s="770">
        <f t="shared" si="13"/>
        <v>100</v>
      </c>
      <c r="V34" s="769" t="s">
        <v>17</v>
      </c>
      <c r="W34" s="770">
        <f t="shared" si="14"/>
        <v>100</v>
      </c>
      <c r="X34" s="771"/>
      <c r="Y34" s="3256"/>
      <c r="Z34" s="54" t="str">
        <f t="shared" si="15"/>
        <v>物业管理</v>
      </c>
      <c r="AA34" s="772">
        <f t="shared" si="3"/>
        <v>1</v>
      </c>
      <c r="AB34" s="772">
        <f t="shared" si="4"/>
        <v>1</v>
      </c>
      <c r="AC34" s="772">
        <f t="shared" si="5"/>
        <v>1</v>
      </c>
    </row>
    <row r="35" spans="1:29" ht="15">
      <c r="A35" s="471"/>
      <c r="B35" s="421" t="s">
        <v>2652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256" t="s">
        <v>2554</v>
      </c>
      <c r="Q35" s="1808" t="str">
        <f t="shared" si="11"/>
        <v>市政基础设施</v>
      </c>
      <c r="R35" s="773" t="s">
        <v>17</v>
      </c>
      <c r="S35" s="774">
        <f t="shared" si="12"/>
        <v>100</v>
      </c>
      <c r="T35" s="773" t="s">
        <v>17</v>
      </c>
      <c r="U35" s="774">
        <f t="shared" si="13"/>
        <v>100</v>
      </c>
      <c r="V35" s="773" t="s">
        <v>17</v>
      </c>
      <c r="W35" s="774">
        <f t="shared" si="14"/>
        <v>100</v>
      </c>
      <c r="X35" s="1811"/>
      <c r="Y35" s="3256" t="s">
        <v>2554</v>
      </c>
      <c r="Z35" s="1812" t="str">
        <f t="shared" si="15"/>
        <v>市政基础设施</v>
      </c>
      <c r="AA35" s="1809">
        <f t="shared" si="3"/>
        <v>1</v>
      </c>
      <c r="AB35" s="1809">
        <f t="shared" si="4"/>
        <v>1</v>
      </c>
      <c r="AC35" s="1809">
        <f t="shared" si="5"/>
        <v>1</v>
      </c>
    </row>
    <row r="36" spans="1:29" ht="15">
      <c r="A36" s="471"/>
      <c r="B36" s="421" t="s">
        <v>2657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256"/>
      <c r="Q36" s="1808" t="str">
        <f t="shared" si="11"/>
        <v>内部装修</v>
      </c>
      <c r="R36" s="773" t="s">
        <v>17</v>
      </c>
      <c r="S36" s="774">
        <f t="shared" si="12"/>
        <v>100</v>
      </c>
      <c r="T36" s="773" t="s">
        <v>17</v>
      </c>
      <c r="U36" s="774">
        <f t="shared" si="13"/>
        <v>100</v>
      </c>
      <c r="V36" s="773" t="s">
        <v>17</v>
      </c>
      <c r="W36" s="774">
        <f t="shared" si="14"/>
        <v>100</v>
      </c>
      <c r="X36" s="1811"/>
      <c r="Y36" s="3256"/>
      <c r="Z36" s="1812" t="str">
        <f t="shared" si="15"/>
        <v>内部装修</v>
      </c>
      <c r="AA36" s="1809">
        <f t="shared" si="3"/>
        <v>1</v>
      </c>
      <c r="AB36" s="1809">
        <f t="shared" si="4"/>
        <v>1</v>
      </c>
      <c r="AC36" s="1809">
        <f t="shared" si="5"/>
        <v>1</v>
      </c>
    </row>
    <row r="37" spans="1:29" ht="15">
      <c r="A37" s="471"/>
      <c r="B37" s="421" t="s">
        <v>2693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256"/>
      <c r="Q37" s="1808" t="str">
        <f t="shared" si="11"/>
        <v>内部装修状况</v>
      </c>
      <c r="R37" s="773" t="s">
        <v>17</v>
      </c>
      <c r="S37" s="774">
        <f t="shared" si="12"/>
        <v>100</v>
      </c>
      <c r="T37" s="773" t="s">
        <v>17</v>
      </c>
      <c r="U37" s="774">
        <f t="shared" si="13"/>
        <v>100</v>
      </c>
      <c r="V37" s="773" t="s">
        <v>17</v>
      </c>
      <c r="W37" s="774">
        <f t="shared" si="14"/>
        <v>100</v>
      </c>
      <c r="X37" s="1811"/>
      <c r="Y37" s="3256"/>
      <c r="Z37" s="1812" t="str">
        <f t="shared" si="15"/>
        <v>内部装修状况</v>
      </c>
      <c r="AA37" s="1809">
        <f t="shared" si="3"/>
        <v>1</v>
      </c>
      <c r="AB37" s="1809">
        <f t="shared" si="4"/>
        <v>1</v>
      </c>
      <c r="AC37" s="1809">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256"/>
      <c r="Q38" s="775">
        <f t="shared" si="11"/>
        <v>111</v>
      </c>
      <c r="R38" s="776" t="s">
        <v>17</v>
      </c>
      <c r="S38" s="777">
        <f t="shared" si="12"/>
        <v>100</v>
      </c>
      <c r="T38" s="776" t="s">
        <v>17</v>
      </c>
      <c r="U38" s="777">
        <f t="shared" si="13"/>
        <v>100</v>
      </c>
      <c r="V38" s="776" t="s">
        <v>17</v>
      </c>
      <c r="W38" s="777">
        <f t="shared" si="14"/>
        <v>100</v>
      </c>
      <c r="X38" s="778"/>
      <c r="Y38" s="3256"/>
      <c r="Z38" s="779">
        <f t="shared" si="15"/>
        <v>111</v>
      </c>
      <c r="AA38" s="1809">
        <f t="shared" si="3"/>
        <v>1</v>
      </c>
      <c r="AB38" s="1809">
        <f t="shared" si="4"/>
        <v>1</v>
      </c>
      <c r="AC38" s="1809">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256"/>
      <c r="Q39" s="1808">
        <f t="shared" si="11"/>
        <v>111</v>
      </c>
      <c r="R39" s="773" t="s">
        <v>17</v>
      </c>
      <c r="S39" s="774">
        <f t="shared" si="12"/>
        <v>100</v>
      </c>
      <c r="T39" s="773" t="s">
        <v>17</v>
      </c>
      <c r="U39" s="774">
        <f t="shared" si="13"/>
        <v>100</v>
      </c>
      <c r="V39" s="773" t="s">
        <v>17</v>
      </c>
      <c r="W39" s="774">
        <f t="shared" si="14"/>
        <v>100</v>
      </c>
      <c r="X39" s="1811"/>
      <c r="Y39" s="3256"/>
      <c r="Z39" s="1812">
        <f t="shared" si="15"/>
        <v>111</v>
      </c>
      <c r="AA39" s="1809">
        <f t="shared" si="3"/>
        <v>1</v>
      </c>
      <c r="AB39" s="1809">
        <f t="shared" si="4"/>
        <v>1</v>
      </c>
      <c r="AC39" s="1809">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57"/>
      <c r="Q40" s="1808">
        <f t="shared" si="11"/>
        <v>111</v>
      </c>
      <c r="R40" s="773" t="s">
        <v>17</v>
      </c>
      <c r="S40" s="774">
        <f t="shared" si="12"/>
        <v>100</v>
      </c>
      <c r="T40" s="773" t="s">
        <v>17</v>
      </c>
      <c r="U40" s="774">
        <f t="shared" si="13"/>
        <v>100</v>
      </c>
      <c r="V40" s="773" t="s">
        <v>17</v>
      </c>
      <c r="W40" s="774">
        <f t="shared" si="14"/>
        <v>100</v>
      </c>
      <c r="X40" s="1811"/>
      <c r="Y40" s="3257"/>
      <c r="Z40" s="1812">
        <f t="shared" si="15"/>
        <v>111</v>
      </c>
      <c r="AA40" s="1809">
        <f t="shared" si="3"/>
        <v>1</v>
      </c>
      <c r="AB40" s="1809">
        <f t="shared" si="4"/>
        <v>1</v>
      </c>
      <c r="AC40" s="1809">
        <f t="shared" si="5"/>
        <v>1</v>
      </c>
    </row>
    <row r="41" spans="1:29" ht="15">
      <c r="A41" s="478" t="s">
        <v>2566</v>
      </c>
      <c r="B41" s="479"/>
      <c r="C41" s="1406" t="s">
        <v>1</v>
      </c>
      <c r="D41" s="1407"/>
      <c r="E41" s="1408"/>
      <c r="F41" s="1409"/>
      <c r="G41" s="1410"/>
      <c r="H41" s="1411"/>
      <c r="I41" s="1408"/>
      <c r="J41" s="1411"/>
      <c r="K41" s="782"/>
      <c r="L41" s="1143"/>
      <c r="M41" s="1144"/>
      <c r="N41" s="1131"/>
      <c r="O41" s="1144"/>
      <c r="P41" s="3249" t="str">
        <f>A41</f>
        <v>成交单价（元/平方米）</v>
      </c>
      <c r="Q41" s="3249"/>
      <c r="R41" s="3250">
        <f>E41</f>
        <v>0</v>
      </c>
      <c r="S41" s="3250"/>
      <c r="T41" s="3250">
        <f>G41</f>
        <v>0</v>
      </c>
      <c r="U41" s="3250"/>
      <c r="V41" s="3250">
        <f>I41</f>
        <v>0</v>
      </c>
      <c r="W41" s="3250"/>
      <c r="X41" s="758"/>
      <c r="Y41" s="780"/>
      <c r="Z41" s="758"/>
      <c r="AA41" s="758"/>
      <c r="AB41" s="758"/>
      <c r="AC41" s="758"/>
    </row>
    <row r="42" spans="1:29" ht="15.75" thickBot="1">
      <c r="A42" s="485" t="s">
        <v>2658</v>
      </c>
      <c r="B42" s="486"/>
      <c r="C42" s="1412" t="e">
        <f>R43</f>
        <v>#DIV/0!</v>
      </c>
      <c r="D42" s="1413"/>
      <c r="E42" s="1414" t="e">
        <f>R42</f>
        <v>#DIV/0!</v>
      </c>
      <c r="F42" s="1414"/>
      <c r="G42" s="1412" t="e">
        <f>T42</f>
        <v>#DIV/0!</v>
      </c>
      <c r="H42" s="1413"/>
      <c r="I42" s="1414" t="e">
        <f>V42</f>
        <v>#DIV/0!</v>
      </c>
      <c r="J42" s="1413"/>
      <c r="K42" s="783"/>
      <c r="L42" s="1143"/>
      <c r="M42" s="1144"/>
      <c r="N42" s="1131"/>
      <c r="O42" s="1144"/>
      <c r="P42" s="3249" t="str">
        <f>A42</f>
        <v>比较价值（元/平方米）</v>
      </c>
      <c r="Q42" s="3249"/>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8"/>
      <c r="Y42" s="758"/>
      <c r="Z42" s="758"/>
      <c r="AA42" s="758"/>
      <c r="AB42" s="758"/>
      <c r="AC42" s="758"/>
    </row>
    <row r="43" spans="1:29" ht="15.75" thickBot="1">
      <c r="A43" s="491" t="s">
        <v>2659</v>
      </c>
      <c r="B43" s="492"/>
      <c r="C43" s="1416" t="e">
        <f>R43</f>
        <v>#DIV/0!</v>
      </c>
      <c r="D43" s="1416"/>
      <c r="E43" s="1416"/>
      <c r="F43" s="1416"/>
      <c r="G43" s="1416"/>
      <c r="H43" s="1416"/>
      <c r="I43" s="1416"/>
      <c r="J43" s="1416"/>
      <c r="K43" s="784"/>
      <c r="L43" s="1143"/>
      <c r="M43" s="1144"/>
      <c r="N43" s="1144"/>
      <c r="O43" s="1144"/>
      <c r="P43" s="3246" t="str">
        <f>A43</f>
        <v>估价对象XX用房的比较价值（楼面单价，元/平方米）</v>
      </c>
      <c r="Q43" s="3247"/>
      <c r="R43" s="3248" t="e">
        <f>IF(F1="售价",ROUND(AVERAGE(R42:V42),0),ROUND(AVERAGE(R42:V42),1))</f>
        <v>#DIV/0!</v>
      </c>
      <c r="S43" s="3248"/>
      <c r="T43" s="3248"/>
      <c r="U43" s="3248"/>
      <c r="V43" s="3248"/>
      <c r="W43" s="3248"/>
      <c r="X43" s="758"/>
      <c r="Y43" s="758"/>
      <c r="Z43" s="758"/>
      <c r="AA43" s="758"/>
      <c r="AB43" s="758"/>
      <c r="AC43" s="758"/>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2" t="s">
        <v>2663</v>
      </c>
      <c r="B51" s="758"/>
      <c r="C51" s="763"/>
      <c r="D51" s="763"/>
      <c r="E51" s="763"/>
      <c r="F51" s="764"/>
      <c r="G51" s="764"/>
      <c r="H51" s="763"/>
      <c r="I51" s="763"/>
      <c r="J51" s="763"/>
      <c r="K51" s="1160"/>
      <c r="L51" s="1161"/>
      <c r="M51" s="1159"/>
      <c r="N51" s="1159"/>
      <c r="O51" s="1159"/>
      <c r="P51" s="502"/>
      <c r="Q51" s="503"/>
    </row>
    <row r="52" spans="1:17" s="507" customFormat="1" ht="15">
      <c r="A52" s="504" t="s">
        <v>2537</v>
      </c>
      <c r="B52" s="505"/>
      <c r="C52" s="1572" t="str">
        <f>YEAR(C7)&amp;"-"&amp;MONTH(C7)</f>
        <v>2018-12</v>
      </c>
      <c r="D52" s="1573">
        <f>EDATE(C52,-1)</f>
        <v>43405</v>
      </c>
      <c r="E52" s="1573">
        <f t="shared" ref="E52:O52" si="16">EDATE(D52,-1)</f>
        <v>43374</v>
      </c>
      <c r="F52" s="1573">
        <f t="shared" si="16"/>
        <v>43344</v>
      </c>
      <c r="G52" s="1573">
        <f t="shared" si="16"/>
        <v>43313</v>
      </c>
      <c r="H52" s="1573">
        <f t="shared" si="16"/>
        <v>43282</v>
      </c>
      <c r="I52" s="1573">
        <f t="shared" si="16"/>
        <v>43252</v>
      </c>
      <c r="J52" s="1573">
        <f t="shared" si="16"/>
        <v>43221</v>
      </c>
      <c r="K52" s="1573">
        <f t="shared" si="16"/>
        <v>43191</v>
      </c>
      <c r="L52" s="1573">
        <f t="shared" si="16"/>
        <v>43160</v>
      </c>
      <c r="M52" s="1573">
        <f t="shared" si="16"/>
        <v>43132</v>
      </c>
      <c r="N52" s="1573">
        <f t="shared" si="16"/>
        <v>43101</v>
      </c>
      <c r="O52" s="1573">
        <f t="shared" si="16"/>
        <v>43070</v>
      </c>
      <c r="P52" s="506"/>
    </row>
    <row r="53" spans="1:17" s="116" customFormat="1" ht="15">
      <c r="A53" s="508"/>
      <c r="B53" s="509"/>
      <c r="C53" s="1571">
        <v>100</v>
      </c>
      <c r="D53" s="511"/>
      <c r="E53" s="511"/>
      <c r="F53" s="511"/>
      <c r="G53" s="511"/>
      <c r="H53" s="511"/>
      <c r="I53" s="511"/>
      <c r="J53" s="511"/>
      <c r="K53" s="511"/>
      <c r="L53" s="511"/>
      <c r="M53" s="512"/>
      <c r="N53" s="511"/>
      <c r="O53" s="513"/>
      <c r="P53" s="503"/>
    </row>
    <row r="54" spans="1:17" s="116" customFormat="1" ht="15.75" thickBot="1">
      <c r="A54" s="514" t="s">
        <v>2574</v>
      </c>
      <c r="B54" s="515"/>
      <c r="C54" s="516"/>
      <c r="D54" s="517"/>
      <c r="E54" s="517"/>
      <c r="F54" s="517"/>
      <c r="G54" s="517"/>
      <c r="H54" s="517"/>
      <c r="I54" s="517"/>
      <c r="J54" s="517"/>
      <c r="K54" s="517"/>
      <c r="L54" s="517"/>
      <c r="M54" s="518"/>
      <c r="N54" s="517"/>
      <c r="O54" s="519"/>
      <c r="P54" s="503"/>
      <c r="Q54" s="503"/>
    </row>
    <row r="55" spans="1:17" s="116" customFormat="1" ht="15">
      <c r="A55" s="520" t="s">
        <v>2539</v>
      </c>
      <c r="B55" s="509"/>
      <c r="C55" s="521" t="s">
        <v>2641</v>
      </c>
      <c r="D55" s="522"/>
      <c r="E55" s="522"/>
      <c r="F55" s="522"/>
      <c r="G55" s="522"/>
      <c r="H55" s="522"/>
      <c r="I55" s="522"/>
      <c r="J55" s="522"/>
      <c r="K55" s="522"/>
      <c r="L55" s="523"/>
      <c r="M55" s="524"/>
      <c r="N55" s="1151"/>
      <c r="O55" s="1151"/>
      <c r="P55" s="525"/>
      <c r="Q55" s="503"/>
    </row>
    <row r="56" spans="1:17" s="116" customFormat="1" ht="15.75" thickBot="1">
      <c r="A56" s="520"/>
      <c r="B56" s="509"/>
      <c r="C56" s="638">
        <v>100</v>
      </c>
      <c r="D56" s="511"/>
      <c r="E56" s="511"/>
      <c r="F56" s="511"/>
      <c r="G56" s="511"/>
      <c r="H56" s="511"/>
      <c r="I56" s="511"/>
      <c r="J56" s="511"/>
      <c r="K56" s="511"/>
      <c r="L56" s="511"/>
      <c r="M56" s="513"/>
      <c r="N56" s="1151"/>
      <c r="O56" s="1151"/>
      <c r="P56" s="503"/>
      <c r="Q56" s="503"/>
    </row>
    <row r="57" spans="1:17">
      <c r="A57" s="526" t="s">
        <v>2577</v>
      </c>
      <c r="B57" s="527" t="s">
        <v>2543</v>
      </c>
      <c r="C57" s="528">
        <f>C9</f>
        <v>0</v>
      </c>
      <c r="D57" s="529"/>
      <c r="E57" s="529"/>
      <c r="F57" s="529"/>
      <c r="G57" s="529"/>
      <c r="H57" s="529"/>
      <c r="I57" s="529"/>
      <c r="J57" s="529"/>
      <c r="K57" s="530"/>
      <c r="L57" s="531"/>
      <c r="M57" s="532"/>
      <c r="N57" s="1152"/>
      <c r="O57" s="1152"/>
      <c r="P57" s="44"/>
      <c r="Q57" s="503"/>
    </row>
    <row r="58" spans="1:17" ht="15.75" thickBot="1">
      <c r="A58" s="533"/>
      <c r="B58" s="534"/>
      <c r="C58" s="535">
        <v>100</v>
      </c>
      <c r="D58" s="535"/>
      <c r="E58" s="535"/>
      <c r="F58" s="535"/>
      <c r="G58" s="535"/>
      <c r="H58" s="535"/>
      <c r="I58" s="535"/>
      <c r="J58" s="535"/>
      <c r="K58" s="535"/>
      <c r="L58" s="535"/>
      <c r="M58" s="536"/>
      <c r="N58" s="1153"/>
      <c r="O58" s="1153"/>
      <c r="P58" s="44"/>
      <c r="Q58" s="503"/>
    </row>
    <row r="59" spans="1:17" ht="27.75" thickTop="1">
      <c r="A59" s="533"/>
      <c r="B59" s="537" t="s">
        <v>2546</v>
      </c>
      <c r="C59" s="538" t="s">
        <v>2578</v>
      </c>
      <c r="D59" s="538" t="s">
        <v>2579</v>
      </c>
      <c r="E59" s="538" t="s">
        <v>2580</v>
      </c>
      <c r="F59" s="538" t="s">
        <v>2581</v>
      </c>
      <c r="G59" s="538" t="s">
        <v>2582</v>
      </c>
      <c r="H59" s="538" t="s">
        <v>2583</v>
      </c>
      <c r="I59" s="538" t="s">
        <v>2584</v>
      </c>
      <c r="J59" s="538"/>
      <c r="K59" s="539"/>
      <c r="L59" s="540"/>
      <c r="M59" s="541"/>
      <c r="N59" s="1152"/>
      <c r="O59" s="1152"/>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4"/>
      <c r="Q60" s="503"/>
    </row>
    <row r="61" spans="1:17" ht="15.7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4"/>
      <c r="Q61" s="503"/>
    </row>
    <row r="62" spans="1:17" ht="15">
      <c r="A62" s="533"/>
      <c r="B62" s="547"/>
      <c r="C62" s="548"/>
      <c r="D62" s="548"/>
      <c r="E62" s="548"/>
      <c r="F62" s="548"/>
      <c r="G62" s="548"/>
      <c r="H62" s="548"/>
      <c r="I62" s="548"/>
      <c r="J62" s="548"/>
      <c r="K62" s="549"/>
      <c r="L62" s="550"/>
      <c r="M62" s="551"/>
      <c r="N62" s="1152"/>
      <c r="O62" s="1152"/>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4"/>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2548</v>
      </c>
      <c r="B70" s="527" t="s">
        <v>2694</v>
      </c>
      <c r="C70" s="572" t="s">
        <v>2586</v>
      </c>
      <c r="D70" s="572" t="s">
        <v>2587</v>
      </c>
      <c r="E70" s="572" t="s">
        <v>2588</v>
      </c>
      <c r="F70" s="572" t="s">
        <v>2589</v>
      </c>
      <c r="G70" s="572" t="s">
        <v>2590</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4"/>
      <c r="Q71" s="503"/>
    </row>
    <row r="72" spans="1:17" ht="15.75" thickTop="1">
      <c r="A72" s="533"/>
      <c r="B72" s="537" t="s">
        <v>2591</v>
      </c>
      <c r="C72" s="577" t="s">
        <v>2586</v>
      </c>
      <c r="D72" s="577" t="s">
        <v>2587</v>
      </c>
      <c r="E72" s="577" t="s">
        <v>2588</v>
      </c>
      <c r="F72" s="577" t="s">
        <v>2589</v>
      </c>
      <c r="G72" s="577" t="s">
        <v>2590</v>
      </c>
      <c r="H72" s="538"/>
      <c r="I72" s="538"/>
      <c r="J72" s="538"/>
      <c r="K72" s="539"/>
      <c r="L72" s="540"/>
      <c r="M72" s="541"/>
      <c r="N72" s="1152"/>
      <c r="O72" s="1152"/>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4"/>
      <c r="Q73" s="503"/>
    </row>
    <row r="74" spans="1:17" ht="15.75" thickTop="1">
      <c r="A74" s="533"/>
      <c r="B74" s="537" t="s">
        <v>2592</v>
      </c>
      <c r="C74" s="577" t="s">
        <v>2586</v>
      </c>
      <c r="D74" s="577" t="s">
        <v>2587</v>
      </c>
      <c r="E74" s="577" t="s">
        <v>2588</v>
      </c>
      <c r="F74" s="577" t="s">
        <v>2589</v>
      </c>
      <c r="G74" s="577" t="s">
        <v>2590</v>
      </c>
      <c r="H74" s="538"/>
      <c r="I74" s="538"/>
      <c r="J74" s="538"/>
      <c r="K74" s="539"/>
      <c r="L74" s="540"/>
      <c r="M74" s="541"/>
      <c r="N74" s="1152"/>
      <c r="O74" s="1152"/>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4"/>
      <c r="Q75" s="503"/>
    </row>
    <row r="76" spans="1:17" ht="15.75" thickTop="1">
      <c r="A76" s="533"/>
      <c r="B76" s="545" t="s">
        <v>2678</v>
      </c>
      <c r="C76" s="659" t="s">
        <v>2664</v>
      </c>
      <c r="D76" s="659" t="s">
        <v>2665</v>
      </c>
      <c r="E76" s="659" t="s">
        <v>2666</v>
      </c>
      <c r="F76" s="659" t="s">
        <v>2667</v>
      </c>
      <c r="G76" s="659" t="s">
        <v>2668</v>
      </c>
      <c r="H76" s="538"/>
      <c r="I76" s="538"/>
      <c r="J76" s="538"/>
      <c r="K76" s="538"/>
      <c r="L76" s="538"/>
      <c r="M76" s="1382"/>
      <c r="N76" s="1153"/>
      <c r="O76" s="1153"/>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3"/>
      <c r="O77" s="1153"/>
      <c r="P77" s="44"/>
      <c r="Q77" s="503"/>
    </row>
    <row r="78" spans="1:17" ht="15.75" thickTop="1">
      <c r="A78" s="533"/>
      <c r="B78" s="537" t="s">
        <v>2687</v>
      </c>
      <c r="C78" s="577" t="s">
        <v>2586</v>
      </c>
      <c r="D78" s="577" t="s">
        <v>2587</v>
      </c>
      <c r="E78" s="577" t="s">
        <v>2588</v>
      </c>
      <c r="F78" s="577" t="s">
        <v>2589</v>
      </c>
      <c r="G78" s="577" t="s">
        <v>2590</v>
      </c>
      <c r="H78" s="538"/>
      <c r="I78" s="538"/>
      <c r="J78" s="538"/>
      <c r="K78" s="539"/>
      <c r="L78" s="540"/>
      <c r="M78" s="541"/>
      <c r="N78" s="1152"/>
      <c r="O78" s="1152"/>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4"/>
      <c r="Q79" s="503"/>
    </row>
    <row r="80" spans="1:17" s="116" customFormat="1" ht="15.75" thickTop="1">
      <c r="A80" s="578"/>
      <c r="B80" s="537">
        <f>B25</f>
        <v>111</v>
      </c>
      <c r="C80" s="553"/>
      <c r="D80" s="553"/>
      <c r="E80" s="553"/>
      <c r="F80" s="553"/>
      <c r="G80" s="553"/>
      <c r="H80" s="553"/>
      <c r="I80" s="553"/>
      <c r="J80" s="553"/>
      <c r="K80" s="553"/>
      <c r="L80" s="579"/>
      <c r="M80" s="580"/>
      <c r="N80" s="1151"/>
      <c r="O80" s="1151"/>
      <c r="P80" s="44"/>
      <c r="Q80" s="503"/>
    </row>
    <row r="81" spans="1:17" s="116" customFormat="1" ht="15.75" thickBot="1">
      <c r="A81" s="578"/>
      <c r="B81" s="542"/>
      <c r="C81" s="559"/>
      <c r="D81" s="535"/>
      <c r="E81" s="535"/>
      <c r="F81" s="535"/>
      <c r="G81" s="535"/>
      <c r="H81" s="535"/>
      <c r="I81" s="535"/>
      <c r="J81" s="535"/>
      <c r="K81" s="535"/>
      <c r="L81" s="535"/>
      <c r="M81" s="536"/>
      <c r="N81" s="1153"/>
      <c r="O81" s="1153"/>
      <c r="P81" s="44"/>
      <c r="Q81" s="503"/>
    </row>
    <row r="82" spans="1:17" s="116" customFormat="1" ht="15.75" thickTop="1">
      <c r="A82" s="578"/>
      <c r="B82" s="537">
        <f>B26</f>
        <v>111</v>
      </c>
      <c r="C82" s="553"/>
      <c r="D82" s="553"/>
      <c r="E82" s="553"/>
      <c r="F82" s="553"/>
      <c r="G82" s="553"/>
      <c r="H82" s="553"/>
      <c r="I82" s="553"/>
      <c r="J82" s="553"/>
      <c r="K82" s="553"/>
      <c r="L82" s="579"/>
      <c r="M82" s="580"/>
      <c r="N82" s="1151"/>
      <c r="O82" s="1151"/>
      <c r="P82" s="44"/>
      <c r="Q82" s="503"/>
    </row>
    <row r="83" spans="1:17" s="116" customFormat="1" ht="15.75" thickBot="1">
      <c r="A83" s="578"/>
      <c r="B83" s="542"/>
      <c r="C83" s="559"/>
      <c r="D83" s="535"/>
      <c r="E83" s="535"/>
      <c r="F83" s="535"/>
      <c r="G83" s="535"/>
      <c r="H83" s="535"/>
      <c r="I83" s="535"/>
      <c r="J83" s="535"/>
      <c r="K83" s="535"/>
      <c r="L83" s="535"/>
      <c r="M83" s="536"/>
      <c r="N83" s="1153"/>
      <c r="O83" s="1153"/>
      <c r="P83" s="44"/>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4"/>
      <c r="Q86" s="503"/>
    </row>
    <row r="87" spans="1:17" ht="15.75" thickBot="1">
      <c r="A87" s="2635"/>
      <c r="B87" s="568"/>
      <c r="C87" s="569"/>
      <c r="D87" s="569"/>
      <c r="E87" s="569"/>
      <c r="F87" s="569"/>
      <c r="G87" s="590"/>
      <c r="H87" s="590"/>
      <c r="I87" s="590"/>
      <c r="J87" s="590"/>
      <c r="K87" s="590"/>
      <c r="L87" s="590"/>
      <c r="M87" s="591"/>
      <c r="N87" s="1153"/>
      <c r="O87" s="1153"/>
      <c r="P87" s="44"/>
      <c r="Q87" s="503"/>
    </row>
    <row r="88" spans="1:17">
      <c r="A88" s="526" t="s">
        <v>2552</v>
      </c>
      <c r="B88" s="527" t="s">
        <v>2601</v>
      </c>
      <c r="C88" s="529"/>
      <c r="D88" s="529"/>
      <c r="E88" s="529"/>
      <c r="F88" s="529"/>
      <c r="G88" s="529"/>
      <c r="H88" s="529"/>
      <c r="I88" s="529"/>
      <c r="J88" s="529"/>
      <c r="K88" s="530"/>
      <c r="L88" s="531"/>
      <c r="M88" s="532"/>
      <c r="N88" s="1152"/>
      <c r="O88" s="1152"/>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4"/>
      <c r="Q89" s="503"/>
    </row>
    <row r="90" spans="1:17" ht="15.7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1"/>
      <c r="O90" s="1151"/>
      <c r="P90" s="44"/>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2603</v>
      </c>
      <c r="C93" s="553"/>
      <c r="D93" s="553"/>
      <c r="E93" s="582"/>
      <c r="F93" s="582"/>
      <c r="G93" s="582"/>
      <c r="H93" s="582"/>
      <c r="I93" s="582"/>
      <c r="J93" s="582"/>
      <c r="K93" s="583"/>
      <c r="L93" s="584"/>
      <c r="M93" s="585"/>
      <c r="N93" s="1152"/>
      <c r="O93" s="1152"/>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4"/>
      <c r="Q94" s="503"/>
    </row>
    <row r="95" spans="1:17" ht="15" thickTop="1">
      <c r="A95" s="598"/>
      <c r="B95" s="537" t="s">
        <v>2605</v>
      </c>
      <c r="C95" s="553"/>
      <c r="D95" s="553"/>
      <c r="E95" s="553"/>
      <c r="F95" s="582"/>
      <c r="G95" s="582"/>
      <c r="H95" s="582"/>
      <c r="I95" s="582"/>
      <c r="J95" s="582"/>
      <c r="K95" s="583"/>
      <c r="L95" s="584"/>
      <c r="M95" s="585"/>
      <c r="N95" s="1152"/>
      <c r="O95" s="1152"/>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4"/>
      <c r="Q97" s="503"/>
    </row>
    <row r="98" spans="1:17">
      <c r="A98" s="598"/>
      <c r="B98" s="545"/>
      <c r="C98" s="602">
        <v>0.5</v>
      </c>
      <c r="D98" s="602">
        <v>0.6</v>
      </c>
      <c r="E98" s="602">
        <v>0.7</v>
      </c>
      <c r="F98" s="602">
        <v>0.8</v>
      </c>
      <c r="G98" s="602">
        <v>0.9</v>
      </c>
      <c r="H98" s="602">
        <v>1.0001</v>
      </c>
      <c r="I98" s="622"/>
      <c r="J98" s="622"/>
      <c r="K98" s="623"/>
      <c r="L98" s="624"/>
      <c r="M98" s="625"/>
      <c r="N98" s="1152"/>
      <c r="O98" s="1152"/>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4"/>
      <c r="Q99" s="503"/>
    </row>
    <row r="100" spans="1:17" s="470" customFormat="1" ht="15" thickTop="1">
      <c r="A100" s="592"/>
      <c r="B100" s="537" t="s">
        <v>2606</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2607</v>
      </c>
      <c r="C102" s="553"/>
      <c r="D102" s="553"/>
      <c r="E102" s="553"/>
      <c r="F102" s="553"/>
      <c r="G102" s="553"/>
      <c r="H102" s="582"/>
      <c r="I102" s="582"/>
      <c r="J102" s="582"/>
      <c r="K102" s="583"/>
      <c r="L102" s="584"/>
      <c r="M102" s="585"/>
      <c r="N102" s="1152"/>
      <c r="O102" s="1152"/>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4"/>
      <c r="Q103" s="503"/>
    </row>
    <row r="104" spans="1:17" ht="15" thickTop="1">
      <c r="A104" s="598"/>
      <c r="B104" s="537" t="s">
        <v>2609</v>
      </c>
      <c r="C104" s="553"/>
      <c r="D104" s="553"/>
      <c r="E104" s="553"/>
      <c r="F104" s="553"/>
      <c r="G104" s="553"/>
      <c r="H104" s="582"/>
      <c r="I104" s="582"/>
      <c r="J104" s="582"/>
      <c r="K104" s="583"/>
      <c r="L104" s="584"/>
      <c r="M104" s="585"/>
      <c r="N104" s="1152"/>
      <c r="O104" s="1152"/>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4"/>
      <c r="Q105" s="503"/>
    </row>
    <row r="106" spans="1:17" ht="15" thickTop="1">
      <c r="A106" s="598"/>
      <c r="B106" s="635" t="s">
        <v>2695</v>
      </c>
      <c r="C106" s="577" t="s">
        <v>2586</v>
      </c>
      <c r="D106" s="577" t="s">
        <v>2587</v>
      </c>
      <c r="E106" s="577" t="s">
        <v>2588</v>
      </c>
      <c r="F106" s="577" t="s">
        <v>2589</v>
      </c>
      <c r="G106" s="577" t="s">
        <v>2590</v>
      </c>
      <c r="H106" s="538"/>
      <c r="I106" s="538"/>
      <c r="J106" s="538"/>
      <c r="K106" s="539"/>
      <c r="L106" s="540"/>
      <c r="M106" s="541"/>
      <c r="N106" s="1153"/>
      <c r="O106" s="1153"/>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4"/>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4"/>
      <c r="Q110" s="503"/>
    </row>
    <row r="111" spans="1:17" ht="15.75" thickBot="1">
      <c r="A111" s="533"/>
      <c r="B111" s="542"/>
      <c r="C111" s="559"/>
      <c r="D111" s="535"/>
      <c r="E111" s="535"/>
      <c r="F111" s="535"/>
      <c r="G111" s="559"/>
      <c r="H111" s="561"/>
      <c r="I111" s="561"/>
      <c r="J111" s="561"/>
      <c r="K111" s="561"/>
      <c r="L111" s="561"/>
      <c r="M111" s="562"/>
      <c r="N111" s="1153"/>
      <c r="O111" s="1153"/>
      <c r="P111" s="44"/>
      <c r="Q111" s="503"/>
    </row>
    <row r="112" spans="1:17" ht="15" thickTop="1">
      <c r="A112" s="598"/>
      <c r="B112" s="545">
        <f>B40</f>
        <v>111</v>
      </c>
      <c r="C112" s="522"/>
      <c r="D112" s="522"/>
      <c r="E112" s="522"/>
      <c r="F112" s="522"/>
      <c r="G112" s="586"/>
      <c r="H112" s="586"/>
      <c r="I112" s="586"/>
      <c r="J112" s="586"/>
      <c r="K112" s="522"/>
      <c r="L112" s="523"/>
      <c r="M112" s="589"/>
      <c r="N112" s="1152"/>
      <c r="O112" s="1152"/>
      <c r="P112" s="44"/>
      <c r="Q112" s="503"/>
    </row>
    <row r="113" spans="1:17" ht="15.75" thickBot="1">
      <c r="A113" s="2635"/>
      <c r="B113" s="568"/>
      <c r="C113" s="569"/>
      <c r="D113" s="569"/>
      <c r="E113" s="569"/>
      <c r="F113" s="569"/>
      <c r="G113" s="590"/>
      <c r="H113" s="590"/>
      <c r="I113" s="590"/>
      <c r="J113" s="590"/>
      <c r="K113" s="590"/>
      <c r="L113" s="590"/>
      <c r="M113" s="591"/>
      <c r="N113" s="1153"/>
      <c r="O113" s="1153"/>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7" priority="16" stopIfTrue="1" operator="containsText" text="超过">
      <formula>NOT(ISERROR(SEARCH("超过",F46)))</formula>
    </cfRule>
  </conditionalFormatting>
  <conditionalFormatting sqref="H48">
    <cfRule type="containsText" dxfId="86" priority="15" stopIfTrue="1" operator="containsText" text="超过">
      <formula>NOT(ISERROR(SEARCH("超过",H48)))</formula>
    </cfRule>
  </conditionalFormatting>
  <conditionalFormatting sqref="F48">
    <cfRule type="containsText" dxfId="85" priority="14" stopIfTrue="1" operator="containsText" text="超过">
      <formula>NOT(ISERROR(SEARCH("超过",F48)))</formula>
    </cfRule>
  </conditionalFormatting>
  <conditionalFormatting sqref="F47 H47">
    <cfRule type="containsText" dxfId="84" priority="13" stopIfTrue="1" operator="containsText" text="超过">
      <formula>NOT(ISERROR(SEARCH("超过",F47)))</formula>
    </cfRule>
  </conditionalFormatting>
  <conditionalFormatting sqref="E46">
    <cfRule type="expression" dxfId="83" priority="12" stopIfTrue="1">
      <formula>$F$46="超过30%"</formula>
    </cfRule>
  </conditionalFormatting>
  <conditionalFormatting sqref="E47">
    <cfRule type="expression" dxfId="82" priority="11" stopIfTrue="1">
      <formula>$F$47="超过20%"</formula>
    </cfRule>
  </conditionalFormatting>
  <conditionalFormatting sqref="E48">
    <cfRule type="expression" dxfId="81" priority="10" stopIfTrue="1">
      <formula>$F$48="超过30%"</formula>
    </cfRule>
  </conditionalFormatting>
  <conditionalFormatting sqref="G48">
    <cfRule type="expression" dxfId="80" priority="9" stopIfTrue="1">
      <formula>$H$48="超过30%"</formula>
    </cfRule>
  </conditionalFormatting>
  <conditionalFormatting sqref="G46">
    <cfRule type="expression" dxfId="79" priority="8" stopIfTrue="1">
      <formula>$H$46="超过30%"</formula>
    </cfRule>
  </conditionalFormatting>
  <conditionalFormatting sqref="G47">
    <cfRule type="expression" dxfId="78" priority="7" stopIfTrue="1">
      <formula>$H$47="超过20%"</formula>
    </cfRule>
  </conditionalFormatting>
  <conditionalFormatting sqref="J46">
    <cfRule type="containsText" dxfId="77" priority="6" stopIfTrue="1" operator="containsText" text="超过">
      <formula>NOT(ISERROR(SEARCH("超过",J46)))</formula>
    </cfRule>
  </conditionalFormatting>
  <conditionalFormatting sqref="J48">
    <cfRule type="containsText" dxfId="76" priority="5" stopIfTrue="1" operator="containsText" text="超过">
      <formula>NOT(ISERROR(SEARCH("超过",J48)))</formula>
    </cfRule>
  </conditionalFormatting>
  <conditionalFormatting sqref="J47">
    <cfRule type="containsText" dxfId="75" priority="4" stopIfTrue="1" operator="containsText" text="超过">
      <formula>NOT(ISERROR(SEARCH("超过",J47)))</formula>
    </cfRule>
  </conditionalFormatting>
  <conditionalFormatting sqref="I46">
    <cfRule type="expression" dxfId="74" priority="3" stopIfTrue="1">
      <formula>$J$46="超过30%"</formula>
    </cfRule>
  </conditionalFormatting>
  <conditionalFormatting sqref="I47">
    <cfRule type="expression" dxfId="73" priority="2" stopIfTrue="1">
      <formula>$J$47="超过20%"</formula>
    </cfRule>
  </conditionalFormatting>
  <conditionalFormatting sqref="I48">
    <cfRule type="expression" dxfId="7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2696</v>
      </c>
      <c r="B1" s="1617"/>
      <c r="C1" s="1618" t="s">
        <v>2519</v>
      </c>
      <c r="D1" s="1619"/>
      <c r="E1" s="1620"/>
      <c r="F1" s="2583"/>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2316</v>
      </c>
      <c r="B2" s="1417" t="e">
        <f ca="1">IF(C2="——",IF(B37="元/平方米",ROUND(C39*D3/10000,0),ROUND(F3*C39/10000,0)),IF(B37="元/平方米",ROUND(C39*D3/10000,0),ROUND(F3*C39/10000,0))-D2)</f>
        <v>#DIV/0!</v>
      </c>
      <c r="C2" s="2585"/>
      <c r="D2" s="1124" t="e">
        <f ca="1">SUMIF(INDIRECT("'"&amp;F2&amp;"'"&amp;"!A:A"),"承租人权益价值",INDIRECT("'"&amp;F2&amp;"'"&amp;"!c:c"))</f>
        <v>#REF!</v>
      </c>
      <c r="E2" s="2586" t="s">
        <v>2317</v>
      </c>
      <c r="F2" s="2587"/>
      <c r="G2" s="1125"/>
      <c r="H2" s="1125"/>
      <c r="I2" s="1125"/>
      <c r="J2" s="1125"/>
      <c r="K2" s="1127"/>
      <c r="L2" s="1128"/>
      <c r="M2" s="1129"/>
      <c r="N2" s="1129"/>
      <c r="O2" s="1129"/>
      <c r="P2" s="1418"/>
      <c r="Q2" s="767"/>
      <c r="R2" s="767"/>
      <c r="S2" s="767"/>
      <c r="T2" s="767"/>
      <c r="U2" s="767"/>
      <c r="V2" s="767"/>
      <c r="W2" s="767"/>
      <c r="X2" s="767"/>
      <c r="Y2" s="767"/>
      <c r="Z2" s="767"/>
      <c r="AA2" s="767"/>
      <c r="AB2" s="767"/>
      <c r="AC2" s="768"/>
    </row>
    <row r="3" spans="1:29" s="397" customFormat="1" ht="28.5" customHeight="1" thickBot="1">
      <c r="A3" s="246" t="s">
        <v>2318</v>
      </c>
      <c r="B3" s="608" t="e">
        <f ca="1">IF(AND(C2="——",B37="元/平方米"),C39,ROUND(B2*10000/D3,0))</f>
        <v>#DIV/0!</v>
      </c>
      <c r="C3" s="399" t="s">
        <v>2633</v>
      </c>
      <c r="D3" s="398">
        <f>SUMIF('数据-汇总表'!$C19:$C33,D1,'数据-汇总表'!$E19:$E33)</f>
        <v>0</v>
      </c>
      <c r="E3" s="399" t="s">
        <v>2697</v>
      </c>
      <c r="F3" s="398">
        <f>SUMIF('数据-取费表'!A5:A15,D1,'数据-取费表'!AH5:AH15)</f>
        <v>0</v>
      </c>
      <c r="G3" s="1125"/>
      <c r="H3" s="1125"/>
      <c r="I3" s="1125"/>
      <c r="J3" s="1125"/>
      <c r="K3" s="1127"/>
      <c r="L3" s="1128"/>
      <c r="M3" s="1129"/>
      <c r="N3" s="1129"/>
      <c r="O3" s="1129"/>
      <c r="P3" s="1418"/>
      <c r="Q3" s="767"/>
      <c r="R3" s="767"/>
      <c r="S3" s="767"/>
      <c r="T3" s="767"/>
      <c r="U3" s="767"/>
      <c r="V3" s="767"/>
      <c r="W3" s="767"/>
      <c r="X3" s="767"/>
      <c r="Y3" s="767"/>
      <c r="Z3" s="767"/>
      <c r="AA3" s="767"/>
      <c r="AB3" s="785"/>
      <c r="AC3" s="781"/>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19" t="s">
        <v>2636</v>
      </c>
      <c r="S4" s="3220"/>
      <c r="T4" s="3219" t="s">
        <v>2637</v>
      </c>
      <c r="U4" s="3220"/>
      <c r="V4" s="3244" t="s">
        <v>2638</v>
      </c>
      <c r="W4" s="3244"/>
      <c r="X4" s="1811"/>
      <c r="Y4" s="3219" t="s">
        <v>2640</v>
      </c>
      <c r="Z4" s="3220"/>
      <c r="AA4" s="3214" t="s">
        <v>2636</v>
      </c>
      <c r="AB4" s="3215" t="s">
        <v>2637</v>
      </c>
      <c r="AC4" s="3214" t="s">
        <v>2638</v>
      </c>
    </row>
    <row r="5" spans="1:29" ht="15">
      <c r="A5" s="403"/>
      <c r="B5" s="404"/>
      <c r="C5" s="3225" t="s">
        <v>2531</v>
      </c>
      <c r="D5" s="3226"/>
      <c r="E5" s="3223" t="s">
        <v>2532</v>
      </c>
      <c r="F5" s="3224"/>
      <c r="G5" s="3225" t="s">
        <v>2533</v>
      </c>
      <c r="H5" s="3226"/>
      <c r="I5" s="3225" t="s">
        <v>2534</v>
      </c>
      <c r="J5" s="3226"/>
      <c r="K5" s="609"/>
      <c r="L5" s="1130"/>
      <c r="M5" s="1131"/>
      <c r="N5" s="1131"/>
      <c r="O5" s="1131"/>
      <c r="P5" s="3238"/>
      <c r="Q5" s="3239"/>
      <c r="R5" s="3221"/>
      <c r="S5" s="3222"/>
      <c r="T5" s="3221"/>
      <c r="U5" s="3222"/>
      <c r="V5" s="3244"/>
      <c r="W5" s="3244"/>
      <c r="X5" s="1811"/>
      <c r="Y5" s="3221"/>
      <c r="Z5" s="3222"/>
      <c r="AA5" s="3215"/>
      <c r="AB5" s="3215"/>
      <c r="AC5" s="3215"/>
    </row>
    <row r="6" spans="1:29" ht="15.75" thickBot="1">
      <c r="A6" s="405"/>
      <c r="B6" s="406"/>
      <c r="C6" s="3227" t="s">
        <v>2535</v>
      </c>
      <c r="D6" s="3228"/>
      <c r="E6" s="3229" t="s">
        <v>2535</v>
      </c>
      <c r="F6" s="3230"/>
      <c r="G6" s="3227" t="s">
        <v>2535</v>
      </c>
      <c r="H6" s="3228"/>
      <c r="I6" s="3227" t="s">
        <v>2535</v>
      </c>
      <c r="J6" s="3228"/>
      <c r="K6" s="609" t="s">
        <v>2536</v>
      </c>
      <c r="L6" s="1130"/>
      <c r="M6" s="1131"/>
      <c r="N6" s="1131"/>
      <c r="O6" s="1131"/>
      <c r="P6" s="3240"/>
      <c r="Q6" s="3241"/>
      <c r="R6" s="3221"/>
      <c r="S6" s="3222"/>
      <c r="T6" s="3242"/>
      <c r="U6" s="3243"/>
      <c r="V6" s="3244"/>
      <c r="W6" s="3244"/>
      <c r="X6" s="1811"/>
      <c r="Y6" s="3242"/>
      <c r="Z6" s="3243"/>
      <c r="AA6" s="3216"/>
      <c r="AB6" s="3216"/>
      <c r="AC6" s="3216"/>
    </row>
    <row r="7" spans="1:29" s="116" customFormat="1" ht="15.75" thickBot="1">
      <c r="A7" s="407" t="s">
        <v>2537</v>
      </c>
      <c r="B7" s="408"/>
      <c r="C7" s="409">
        <f>'数据-取费表'!B2</f>
        <v>43452</v>
      </c>
      <c r="D7" s="410">
        <v>100</v>
      </c>
      <c r="E7" s="411"/>
      <c r="F7" s="412">
        <f>SUMIF(48:48,YEAR(E7)&amp;"-"&amp;MONTH(E7),49:49)</f>
        <v>0</v>
      </c>
      <c r="G7" s="411"/>
      <c r="H7" s="410">
        <f>SUMIF(48:48,YEAR(G7)&amp;"-"&amp;MONTH(G7),49:49)</f>
        <v>0</v>
      </c>
      <c r="I7" s="411"/>
      <c r="J7" s="410">
        <f>SUMIF(48:48,YEAR(I7)&amp;"-"&amp;MONTH(I7),49:49)</f>
        <v>0</v>
      </c>
      <c r="K7" s="610"/>
      <c r="L7" s="1132"/>
      <c r="M7" s="1133"/>
      <c r="N7" s="1133"/>
      <c r="O7" s="1133"/>
      <c r="P7" s="3217" t="s">
        <v>2538</v>
      </c>
      <c r="Q7" s="3245"/>
      <c r="R7" s="769" t="s">
        <v>17</v>
      </c>
      <c r="S7" s="770">
        <f t="shared" ref="S7:S14" si="0">F7</f>
        <v>0</v>
      </c>
      <c r="T7" s="769" t="s">
        <v>17</v>
      </c>
      <c r="U7" s="770">
        <f t="shared" ref="U7:U14" si="1">H7</f>
        <v>0</v>
      </c>
      <c r="V7" s="769" t="s">
        <v>17</v>
      </c>
      <c r="W7" s="770">
        <f t="shared" ref="W7:W14" si="2">J7</f>
        <v>0</v>
      </c>
      <c r="X7" s="771"/>
      <c r="Y7" s="3217" t="s">
        <v>2538</v>
      </c>
      <c r="Z7" s="3218"/>
      <c r="AA7" s="772" t="e">
        <f>D7/F7</f>
        <v>#DIV/0!</v>
      </c>
      <c r="AB7" s="772" t="e">
        <f>D7/H7</f>
        <v>#DIV/0!</v>
      </c>
      <c r="AC7" s="772" t="e">
        <f>D7/J7</f>
        <v>#DIV/0!</v>
      </c>
    </row>
    <row r="8" spans="1:29" s="116" customFormat="1" ht="15.7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32"/>
      <c r="M8" s="1133"/>
      <c r="N8" s="1133"/>
      <c r="O8" s="1133"/>
      <c r="P8" s="3217" t="s">
        <v>2541</v>
      </c>
      <c r="Q8" s="3218"/>
      <c r="R8" s="769" t="s">
        <v>17</v>
      </c>
      <c r="S8" s="770">
        <f t="shared" si="0"/>
        <v>0</v>
      </c>
      <c r="T8" s="769" t="s">
        <v>17</v>
      </c>
      <c r="U8" s="770">
        <f t="shared" si="1"/>
        <v>0</v>
      </c>
      <c r="V8" s="769" t="s">
        <v>17</v>
      </c>
      <c r="W8" s="770">
        <f t="shared" si="2"/>
        <v>0</v>
      </c>
      <c r="X8" s="771"/>
      <c r="Y8" s="3217" t="s">
        <v>2541</v>
      </c>
      <c r="Z8" s="3218"/>
      <c r="AA8" s="772" t="e">
        <f t="shared" ref="AA8:AA36" si="3">D8/F8</f>
        <v>#DIV/0!</v>
      </c>
      <c r="AB8" s="772" t="e">
        <f t="shared" ref="AB8:AB36" si="4">D8/H8</f>
        <v>#DIV/0!</v>
      </c>
      <c r="AC8" s="772" t="e">
        <f t="shared" ref="AC8:AC36" si="5">D8/J8</f>
        <v>#DIV/0!</v>
      </c>
    </row>
    <row r="9" spans="1:29" s="116" customFormat="1">
      <c r="A9" s="67" t="s">
        <v>2542</v>
      </c>
      <c r="B9" s="639" t="s">
        <v>2543</v>
      </c>
      <c r="C9" s="415"/>
      <c r="D9" s="134">
        <v>100</v>
      </c>
      <c r="E9" s="418"/>
      <c r="F9" s="134">
        <f>SUMIF(53:53,E9,54:54)-SUMIF(53:53,C9,54:54)+100</f>
        <v>100</v>
      </c>
      <c r="G9" s="416"/>
      <c r="H9" s="134">
        <f>SUMIF(53:53,G9,54:54)-SUMIF(53:53,C9,54:54)+100</f>
        <v>100</v>
      </c>
      <c r="I9" s="416"/>
      <c r="J9" s="134">
        <f>SUMIF(53:53,I9,54:54)-SUMIF(53:53,C9,54:54)+100</f>
        <v>100</v>
      </c>
      <c r="K9" s="610"/>
      <c r="L9" s="1132"/>
      <c r="M9" s="1133"/>
      <c r="N9" s="1133"/>
      <c r="O9" s="1133"/>
      <c r="P9" s="3249" t="s">
        <v>2544</v>
      </c>
      <c r="Q9" s="1793" t="str">
        <f t="shared" ref="Q9:Q14" si="6">B9</f>
        <v>用途</v>
      </c>
      <c r="R9" s="769" t="s">
        <v>17</v>
      </c>
      <c r="S9" s="770">
        <f t="shared" si="0"/>
        <v>100</v>
      </c>
      <c r="T9" s="769" t="s">
        <v>17</v>
      </c>
      <c r="U9" s="770">
        <f t="shared" si="1"/>
        <v>100</v>
      </c>
      <c r="V9" s="769" t="s">
        <v>17</v>
      </c>
      <c r="W9" s="770">
        <f t="shared" si="2"/>
        <v>100</v>
      </c>
      <c r="X9" s="771"/>
      <c r="Y9" s="3044" t="s">
        <v>2545</v>
      </c>
      <c r="Z9" s="54" t="str">
        <f t="shared" ref="Z9:Z14" si="7">Q9</f>
        <v>用途</v>
      </c>
      <c r="AA9" s="772">
        <f t="shared" si="3"/>
        <v>1</v>
      </c>
      <c r="AB9" s="772">
        <f t="shared" si="4"/>
        <v>1</v>
      </c>
      <c r="AC9" s="772">
        <f t="shared" si="5"/>
        <v>1</v>
      </c>
    </row>
    <row r="10" spans="1:29" s="426" customFormat="1" ht="27">
      <c r="A10" s="640"/>
      <c r="B10" s="641" t="s">
        <v>2546</v>
      </c>
      <c r="C10" s="422"/>
      <c r="D10" s="135">
        <v>100</v>
      </c>
      <c r="E10" s="422"/>
      <c r="F10" s="135">
        <f>SUMIF(55:55,E10,56:56)-SUMIF(55:55,C10,56:56)+100</f>
        <v>100</v>
      </c>
      <c r="G10" s="423"/>
      <c r="H10" s="135">
        <f>SUMIF(55:55,G10,56:56)-SUMIF(55:55,C10,56:56)+100</f>
        <v>100</v>
      </c>
      <c r="I10" s="422"/>
      <c r="J10" s="135">
        <f>SUMIF(55:55,I10,56:56)-SUMIF(55:55,C10,56:56)+100</f>
        <v>100</v>
      </c>
      <c r="K10" s="611"/>
      <c r="L10" s="1135"/>
      <c r="M10" s="1136"/>
      <c r="N10" s="1136"/>
      <c r="O10" s="1136"/>
      <c r="P10" s="3249"/>
      <c r="Q10" s="1793" t="str">
        <f t="shared" si="6"/>
        <v>土地使用年限（年）</v>
      </c>
      <c r="R10" s="769" t="s">
        <v>17</v>
      </c>
      <c r="S10" s="770">
        <f t="shared" si="0"/>
        <v>100</v>
      </c>
      <c r="T10" s="769" t="s">
        <v>17</v>
      </c>
      <c r="U10" s="770">
        <f t="shared" si="1"/>
        <v>100</v>
      </c>
      <c r="V10" s="769" t="s">
        <v>17</v>
      </c>
      <c r="W10" s="770">
        <f t="shared" si="2"/>
        <v>100</v>
      </c>
      <c r="X10" s="771"/>
      <c r="Y10" s="304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8"/>
      <c r="M11" s="1131"/>
      <c r="N11" s="1131"/>
      <c r="O11" s="1131"/>
      <c r="P11" s="3249"/>
      <c r="Q11" s="1793">
        <f t="shared" si="6"/>
        <v>111</v>
      </c>
      <c r="R11" s="769" t="s">
        <v>17</v>
      </c>
      <c r="S11" s="770">
        <f t="shared" si="0"/>
        <v>100</v>
      </c>
      <c r="T11" s="769" t="s">
        <v>17</v>
      </c>
      <c r="U11" s="770">
        <f t="shared" si="1"/>
        <v>100</v>
      </c>
      <c r="V11" s="769" t="s">
        <v>17</v>
      </c>
      <c r="W11" s="770">
        <f t="shared" si="2"/>
        <v>100</v>
      </c>
      <c r="X11" s="771"/>
      <c r="Y11" s="304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2"/>
      <c r="M12" s="1133"/>
      <c r="N12" s="1133"/>
      <c r="O12" s="1133"/>
      <c r="P12" s="3249"/>
      <c r="Q12" s="1793">
        <f t="shared" si="6"/>
        <v>111</v>
      </c>
      <c r="R12" s="769" t="s">
        <v>17</v>
      </c>
      <c r="S12" s="770">
        <f t="shared" si="0"/>
        <v>100</v>
      </c>
      <c r="T12" s="769" t="s">
        <v>17</v>
      </c>
      <c r="U12" s="770">
        <f t="shared" si="1"/>
        <v>100</v>
      </c>
      <c r="V12" s="769" t="s">
        <v>17</v>
      </c>
      <c r="W12" s="770">
        <f t="shared" si="2"/>
        <v>100</v>
      </c>
      <c r="X12" s="771"/>
      <c r="Y12" s="304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0"/>
      <c r="M13" s="1131"/>
      <c r="N13" s="1131"/>
      <c r="O13" s="1131"/>
      <c r="P13" s="3249"/>
      <c r="Q13" s="1793">
        <f t="shared" si="6"/>
        <v>111</v>
      </c>
      <c r="R13" s="769" t="s">
        <v>17</v>
      </c>
      <c r="S13" s="770">
        <f t="shared" si="0"/>
        <v>100</v>
      </c>
      <c r="T13" s="769" t="s">
        <v>17</v>
      </c>
      <c r="U13" s="770">
        <f t="shared" si="1"/>
        <v>100</v>
      </c>
      <c r="V13" s="769" t="s">
        <v>17</v>
      </c>
      <c r="W13" s="770">
        <f t="shared" si="2"/>
        <v>100</v>
      </c>
      <c r="X13" s="771"/>
      <c r="Y13" s="3044"/>
      <c r="Z13" s="54">
        <f t="shared" si="7"/>
        <v>111</v>
      </c>
      <c r="AA13" s="772">
        <f t="shared" si="3"/>
        <v>1</v>
      </c>
      <c r="AB13" s="772">
        <f t="shared" si="4"/>
        <v>1</v>
      </c>
      <c r="AC13" s="772">
        <f t="shared" si="5"/>
        <v>1</v>
      </c>
    </row>
    <row r="14" spans="1:29" ht="171">
      <c r="A14" s="400" t="s">
        <v>2548</v>
      </c>
      <c r="B14" s="628" t="s">
        <v>2698</v>
      </c>
      <c r="C14" s="2692" t="str">
        <f>IF(B1="工业",估价对象房地状况!G4,估价对象房地状况!C6)</f>
        <v>好</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251" t="s">
        <v>2549</v>
      </c>
      <c r="Q14" s="1808" t="str">
        <f t="shared" si="6"/>
        <v>交通便捷度</v>
      </c>
      <c r="R14" s="773" t="s">
        <v>17</v>
      </c>
      <c r="S14" s="774">
        <f t="shared" si="0"/>
        <v>100</v>
      </c>
      <c r="T14" s="773" t="s">
        <v>17</v>
      </c>
      <c r="U14" s="774">
        <f t="shared" si="1"/>
        <v>100</v>
      </c>
      <c r="V14" s="773" t="s">
        <v>17</v>
      </c>
      <c r="W14" s="774">
        <f t="shared" si="2"/>
        <v>100</v>
      </c>
      <c r="X14" s="1811"/>
      <c r="Y14" s="3251" t="s">
        <v>2549</v>
      </c>
      <c r="Z14" s="1812" t="str">
        <f t="shared" si="7"/>
        <v>交通便捷度</v>
      </c>
      <c r="AA14" s="1809">
        <f t="shared" si="3"/>
        <v>1</v>
      </c>
      <c r="AB14" s="1809">
        <f t="shared" si="4"/>
        <v>1</v>
      </c>
      <c r="AC14" s="1809">
        <f t="shared" si="5"/>
        <v>1</v>
      </c>
    </row>
    <row r="15" spans="1:29" ht="15">
      <c r="A15" s="403"/>
      <c r="B15" s="646"/>
      <c r="C15" s="446"/>
      <c r="D15" s="447"/>
      <c r="E15" s="446"/>
      <c r="F15" s="448"/>
      <c r="G15" s="446"/>
      <c r="H15" s="449"/>
      <c r="I15" s="446"/>
      <c r="J15" s="447"/>
      <c r="K15" s="614"/>
      <c r="L15" s="1140"/>
      <c r="M15" s="1131"/>
      <c r="N15" s="1131"/>
      <c r="O15" s="1131"/>
      <c r="P15" s="3252"/>
      <c r="Q15" s="1808"/>
      <c r="R15" s="773"/>
      <c r="S15" s="774"/>
      <c r="T15" s="773"/>
      <c r="U15" s="774"/>
      <c r="V15" s="773"/>
      <c r="W15" s="774"/>
      <c r="X15" s="1811"/>
      <c r="Y15" s="3252"/>
      <c r="Z15" s="1812"/>
      <c r="AA15" s="1809">
        <v>1</v>
      </c>
      <c r="AB15" s="1809">
        <v>1</v>
      </c>
      <c r="AC15" s="1809">
        <v>1</v>
      </c>
    </row>
    <row r="16" spans="1:29" ht="71.25">
      <c r="A16" s="403"/>
      <c r="B16" s="630" t="s">
        <v>2677</v>
      </c>
      <c r="C16" s="2606" t="str">
        <f>IF(B1="工业",估价对象房地状况!G5,估价对象房地状况!C7)</f>
        <v>较好</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252"/>
      <c r="Q16" s="1808" t="str">
        <f>B16</f>
        <v>公共配套设施</v>
      </c>
      <c r="R16" s="773" t="s">
        <v>17</v>
      </c>
      <c r="S16" s="774">
        <f>F16</f>
        <v>100</v>
      </c>
      <c r="T16" s="773" t="s">
        <v>17</v>
      </c>
      <c r="U16" s="774">
        <f>H16</f>
        <v>100</v>
      </c>
      <c r="V16" s="773" t="s">
        <v>17</v>
      </c>
      <c r="W16" s="774">
        <f>J16</f>
        <v>100</v>
      </c>
      <c r="X16" s="1811"/>
      <c r="Y16" s="3252"/>
      <c r="Z16" s="1812" t="str">
        <f>Q16</f>
        <v>公共配套设施</v>
      </c>
      <c r="AA16" s="1809">
        <f t="shared" si="3"/>
        <v>1</v>
      </c>
      <c r="AB16" s="1809">
        <f t="shared" si="4"/>
        <v>1</v>
      </c>
      <c r="AC16" s="1809">
        <f t="shared" si="5"/>
        <v>1</v>
      </c>
    </row>
    <row r="17" spans="1:29" ht="15">
      <c r="A17" s="403"/>
      <c r="B17" s="631"/>
      <c r="C17" s="2607"/>
      <c r="D17" s="447"/>
      <c r="E17" s="446"/>
      <c r="F17" s="448"/>
      <c r="G17" s="446"/>
      <c r="H17" s="447"/>
      <c r="I17" s="446"/>
      <c r="J17" s="447"/>
      <c r="K17" s="614"/>
      <c r="L17" s="1140"/>
      <c r="M17" s="1131"/>
      <c r="N17" s="1131"/>
      <c r="O17" s="1131"/>
      <c r="P17" s="3252"/>
      <c r="Q17" s="1808"/>
      <c r="R17" s="773"/>
      <c r="S17" s="774"/>
      <c r="T17" s="773"/>
      <c r="U17" s="774"/>
      <c r="V17" s="773"/>
      <c r="W17" s="774"/>
      <c r="X17" s="1811"/>
      <c r="Y17" s="3252"/>
      <c r="Z17" s="1812"/>
      <c r="AA17" s="1809">
        <v>1</v>
      </c>
      <c r="AB17" s="1809">
        <v>1</v>
      </c>
      <c r="AC17" s="1809">
        <v>1</v>
      </c>
    </row>
    <row r="18" spans="1:29" ht="15">
      <c r="A18" s="403"/>
      <c r="B18" s="632" t="s">
        <v>2678</v>
      </c>
      <c r="C18" s="2606"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252"/>
      <c r="Q18" s="1808" t="str">
        <f>B18</f>
        <v>基础设施水平</v>
      </c>
      <c r="R18" s="773" t="s">
        <v>17</v>
      </c>
      <c r="S18" s="774">
        <f>F18</f>
        <v>100</v>
      </c>
      <c r="T18" s="773" t="s">
        <v>17</v>
      </c>
      <c r="U18" s="774">
        <f>H18</f>
        <v>100</v>
      </c>
      <c r="V18" s="773" t="s">
        <v>17</v>
      </c>
      <c r="W18" s="774">
        <f>J18</f>
        <v>100</v>
      </c>
      <c r="X18" s="1811"/>
      <c r="Y18" s="3252"/>
      <c r="Z18" s="1812" t="str">
        <f>Q18</f>
        <v>基础设施水平</v>
      </c>
      <c r="AA18" s="1809">
        <f t="shared" ref="AA18" si="8">D18/F18</f>
        <v>1</v>
      </c>
      <c r="AB18" s="1809">
        <f t="shared" ref="AB18" si="9">D18/H18</f>
        <v>1</v>
      </c>
      <c r="AC18" s="1809">
        <f t="shared" ref="AC18" si="10">D18/J18</f>
        <v>1</v>
      </c>
    </row>
    <row r="19" spans="1:29" ht="15">
      <c r="A19" s="403"/>
      <c r="B19" s="632"/>
      <c r="C19" s="2607"/>
      <c r="D19" s="449"/>
      <c r="E19" s="2607"/>
      <c r="F19" s="452"/>
      <c r="G19" s="2607"/>
      <c r="H19" s="447"/>
      <c r="I19" s="446"/>
      <c r="J19" s="447"/>
      <c r="K19" s="1383"/>
      <c r="L19" s="1140"/>
      <c r="M19" s="1131"/>
      <c r="N19" s="1131"/>
      <c r="O19" s="1131"/>
      <c r="P19" s="3252"/>
      <c r="Q19" s="1808"/>
      <c r="R19" s="773"/>
      <c r="S19" s="774"/>
      <c r="T19" s="773"/>
      <c r="U19" s="774"/>
      <c r="V19" s="773"/>
      <c r="W19" s="774"/>
      <c r="X19" s="1811"/>
      <c r="Y19" s="3252"/>
      <c r="Z19" s="1812"/>
      <c r="AA19" s="1809">
        <v>1</v>
      </c>
      <c r="AB19" s="1809">
        <v>1</v>
      </c>
      <c r="AC19" s="1809">
        <v>1</v>
      </c>
    </row>
    <row r="20" spans="1:29" ht="128.25">
      <c r="A20" s="403"/>
      <c r="B20" s="630" t="s">
        <v>2699</v>
      </c>
      <c r="C20" s="2606" t="str">
        <f>IF(B1="工业",估价对象房地状况!G7,估价对象房地状况!C9)</f>
        <v>较好</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252"/>
      <c r="Q20" s="1808" t="str">
        <f>B20</f>
        <v>自然及人文环境</v>
      </c>
      <c r="R20" s="773" t="s">
        <v>17</v>
      </c>
      <c r="S20" s="774">
        <f>F20</f>
        <v>100</v>
      </c>
      <c r="T20" s="773" t="s">
        <v>17</v>
      </c>
      <c r="U20" s="774">
        <f>H20</f>
        <v>100</v>
      </c>
      <c r="V20" s="773" t="s">
        <v>17</v>
      </c>
      <c r="W20" s="774">
        <f>J20</f>
        <v>100</v>
      </c>
      <c r="X20" s="1811"/>
      <c r="Y20" s="3252"/>
      <c r="Z20" s="1812" t="str">
        <f>Q20</f>
        <v>自然及人文环境</v>
      </c>
      <c r="AA20" s="1809">
        <f t="shared" si="3"/>
        <v>1</v>
      </c>
      <c r="AB20" s="1809">
        <f t="shared" si="4"/>
        <v>1</v>
      </c>
      <c r="AC20" s="1809">
        <f t="shared" si="5"/>
        <v>1</v>
      </c>
    </row>
    <row r="21" spans="1:29" ht="15">
      <c r="A21" s="403"/>
      <c r="B21" s="631"/>
      <c r="C21" s="446"/>
      <c r="D21" s="447"/>
      <c r="E21" s="446"/>
      <c r="F21" s="448"/>
      <c r="G21" s="446"/>
      <c r="H21" s="447"/>
      <c r="I21" s="446"/>
      <c r="J21" s="447"/>
      <c r="K21" s="614"/>
      <c r="L21" s="1140"/>
      <c r="M21" s="1131"/>
      <c r="N21" s="1131"/>
      <c r="O21" s="1131"/>
      <c r="P21" s="3252"/>
      <c r="Q21" s="1808"/>
      <c r="R21" s="773"/>
      <c r="S21" s="774"/>
      <c r="T21" s="773"/>
      <c r="U21" s="774"/>
      <c r="V21" s="773"/>
      <c r="W21" s="774"/>
      <c r="X21" s="1811"/>
      <c r="Y21" s="3252"/>
      <c r="Z21" s="1812"/>
      <c r="AA21" s="1809">
        <v>1</v>
      </c>
      <c r="AB21" s="1809">
        <v>1</v>
      </c>
      <c r="AC21" s="1809">
        <v>1</v>
      </c>
    </row>
    <row r="22" spans="1:29" ht="15">
      <c r="A22" s="403"/>
      <c r="B22" s="630" t="s">
        <v>2700</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252"/>
      <c r="Q22" s="1808" t="str">
        <f>B22</f>
        <v>楼层</v>
      </c>
      <c r="R22" s="773" t="s">
        <v>17</v>
      </c>
      <c r="S22" s="774">
        <f>F22</f>
        <v>100</v>
      </c>
      <c r="T22" s="773" t="s">
        <v>17</v>
      </c>
      <c r="U22" s="774">
        <f>H22</f>
        <v>100</v>
      </c>
      <c r="V22" s="773" t="s">
        <v>17</v>
      </c>
      <c r="W22" s="774">
        <f>J22</f>
        <v>100</v>
      </c>
      <c r="X22" s="1811"/>
      <c r="Y22" s="3252"/>
      <c r="Z22" s="1812" t="str">
        <f>Q22</f>
        <v>楼层</v>
      </c>
      <c r="AA22" s="1809">
        <f t="shared" si="3"/>
        <v>1</v>
      </c>
      <c r="AB22" s="1809">
        <f t="shared" si="4"/>
        <v>1</v>
      </c>
      <c r="AC22" s="1809">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252"/>
      <c r="Q23" s="1808">
        <f>B23</f>
        <v>111</v>
      </c>
      <c r="R23" s="773" t="s">
        <v>17</v>
      </c>
      <c r="S23" s="774">
        <f>F23</f>
        <v>100</v>
      </c>
      <c r="T23" s="773" t="s">
        <v>17</v>
      </c>
      <c r="U23" s="774">
        <f>H23</f>
        <v>100</v>
      </c>
      <c r="V23" s="773" t="s">
        <v>17</v>
      </c>
      <c r="W23" s="774">
        <f>J23</f>
        <v>100</v>
      </c>
      <c r="X23" s="1811"/>
      <c r="Y23" s="3252"/>
      <c r="Z23" s="1812">
        <f>Q23</f>
        <v>111</v>
      </c>
      <c r="AA23" s="1809">
        <f t="shared" si="3"/>
        <v>1</v>
      </c>
      <c r="AB23" s="1809">
        <f t="shared" si="4"/>
        <v>1</v>
      </c>
      <c r="AC23" s="1809">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252"/>
      <c r="Q24" s="1808">
        <f t="shared" ref="Q24:Q36" si="11">B24</f>
        <v>111</v>
      </c>
      <c r="R24" s="773" t="s">
        <v>17</v>
      </c>
      <c r="S24" s="774">
        <f>F24</f>
        <v>100</v>
      </c>
      <c r="T24" s="773" t="s">
        <v>17</v>
      </c>
      <c r="U24" s="774">
        <f>H24</f>
        <v>100</v>
      </c>
      <c r="V24" s="773" t="s">
        <v>17</v>
      </c>
      <c r="W24" s="774">
        <f>J24</f>
        <v>100</v>
      </c>
      <c r="X24" s="1811"/>
      <c r="Y24" s="3252"/>
      <c r="Z24" s="1812">
        <f>Q24</f>
        <v>111</v>
      </c>
      <c r="AA24" s="1809">
        <f t="shared" si="3"/>
        <v>1</v>
      </c>
      <c r="AB24" s="1809">
        <f t="shared" si="4"/>
        <v>1</v>
      </c>
      <c r="AC24" s="1809">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2"/>
      <c r="M25" s="1133"/>
      <c r="N25" s="1133"/>
      <c r="O25" s="1133"/>
      <c r="P25" s="3252"/>
      <c r="Q25" s="1793">
        <f t="shared" si="11"/>
        <v>111</v>
      </c>
      <c r="R25" s="769" t="s">
        <v>17</v>
      </c>
      <c r="S25" s="770">
        <f>F25</f>
        <v>100</v>
      </c>
      <c r="T25" s="769" t="s">
        <v>17</v>
      </c>
      <c r="U25" s="770">
        <f>H25</f>
        <v>100</v>
      </c>
      <c r="V25" s="769" t="s">
        <v>17</v>
      </c>
      <c r="W25" s="770">
        <f>J25</f>
        <v>100</v>
      </c>
      <c r="X25" s="771"/>
      <c r="Y25" s="3252"/>
      <c r="Z25" s="54">
        <f>Q25</f>
        <v>111</v>
      </c>
      <c r="AA25" s="1809">
        <f>D25/F25</f>
        <v>1</v>
      </c>
      <c r="AB25" s="1809">
        <f>D25/H25</f>
        <v>1</v>
      </c>
      <c r="AC25" s="1809">
        <f>D25/J25</f>
        <v>1</v>
      </c>
    </row>
    <row r="26" spans="1:29" ht="15">
      <c r="A26" s="651" t="s">
        <v>2552</v>
      </c>
      <c r="B26" s="69" t="s">
        <v>2701</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276"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56" t="s">
        <v>2554</v>
      </c>
      <c r="Z26" s="1812" t="str">
        <f t="shared" ref="Z26:Z36" si="15">Q26</f>
        <v>配套类型</v>
      </c>
      <c r="AA26" s="1809">
        <f t="shared" si="3"/>
        <v>1</v>
      </c>
      <c r="AB26" s="1809">
        <f t="shared" si="4"/>
        <v>1</v>
      </c>
      <c r="AC26" s="1809">
        <f t="shared" si="5"/>
        <v>1</v>
      </c>
    </row>
    <row r="27" spans="1:29" s="470" customFormat="1" ht="15">
      <c r="A27" s="652"/>
      <c r="B27" s="653" t="s">
        <v>2702</v>
      </c>
      <c r="C27" s="654"/>
      <c r="D27" s="135">
        <v>100</v>
      </c>
      <c r="E27" s="654"/>
      <c r="F27" s="460">
        <f>SUMIF(81:81,E27,82:82)-SUMIF(81:81,C27,82:82)+100</f>
        <v>100</v>
      </c>
      <c r="G27" s="654"/>
      <c r="H27" s="434">
        <f>SUMIF(81:81,G27,82:82)-SUMIF(81:81,C27,82:82)+100</f>
        <v>100</v>
      </c>
      <c r="I27" s="654"/>
      <c r="J27" s="434">
        <f>SUMIF(81:81,I27,82:82)-SUMIF(81:81,C27,82:82)+100</f>
        <v>100</v>
      </c>
      <c r="K27" s="612"/>
      <c r="L27" s="1138"/>
      <c r="M27" s="1141"/>
      <c r="N27" s="1141"/>
      <c r="O27" s="1141"/>
      <c r="P27" s="3256"/>
      <c r="Q27" s="775" t="str">
        <f t="shared" si="11"/>
        <v>项目停车位配比</v>
      </c>
      <c r="R27" s="776" t="s">
        <v>17</v>
      </c>
      <c r="S27" s="777">
        <f t="shared" si="12"/>
        <v>100</v>
      </c>
      <c r="T27" s="776" t="s">
        <v>17</v>
      </c>
      <c r="U27" s="777">
        <f t="shared" si="13"/>
        <v>100</v>
      </c>
      <c r="V27" s="776" t="s">
        <v>17</v>
      </c>
      <c r="W27" s="777">
        <f t="shared" si="14"/>
        <v>100</v>
      </c>
      <c r="X27" s="778"/>
      <c r="Y27" s="3256"/>
      <c r="Z27" s="779" t="str">
        <f t="shared" si="15"/>
        <v>项目停车位配比</v>
      </c>
      <c r="AA27" s="1809">
        <f t="shared" si="3"/>
        <v>1</v>
      </c>
      <c r="AB27" s="1809">
        <f t="shared" si="4"/>
        <v>1</v>
      </c>
      <c r="AC27" s="1809">
        <f t="shared" si="5"/>
        <v>1</v>
      </c>
    </row>
    <row r="28" spans="1:29" ht="15">
      <c r="A28" s="655"/>
      <c r="B28" s="653" t="s">
        <v>2703</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256"/>
      <c r="Q28" s="1808" t="str">
        <f t="shared" si="11"/>
        <v>公共部分装修</v>
      </c>
      <c r="R28" s="773" t="s">
        <v>17</v>
      </c>
      <c r="S28" s="774">
        <f t="shared" si="12"/>
        <v>100</v>
      </c>
      <c r="T28" s="773" t="s">
        <v>17</v>
      </c>
      <c r="U28" s="774">
        <f t="shared" si="13"/>
        <v>100</v>
      </c>
      <c r="V28" s="773" t="s">
        <v>17</v>
      </c>
      <c r="W28" s="774">
        <f t="shared" si="14"/>
        <v>100</v>
      </c>
      <c r="X28" s="1811"/>
      <c r="Y28" s="3256"/>
      <c r="Z28" s="1812" t="str">
        <f t="shared" si="15"/>
        <v>公共部分装修</v>
      </c>
      <c r="AA28" s="1809">
        <f t="shared" si="3"/>
        <v>1</v>
      </c>
      <c r="AB28" s="1809">
        <f t="shared" si="4"/>
        <v>1</v>
      </c>
      <c r="AC28" s="1809">
        <f t="shared" si="5"/>
        <v>1</v>
      </c>
    </row>
    <row r="29" spans="1:29" ht="15">
      <c r="A29" s="655"/>
      <c r="B29" s="653" t="s">
        <v>2704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256"/>
      <c r="Q29" s="1808" t="str">
        <f t="shared" si="11"/>
        <v>成新率</v>
      </c>
      <c r="R29" s="773" t="s">
        <v>17</v>
      </c>
      <c r="S29" s="774" t="e">
        <f t="shared" si="12"/>
        <v>#N/A</v>
      </c>
      <c r="T29" s="773" t="s">
        <v>17</v>
      </c>
      <c r="U29" s="774" t="e">
        <f t="shared" si="13"/>
        <v>#N/A</v>
      </c>
      <c r="V29" s="773" t="s">
        <v>17</v>
      </c>
      <c r="W29" s="774" t="e">
        <f t="shared" si="14"/>
        <v>#N/A</v>
      </c>
      <c r="X29" s="1811"/>
      <c r="Y29" s="3256"/>
      <c r="Z29" s="1812" t="str">
        <f t="shared" si="15"/>
        <v>成新率</v>
      </c>
      <c r="AA29" s="1809" t="e">
        <f t="shared" si="3"/>
        <v>#N/A</v>
      </c>
      <c r="AB29" s="1809" t="e">
        <f t="shared" si="4"/>
        <v>#N/A</v>
      </c>
      <c r="AC29" s="1809" t="e">
        <f t="shared" si="5"/>
        <v>#N/A</v>
      </c>
    </row>
    <row r="30" spans="1:29" ht="15">
      <c r="A30" s="655"/>
      <c r="B30" s="653" t="s">
        <v>2705</v>
      </c>
      <c r="C30" s="656"/>
      <c r="D30" s="434">
        <v>100</v>
      </c>
      <c r="E30" s="656"/>
      <c r="F30" s="460">
        <f>SUMIF(88:88,E30,89:89)-SUMIF(88:88,C30,89:89)+100</f>
        <v>100</v>
      </c>
      <c r="G30" s="656"/>
      <c r="H30" s="434">
        <f>SUMIF(88:88,E30,89:89)-SUMIF(88:88,C30,89:89)+100</f>
        <v>100</v>
      </c>
      <c r="I30" s="656"/>
      <c r="J30" s="434">
        <f>SUMIF(88:88,E30,89:89)-SUMIF(88:88,C30,89:89)+100</f>
        <v>100</v>
      </c>
      <c r="K30" s="611"/>
      <c r="L30" s="1140"/>
      <c r="M30" s="1131"/>
      <c r="N30" s="1131"/>
      <c r="O30" s="1131"/>
      <c r="P30" s="3256"/>
      <c r="Q30" s="1808" t="str">
        <f t="shared" si="11"/>
        <v>物业等级</v>
      </c>
      <c r="R30" s="773" t="s">
        <v>17</v>
      </c>
      <c r="S30" s="774">
        <f t="shared" si="12"/>
        <v>100</v>
      </c>
      <c r="T30" s="773" t="s">
        <v>17</v>
      </c>
      <c r="U30" s="774">
        <f t="shared" si="13"/>
        <v>100</v>
      </c>
      <c r="V30" s="773" t="s">
        <v>17</v>
      </c>
      <c r="W30" s="774">
        <f t="shared" si="14"/>
        <v>100</v>
      </c>
      <c r="X30" s="1811"/>
      <c r="Y30" s="3256"/>
      <c r="Z30" s="1812" t="str">
        <f t="shared" si="15"/>
        <v>物业等级</v>
      </c>
      <c r="AA30" s="1809">
        <f t="shared" si="3"/>
        <v>1</v>
      </c>
      <c r="AB30" s="1809">
        <f t="shared" si="4"/>
        <v>1</v>
      </c>
      <c r="AC30" s="1809">
        <f t="shared" si="5"/>
        <v>1</v>
      </c>
    </row>
    <row r="31" spans="1:29" s="116" customFormat="1" ht="15">
      <c r="A31" s="657"/>
      <c r="B31" s="653" t="s">
        <v>2706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256"/>
      <c r="Q31" s="1793" t="str">
        <f t="shared" si="11"/>
        <v>停车位面积</v>
      </c>
      <c r="R31" s="769" t="s">
        <v>17</v>
      </c>
      <c r="S31" s="770" t="e">
        <f t="shared" si="12"/>
        <v>#N/A</v>
      </c>
      <c r="T31" s="769" t="s">
        <v>17</v>
      </c>
      <c r="U31" s="770" t="e">
        <f t="shared" si="13"/>
        <v>#N/A</v>
      </c>
      <c r="V31" s="769" t="s">
        <v>17</v>
      </c>
      <c r="W31" s="770" t="e">
        <f t="shared" si="14"/>
        <v>#N/A</v>
      </c>
      <c r="X31" s="771"/>
      <c r="Y31" s="3256"/>
      <c r="Z31" s="54" t="str">
        <f t="shared" si="15"/>
        <v>停车位面积</v>
      </c>
      <c r="AA31" s="772" t="e">
        <f t="shared" si="3"/>
        <v>#N/A</v>
      </c>
      <c r="AB31" s="772" t="e">
        <f t="shared" si="4"/>
        <v>#N/A</v>
      </c>
      <c r="AC31" s="772" t="e">
        <f t="shared" si="5"/>
        <v>#N/A</v>
      </c>
    </row>
    <row r="32" spans="1:29" ht="15">
      <c r="A32" s="655"/>
      <c r="B32" s="653" t="s">
        <v>2707</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256" t="s">
        <v>2554</v>
      </c>
      <c r="Q32" s="1808" t="str">
        <f t="shared" si="11"/>
        <v>车位类型</v>
      </c>
      <c r="R32" s="773" t="s">
        <v>17</v>
      </c>
      <c r="S32" s="774">
        <f t="shared" si="12"/>
        <v>100</v>
      </c>
      <c r="T32" s="773" t="s">
        <v>17</v>
      </c>
      <c r="U32" s="774">
        <f t="shared" si="13"/>
        <v>100</v>
      </c>
      <c r="V32" s="773" t="s">
        <v>17</v>
      </c>
      <c r="W32" s="774">
        <f t="shared" si="14"/>
        <v>100</v>
      </c>
      <c r="X32" s="1811"/>
      <c r="Y32" s="3256" t="s">
        <v>2554</v>
      </c>
      <c r="Z32" s="1812" t="str">
        <f t="shared" si="15"/>
        <v>车位类型</v>
      </c>
      <c r="AA32" s="1809">
        <f t="shared" si="3"/>
        <v>1</v>
      </c>
      <c r="AB32" s="1809">
        <f t="shared" si="4"/>
        <v>1</v>
      </c>
      <c r="AC32" s="1809">
        <f t="shared" si="5"/>
        <v>1</v>
      </c>
    </row>
    <row r="33" spans="1:29" ht="15">
      <c r="A33" s="655"/>
      <c r="B33" s="653" t="s">
        <v>2708</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256"/>
      <c r="Q33" s="1808" t="str">
        <f t="shared" si="11"/>
        <v>是否直接入户</v>
      </c>
      <c r="R33" s="773" t="s">
        <v>17</v>
      </c>
      <c r="S33" s="774">
        <f t="shared" si="12"/>
        <v>100</v>
      </c>
      <c r="T33" s="773" t="s">
        <v>17</v>
      </c>
      <c r="U33" s="774">
        <f t="shared" si="13"/>
        <v>100</v>
      </c>
      <c r="V33" s="773" t="s">
        <v>17</v>
      </c>
      <c r="W33" s="774">
        <f t="shared" si="14"/>
        <v>100</v>
      </c>
      <c r="X33" s="1811"/>
      <c r="Y33" s="3256"/>
      <c r="Z33" s="1812" t="str">
        <f t="shared" si="15"/>
        <v>是否直接入户</v>
      </c>
      <c r="AA33" s="1809">
        <f t="shared" si="3"/>
        <v>1</v>
      </c>
      <c r="AB33" s="1809">
        <f t="shared" si="4"/>
        <v>1</v>
      </c>
      <c r="AC33" s="1809">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256"/>
      <c r="Q34" s="1808">
        <f t="shared" si="11"/>
        <v>111</v>
      </c>
      <c r="R34" s="773" t="s">
        <v>17</v>
      </c>
      <c r="S34" s="774">
        <f t="shared" si="12"/>
        <v>100</v>
      </c>
      <c r="T34" s="773" t="s">
        <v>17</v>
      </c>
      <c r="U34" s="774">
        <f t="shared" si="13"/>
        <v>100</v>
      </c>
      <c r="V34" s="773" t="s">
        <v>17</v>
      </c>
      <c r="W34" s="774">
        <f t="shared" si="14"/>
        <v>100</v>
      </c>
      <c r="X34" s="1811"/>
      <c r="Y34" s="3256"/>
      <c r="Z34" s="1812">
        <f t="shared" si="15"/>
        <v>111</v>
      </c>
      <c r="AA34" s="1809">
        <f t="shared" si="3"/>
        <v>1</v>
      </c>
      <c r="AB34" s="1809">
        <f t="shared" si="4"/>
        <v>1</v>
      </c>
      <c r="AC34" s="1809">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256"/>
      <c r="Q35" s="775">
        <f t="shared" si="11"/>
        <v>111</v>
      </c>
      <c r="R35" s="776" t="s">
        <v>17</v>
      </c>
      <c r="S35" s="777">
        <f t="shared" si="12"/>
        <v>100</v>
      </c>
      <c r="T35" s="776" t="s">
        <v>17</v>
      </c>
      <c r="U35" s="777">
        <f t="shared" si="13"/>
        <v>100</v>
      </c>
      <c r="V35" s="776" t="s">
        <v>17</v>
      </c>
      <c r="W35" s="777">
        <f t="shared" si="14"/>
        <v>100</v>
      </c>
      <c r="X35" s="778"/>
      <c r="Y35" s="3256"/>
      <c r="Z35" s="779">
        <f t="shared" si="15"/>
        <v>111</v>
      </c>
      <c r="AA35" s="1809">
        <f t="shared" si="3"/>
        <v>1</v>
      </c>
      <c r="AB35" s="1809">
        <f t="shared" si="4"/>
        <v>1</v>
      </c>
      <c r="AC35" s="1809">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256"/>
      <c r="Q36" s="1808">
        <f t="shared" si="11"/>
        <v>111</v>
      </c>
      <c r="R36" s="773" t="s">
        <v>17</v>
      </c>
      <c r="S36" s="774">
        <f t="shared" si="12"/>
        <v>100</v>
      </c>
      <c r="T36" s="773" t="s">
        <v>17</v>
      </c>
      <c r="U36" s="774">
        <f t="shared" si="13"/>
        <v>100</v>
      </c>
      <c r="V36" s="773" t="s">
        <v>17</v>
      </c>
      <c r="W36" s="774">
        <f t="shared" si="14"/>
        <v>100</v>
      </c>
      <c r="X36" s="1811"/>
      <c r="Y36" s="3256"/>
      <c r="Z36" s="1812">
        <f t="shared" si="15"/>
        <v>111</v>
      </c>
      <c r="AA36" s="1809">
        <f t="shared" si="3"/>
        <v>1</v>
      </c>
      <c r="AB36" s="1809">
        <f t="shared" si="4"/>
        <v>1</v>
      </c>
      <c r="AC36" s="1809">
        <f t="shared" si="5"/>
        <v>1</v>
      </c>
    </row>
    <row r="37" spans="1:29" ht="15">
      <c r="A37" s="478" t="s">
        <v>2709</v>
      </c>
      <c r="B37" s="2694" t="s">
        <v>2710</v>
      </c>
      <c r="C37" s="1406" t="s">
        <v>1</v>
      </c>
      <c r="D37" s="1407"/>
      <c r="E37" s="1408"/>
      <c r="F37" s="1409"/>
      <c r="G37" s="1410"/>
      <c r="H37" s="1411"/>
      <c r="I37" s="1408"/>
      <c r="J37" s="1411"/>
      <c r="K37" s="618"/>
      <c r="L37" s="1143"/>
      <c r="M37" s="1144"/>
      <c r="N37" s="1131"/>
      <c r="O37" s="1144"/>
      <c r="P37" s="3249" t="str">
        <f>A37</f>
        <v>成交单价</v>
      </c>
      <c r="Q37" s="3249"/>
      <c r="R37" s="3250">
        <f>E37</f>
        <v>0</v>
      </c>
      <c r="S37" s="3250"/>
      <c r="T37" s="3250">
        <f>G37</f>
        <v>0</v>
      </c>
      <c r="U37" s="3250"/>
      <c r="V37" s="3250">
        <f>I37</f>
        <v>0</v>
      </c>
      <c r="W37" s="3250"/>
      <c r="X37" s="758"/>
      <c r="Y37" s="780"/>
      <c r="Z37" s="758"/>
      <c r="AA37" s="758"/>
      <c r="AB37" s="758"/>
      <c r="AC37" s="758"/>
    </row>
    <row r="38" spans="1:29" ht="15.75" thickBot="1">
      <c r="A38" s="485" t="s">
        <v>2711</v>
      </c>
      <c r="B38" s="486" t="str">
        <f>B37</f>
        <v>元/车位</v>
      </c>
      <c r="C38" s="1412" t="e">
        <f>R39</f>
        <v>#DIV/0!</v>
      </c>
      <c r="D38" s="1413"/>
      <c r="E38" s="1414" t="e">
        <f>R38</f>
        <v>#DIV/0!</v>
      </c>
      <c r="F38" s="1414"/>
      <c r="G38" s="1412" t="e">
        <f>T38</f>
        <v>#DIV/0!</v>
      </c>
      <c r="H38" s="1413"/>
      <c r="I38" s="1414" t="e">
        <f>V38</f>
        <v>#DIV/0!</v>
      </c>
      <c r="J38" s="1413"/>
      <c r="K38" s="619"/>
      <c r="L38" s="1143"/>
      <c r="M38" s="1144"/>
      <c r="N38" s="1144"/>
      <c r="O38" s="1144"/>
      <c r="P38" s="3249" t="str">
        <f>A38</f>
        <v>比较价值（元/平方米）</v>
      </c>
      <c r="Q38" s="3249"/>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8"/>
      <c r="Y38" s="758"/>
      <c r="Z38" s="758"/>
      <c r="AA38" s="758"/>
      <c r="AB38" s="758"/>
      <c r="AC38" s="758"/>
    </row>
    <row r="39" spans="1:29" ht="15.75" thickBot="1">
      <c r="A39" s="491" t="s">
        <v>2712</v>
      </c>
      <c r="B39" s="492"/>
      <c r="C39" s="1416" t="e">
        <f>R39</f>
        <v>#DIV/0!</v>
      </c>
      <c r="D39" s="1416"/>
      <c r="E39" s="1416"/>
      <c r="F39" s="1416"/>
      <c r="G39" s="1416"/>
      <c r="H39" s="1416"/>
      <c r="I39" s="1416"/>
      <c r="J39" s="1416"/>
      <c r="K39" s="620"/>
      <c r="L39" s="1143"/>
      <c r="M39" s="1144"/>
      <c r="N39" s="1144"/>
      <c r="O39" s="1144"/>
      <c r="P39" s="3246" t="str">
        <f>A39</f>
        <v>估价对象XX用房的比较价值（楼面单价，元/平方米）</v>
      </c>
      <c r="Q39" s="3247"/>
      <c r="R39" s="3248" t="e">
        <f>IF(F1="售价",ROUND(AVERAGE(R38:V38),0),ROUND(AVERAGE(R38:V38),1))</f>
        <v>#DIV/0!</v>
      </c>
      <c r="S39" s="3248"/>
      <c r="T39" s="3248"/>
      <c r="U39" s="3248"/>
      <c r="V39" s="3248"/>
      <c r="W39" s="3248"/>
      <c r="X39" s="758"/>
      <c r="Y39" s="758"/>
      <c r="Z39" s="758"/>
      <c r="AA39" s="758"/>
      <c r="AB39" s="758"/>
      <c r="AC39" s="758"/>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6" t="s">
        <v>2713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6" t="s">
        <v>2714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1" customFormat="1" ht="13.5" customHeight="1">
      <c r="A44" s="1145"/>
      <c r="B44" s="1145"/>
      <c r="C44" s="496" t="s">
        <v>2715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2716</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7" customFormat="1" ht="15">
      <c r="A48" s="504" t="s">
        <v>2717</v>
      </c>
      <c r="B48" s="505"/>
      <c r="C48" s="1572" t="str">
        <f>YEAR(C7)&amp;"-"&amp;MONTH(C7)</f>
        <v>2018-12</v>
      </c>
      <c r="D48" s="1573">
        <f>EDATE(C48,-1)</f>
        <v>43405</v>
      </c>
      <c r="E48" s="1573">
        <f t="shared" ref="E48:O48" si="16">EDATE(D48,-1)</f>
        <v>43374</v>
      </c>
      <c r="F48" s="1573">
        <f t="shared" si="16"/>
        <v>43344</v>
      </c>
      <c r="G48" s="1573">
        <f t="shared" si="16"/>
        <v>43313</v>
      </c>
      <c r="H48" s="1573">
        <f t="shared" si="16"/>
        <v>43282</v>
      </c>
      <c r="I48" s="1573">
        <f t="shared" si="16"/>
        <v>43252</v>
      </c>
      <c r="J48" s="1573">
        <f t="shared" si="16"/>
        <v>43221</v>
      </c>
      <c r="K48" s="1573">
        <f t="shared" si="16"/>
        <v>43191</v>
      </c>
      <c r="L48" s="1573">
        <f t="shared" si="16"/>
        <v>43160</v>
      </c>
      <c r="M48" s="1573">
        <f t="shared" si="16"/>
        <v>43132</v>
      </c>
      <c r="N48" s="1573">
        <f t="shared" si="16"/>
        <v>43101</v>
      </c>
      <c r="O48" s="1573">
        <f t="shared" si="16"/>
        <v>43070</v>
      </c>
      <c r="P48" s="1437"/>
      <c r="Q48" s="1438"/>
      <c r="R48" s="1438"/>
      <c r="S48" s="1438"/>
      <c r="T48" s="1438"/>
      <c r="U48" s="1438"/>
      <c r="V48" s="1438"/>
      <c r="W48" s="1438"/>
      <c r="X48" s="1438"/>
      <c r="Y48" s="1438"/>
      <c r="Z48" s="1438"/>
      <c r="AA48" s="1438"/>
      <c r="AB48" s="1438"/>
      <c r="AC48" s="1438"/>
    </row>
    <row r="49" spans="1:29" s="116" customFormat="1" ht="15">
      <c r="A49" s="508"/>
      <c r="B49" s="509"/>
      <c r="C49" s="1564">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2574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2539</v>
      </c>
      <c r="B51" s="509"/>
      <c r="C51" s="521" t="s">
        <v>2641</v>
      </c>
      <c r="D51" s="522"/>
      <c r="E51" s="522"/>
      <c r="F51" s="522"/>
      <c r="G51" s="522"/>
      <c r="H51" s="522"/>
      <c r="I51" s="522"/>
      <c r="J51" s="522"/>
      <c r="K51" s="522"/>
      <c r="L51" s="523"/>
      <c r="M51" s="524"/>
      <c r="N51" s="1151"/>
      <c r="O51" s="1151"/>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1"/>
      <c r="O52" s="1151"/>
      <c r="P52" s="1427"/>
      <c r="Q52" s="1422"/>
      <c r="R52" s="1426"/>
      <c r="S52" s="1426"/>
      <c r="T52" s="1426"/>
      <c r="U52" s="1426"/>
      <c r="V52" s="1426"/>
      <c r="W52" s="1426"/>
      <c r="X52" s="1426"/>
      <c r="Y52" s="1426"/>
      <c r="Z52" s="1426"/>
      <c r="AA52" s="1426"/>
      <c r="AB52" s="1426"/>
      <c r="AC52" s="1426"/>
    </row>
    <row r="53" spans="1:29">
      <c r="A53" s="526" t="s">
        <v>2577</v>
      </c>
      <c r="B53" s="527" t="s">
        <v>2543</v>
      </c>
      <c r="C53" s="528">
        <f>C9</f>
        <v>0</v>
      </c>
      <c r="D53" s="529"/>
      <c r="E53" s="529"/>
      <c r="F53" s="529"/>
      <c r="G53" s="529"/>
      <c r="H53" s="529"/>
      <c r="I53" s="529"/>
      <c r="J53" s="529"/>
      <c r="K53" s="530"/>
      <c r="L53" s="531"/>
      <c r="M53" s="532"/>
      <c r="N53" s="1152"/>
      <c r="O53" s="1152"/>
      <c r="P53" s="1428"/>
      <c r="Q53" s="1422"/>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8"/>
      <c r="Q54" s="1422"/>
      <c r="R54" s="1144"/>
      <c r="S54" s="1144"/>
      <c r="T54" s="1144"/>
      <c r="U54" s="1144"/>
      <c r="V54" s="1144"/>
      <c r="W54" s="1144"/>
      <c r="X54" s="1144"/>
      <c r="Y54" s="1144"/>
      <c r="Z54" s="1144"/>
      <c r="AA54" s="1144"/>
      <c r="AB54" s="1144"/>
      <c r="AC54" s="1144"/>
    </row>
    <row r="55" spans="1:29" ht="27.75" thickTop="1">
      <c r="A55" s="533"/>
      <c r="B55" s="537" t="s">
        <v>2546</v>
      </c>
      <c r="C55" s="538" t="s">
        <v>2578</v>
      </c>
      <c r="D55" s="538" t="s">
        <v>2579</v>
      </c>
      <c r="E55" s="538" t="s">
        <v>2580</v>
      </c>
      <c r="F55" s="538" t="s">
        <v>2581</v>
      </c>
      <c r="G55" s="538" t="s">
        <v>2582</v>
      </c>
      <c r="H55" s="538" t="s">
        <v>2583</v>
      </c>
      <c r="I55" s="538" t="s">
        <v>2584</v>
      </c>
      <c r="J55" s="538"/>
      <c r="K55" s="539"/>
      <c r="L55" s="540"/>
      <c r="M55" s="541"/>
      <c r="N55" s="1152"/>
      <c r="O55" s="1152"/>
      <c r="P55" s="1428"/>
      <c r="Q55" s="1422"/>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8"/>
      <c r="Q56" s="1422"/>
      <c r="R56" s="1144"/>
      <c r="S56" s="1144"/>
      <c r="T56" s="1144"/>
      <c r="U56" s="1144"/>
      <c r="V56" s="1144"/>
      <c r="W56" s="1144"/>
      <c r="X56" s="1144"/>
      <c r="Y56" s="1144"/>
      <c r="Z56" s="1144"/>
      <c r="AA56" s="1144"/>
      <c r="AB56" s="1144"/>
      <c r="AC56" s="1144"/>
    </row>
    <row r="57" spans="1:29" ht="15.75" thickTop="1">
      <c r="A57" s="533"/>
      <c r="B57" s="659">
        <f>B11</f>
        <v>111</v>
      </c>
      <c r="C57" s="548"/>
      <c r="D57" s="548"/>
      <c r="E57" s="548"/>
      <c r="F57" s="548"/>
      <c r="G57" s="548"/>
      <c r="H57" s="548"/>
      <c r="I57" s="548"/>
      <c r="J57" s="548"/>
      <c r="K57" s="549"/>
      <c r="L57" s="550"/>
      <c r="M57" s="551"/>
      <c r="N57" s="1152"/>
      <c r="O57" s="1152"/>
      <c r="P57" s="1428"/>
      <c r="Q57" s="1422"/>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8"/>
      <c r="Q58" s="1422"/>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3"/>
      <c r="O60" s="1153"/>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4"/>
      <c r="O61" s="1154"/>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4"/>
      <c r="O62" s="1154"/>
      <c r="P62" s="1429"/>
      <c r="Q62" s="1430"/>
      <c r="R62" s="1431"/>
      <c r="S62" s="1431"/>
      <c r="T62" s="1431"/>
      <c r="U62" s="1431"/>
      <c r="V62" s="1431"/>
      <c r="W62" s="1431"/>
      <c r="X62" s="1431"/>
      <c r="Y62" s="1431"/>
      <c r="Z62" s="1431"/>
      <c r="AA62" s="1431"/>
      <c r="AB62" s="1431"/>
      <c r="AC62" s="1431"/>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52"/>
      <c r="O63" s="1152"/>
      <c r="P63" s="1434"/>
      <c r="Q63" s="1422"/>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8"/>
      <c r="Q64" s="1422"/>
      <c r="R64" s="1144"/>
      <c r="S64" s="1144"/>
      <c r="T64" s="1144"/>
      <c r="U64" s="1144"/>
      <c r="V64" s="1144"/>
      <c r="W64" s="1144"/>
      <c r="X64" s="1144"/>
      <c r="Y64" s="1144"/>
      <c r="Z64" s="1144"/>
      <c r="AA64" s="1144"/>
      <c r="AB64" s="1144"/>
      <c r="AC64" s="1144"/>
    </row>
    <row r="65" spans="1:29" ht="15.75" thickTop="1">
      <c r="A65" s="533"/>
      <c r="B65" s="537" t="s">
        <v>2592</v>
      </c>
      <c r="C65" s="577" t="s">
        <v>2586</v>
      </c>
      <c r="D65" s="577" t="s">
        <v>2587</v>
      </c>
      <c r="E65" s="577" t="s">
        <v>2588</v>
      </c>
      <c r="F65" s="577" t="s">
        <v>2589</v>
      </c>
      <c r="G65" s="577" t="s">
        <v>2590</v>
      </c>
      <c r="H65" s="538"/>
      <c r="I65" s="538"/>
      <c r="J65" s="538"/>
      <c r="K65" s="539"/>
      <c r="L65" s="540"/>
      <c r="M65" s="541"/>
      <c r="N65" s="1152"/>
      <c r="O65" s="1152"/>
      <c r="P65" s="1428"/>
      <c r="Q65" s="1422"/>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8"/>
      <c r="Q66" s="1422"/>
      <c r="R66" s="1144"/>
      <c r="S66" s="1144"/>
      <c r="T66" s="1144"/>
      <c r="U66" s="1144"/>
      <c r="V66" s="1144"/>
      <c r="W66" s="1144"/>
      <c r="X66" s="1144"/>
      <c r="Y66" s="1144"/>
      <c r="Z66" s="1144"/>
      <c r="AA66" s="1144"/>
      <c r="AB66" s="1144"/>
      <c r="AC66" s="1144"/>
    </row>
    <row r="67" spans="1:29" ht="15.75" thickTop="1">
      <c r="A67" s="533"/>
      <c r="B67" s="545" t="s">
        <v>2678</v>
      </c>
      <c r="C67" s="659" t="s">
        <v>2664</v>
      </c>
      <c r="D67" s="659" t="s">
        <v>2665</v>
      </c>
      <c r="E67" s="659" t="s">
        <v>2666</v>
      </c>
      <c r="F67" s="659" t="s">
        <v>2667</v>
      </c>
      <c r="G67" s="659" t="s">
        <v>2668</v>
      </c>
      <c r="H67" s="538"/>
      <c r="I67" s="538"/>
      <c r="J67" s="538"/>
      <c r="K67" s="538"/>
      <c r="L67" s="538"/>
      <c r="M67" s="1382"/>
      <c r="N67" s="1153"/>
      <c r="O67" s="1153"/>
      <c r="P67" s="1428"/>
      <c r="Q67" s="1422"/>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3"/>
      <c r="O68" s="1153"/>
      <c r="P68" s="1428"/>
      <c r="Q68" s="1422"/>
      <c r="R68" s="1144"/>
      <c r="S68" s="1144"/>
      <c r="T68" s="1144"/>
      <c r="U68" s="1144"/>
      <c r="V68" s="1144"/>
      <c r="W68" s="1144"/>
      <c r="X68" s="1144"/>
      <c r="Y68" s="1144"/>
      <c r="Z68" s="1144"/>
      <c r="AA68" s="1144"/>
      <c r="AB68" s="1144"/>
      <c r="AC68" s="1144"/>
    </row>
    <row r="69" spans="1:29" ht="15.75" thickTop="1">
      <c r="A69" s="533"/>
      <c r="B69" s="537" t="s">
        <v>2598</v>
      </c>
      <c r="C69" s="577" t="s">
        <v>2586</v>
      </c>
      <c r="D69" s="577" t="s">
        <v>2587</v>
      </c>
      <c r="E69" s="577" t="s">
        <v>2588</v>
      </c>
      <c r="F69" s="577" t="s">
        <v>2589</v>
      </c>
      <c r="G69" s="577" t="s">
        <v>2590</v>
      </c>
      <c r="H69" s="538"/>
      <c r="I69" s="538"/>
      <c r="J69" s="538"/>
      <c r="K69" s="539"/>
      <c r="L69" s="540"/>
      <c r="M69" s="541"/>
      <c r="N69" s="1152"/>
      <c r="O69" s="1152"/>
      <c r="P69" s="1428"/>
      <c r="Q69" s="1422"/>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8"/>
      <c r="Q70" s="1422"/>
      <c r="R70" s="1144"/>
      <c r="S70" s="1144"/>
      <c r="T70" s="1144"/>
      <c r="U70" s="1144"/>
      <c r="V70" s="1144"/>
      <c r="W70" s="1144"/>
      <c r="X70" s="1144"/>
      <c r="Y70" s="1144"/>
      <c r="Z70" s="1144"/>
      <c r="AA70" s="1144"/>
      <c r="AB70" s="1144"/>
      <c r="AC70" s="1144"/>
    </row>
    <row r="71" spans="1:29" ht="15.75" thickTop="1">
      <c r="A71" s="533"/>
      <c r="B71" s="537" t="s">
        <v>2718</v>
      </c>
      <c r="C71" s="553"/>
      <c r="D71" s="553"/>
      <c r="E71" s="553"/>
      <c r="F71" s="553"/>
      <c r="G71" s="553"/>
      <c r="H71" s="582"/>
      <c r="I71" s="582"/>
      <c r="J71" s="582"/>
      <c r="K71" s="583"/>
      <c r="L71" s="584"/>
      <c r="M71" s="585"/>
      <c r="N71" s="1152"/>
      <c r="O71" s="1152"/>
      <c r="P71" s="1428"/>
      <c r="Q71" s="1422"/>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8"/>
      <c r="Q72" s="1422"/>
      <c r="R72" s="1144"/>
      <c r="S72" s="1144"/>
      <c r="T72" s="1144"/>
      <c r="U72" s="1144"/>
      <c r="V72" s="1144"/>
      <c r="W72" s="1144"/>
      <c r="X72" s="1144"/>
      <c r="Y72" s="1144"/>
      <c r="Z72" s="1144"/>
      <c r="AA72" s="1144"/>
      <c r="AB72" s="1144"/>
      <c r="AC72" s="1144"/>
    </row>
    <row r="73" spans="1:29" s="116" customFormat="1" ht="15.75" thickTop="1">
      <c r="A73" s="578"/>
      <c r="B73" s="537">
        <f>B23</f>
        <v>111</v>
      </c>
      <c r="C73" s="548"/>
      <c r="D73" s="548"/>
      <c r="E73" s="548"/>
      <c r="F73" s="548"/>
      <c r="G73" s="553"/>
      <c r="H73" s="553"/>
      <c r="I73" s="553"/>
      <c r="J73" s="553"/>
      <c r="K73" s="553"/>
      <c r="L73" s="579"/>
      <c r="M73" s="580"/>
      <c r="N73" s="1151"/>
      <c r="O73" s="1151"/>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3"/>
      <c r="O74" s="1153"/>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1"/>
      <c r="O75" s="1151"/>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3"/>
      <c r="O76" s="1153"/>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4"/>
      <c r="O77" s="1154"/>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4"/>
      <c r="O78" s="1154"/>
      <c r="P78" s="1429"/>
      <c r="Q78" s="1430"/>
      <c r="R78" s="1431"/>
      <c r="S78" s="1431"/>
      <c r="T78" s="1431"/>
      <c r="U78" s="1431"/>
      <c r="V78" s="1431"/>
      <c r="W78" s="1431"/>
      <c r="X78" s="1431"/>
      <c r="Y78" s="1431"/>
      <c r="Z78" s="1431"/>
      <c r="AA78" s="1431"/>
      <c r="AB78" s="1431"/>
      <c r="AC78" s="1431"/>
    </row>
    <row r="79" spans="1:29" ht="27.75" thickTop="1">
      <c r="A79" s="526" t="s">
        <v>2552</v>
      </c>
      <c r="B79" s="527" t="s">
        <v>2719</v>
      </c>
      <c r="C79" s="528">
        <f>C26</f>
        <v>0</v>
      </c>
      <c r="D79" s="529"/>
      <c r="E79" s="529"/>
      <c r="F79" s="529"/>
      <c r="G79" s="529"/>
      <c r="H79" s="529"/>
      <c r="I79" s="529"/>
      <c r="J79" s="529"/>
      <c r="K79" s="530"/>
      <c r="L79" s="531"/>
      <c r="M79" s="532"/>
      <c r="N79" s="1152"/>
      <c r="O79" s="1152"/>
      <c r="P79" s="1428"/>
      <c r="Q79" s="1422"/>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3"/>
      <c r="B81" s="537" t="s">
        <v>2720</v>
      </c>
      <c r="C81" s="660"/>
      <c r="D81" s="660"/>
      <c r="E81" s="660"/>
      <c r="F81" s="660"/>
      <c r="G81" s="660"/>
      <c r="H81" s="660"/>
      <c r="I81" s="660"/>
      <c r="J81" s="660"/>
      <c r="K81" s="661"/>
      <c r="L81" s="662"/>
      <c r="M81" s="663"/>
      <c r="N81" s="1151"/>
      <c r="O81" s="1151"/>
      <c r="P81" s="1428"/>
      <c r="Q81" s="1422"/>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29"/>
      <c r="Q82" s="1430"/>
      <c r="R82" s="1431"/>
      <c r="S82" s="1431"/>
      <c r="T82" s="1431"/>
      <c r="U82" s="1431"/>
      <c r="V82" s="1431"/>
      <c r="W82" s="1431"/>
      <c r="X82" s="1431"/>
      <c r="Y82" s="1431"/>
      <c r="Z82" s="1431"/>
      <c r="AA82" s="1431"/>
      <c r="AB82" s="1431"/>
      <c r="AC82" s="1431"/>
    </row>
    <row r="83" spans="1:29" ht="15" thickTop="1">
      <c r="A83" s="598"/>
      <c r="B83" s="537" t="s">
        <v>2605</v>
      </c>
      <c r="C83" s="553"/>
      <c r="D83" s="553"/>
      <c r="E83" s="582"/>
      <c r="F83" s="582"/>
      <c r="G83" s="582"/>
      <c r="H83" s="582"/>
      <c r="I83" s="582"/>
      <c r="J83" s="582"/>
      <c r="K83" s="583"/>
      <c r="L83" s="584"/>
      <c r="M83" s="585"/>
      <c r="N83" s="1152"/>
      <c r="O83" s="1152"/>
      <c r="P83" s="1428"/>
      <c r="Q83" s="1422"/>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8"/>
      <c r="B85" s="537" t="s">
        <v>2721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8"/>
      <c r="Q85" s="1422"/>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2"/>
      <c r="J86" s="622"/>
      <c r="K86" s="623"/>
      <c r="L86" s="624"/>
      <c r="M86" s="625"/>
      <c r="N86" s="1152"/>
      <c r="O86" s="1152"/>
      <c r="P86" s="1428"/>
      <c r="Q86" s="1422"/>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8"/>
      <c r="B88" s="545" t="s">
        <v>2722</v>
      </c>
      <c r="C88" s="529"/>
      <c r="D88" s="529"/>
      <c r="E88" s="529"/>
      <c r="F88" s="529"/>
      <c r="G88" s="529"/>
      <c r="H88" s="529"/>
      <c r="I88" s="529"/>
      <c r="J88" s="529"/>
      <c r="K88" s="530"/>
      <c r="L88" s="531"/>
      <c r="M88" s="532"/>
      <c r="N88" s="1152"/>
      <c r="O88" s="1152"/>
      <c r="P88" s="1428"/>
      <c r="Q88" s="1422"/>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8"/>
      <c r="Q89" s="1422"/>
      <c r="R89" s="1144"/>
      <c r="S89" s="1144"/>
      <c r="T89" s="1144"/>
      <c r="U89" s="1144"/>
      <c r="V89" s="1144"/>
      <c r="W89" s="1144"/>
      <c r="X89" s="1144"/>
      <c r="Y89" s="1144"/>
      <c r="Z89" s="1144"/>
      <c r="AA89" s="1144"/>
      <c r="AB89" s="1144"/>
      <c r="AC89" s="1144"/>
    </row>
    <row r="90" spans="1:29" s="470" customFormat="1" ht="15" thickTop="1">
      <c r="A90" s="592"/>
      <c r="B90" s="537" t="s">
        <v>2723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4"/>
      <c r="O90" s="1154"/>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4"/>
      <c r="O91" s="1154"/>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4"/>
      <c r="O92" s="1154"/>
      <c r="P92" s="1429"/>
      <c r="Q92" s="1430"/>
      <c r="R92" s="1431"/>
      <c r="S92" s="1431"/>
      <c r="T92" s="1431"/>
      <c r="U92" s="1431"/>
      <c r="V92" s="1431"/>
      <c r="W92" s="1431"/>
      <c r="X92" s="1431"/>
      <c r="Y92" s="1431"/>
      <c r="Z92" s="1431"/>
      <c r="AA92" s="1431"/>
      <c r="AB92" s="1431"/>
      <c r="AC92" s="1431"/>
    </row>
    <row r="93" spans="1:29" ht="15" thickTop="1">
      <c r="A93" s="598"/>
      <c r="B93" s="537" t="s">
        <v>2724</v>
      </c>
      <c r="C93" s="553"/>
      <c r="D93" s="553"/>
      <c r="E93" s="582"/>
      <c r="F93" s="582"/>
      <c r="G93" s="582"/>
      <c r="H93" s="582"/>
      <c r="I93" s="582"/>
      <c r="J93" s="582"/>
      <c r="K93" s="583"/>
      <c r="L93" s="584"/>
      <c r="M93" s="585"/>
      <c r="N93" s="1152"/>
      <c r="O93" s="1152"/>
      <c r="P93" s="1428"/>
      <c r="Q93" s="1422"/>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8"/>
      <c r="B95" s="537" t="s">
        <v>2725</v>
      </c>
      <c r="C95" s="529"/>
      <c r="D95" s="529"/>
      <c r="E95" s="529"/>
      <c r="F95" s="529"/>
      <c r="G95" s="529"/>
      <c r="H95" s="529"/>
      <c r="I95" s="529"/>
      <c r="J95" s="529"/>
      <c r="K95" s="530"/>
      <c r="L95" s="531"/>
      <c r="M95" s="532"/>
      <c r="N95" s="1152"/>
      <c r="O95" s="1152"/>
      <c r="P95" s="1428"/>
      <c r="Q95" s="1422"/>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8"/>
      <c r="Q96" s="1422"/>
      <c r="R96" s="1144"/>
      <c r="S96" s="1144"/>
      <c r="T96" s="1144"/>
      <c r="U96" s="1144"/>
      <c r="V96" s="1144"/>
      <c r="W96" s="1144"/>
      <c r="X96" s="1144"/>
      <c r="Y96" s="1144"/>
      <c r="Z96" s="1144"/>
      <c r="AA96" s="1144"/>
      <c r="AB96" s="1144"/>
      <c r="AC96" s="1144"/>
    </row>
    <row r="97" spans="1:29" ht="15" thickTop="1">
      <c r="A97" s="598"/>
      <c r="B97" s="635">
        <f>B34</f>
        <v>111</v>
      </c>
      <c r="C97" s="548"/>
      <c r="D97" s="548"/>
      <c r="E97" s="548"/>
      <c r="F97" s="548"/>
      <c r="G97" s="553"/>
      <c r="H97" s="554"/>
      <c r="I97" s="554"/>
      <c r="J97" s="554"/>
      <c r="K97" s="554"/>
      <c r="L97" s="555"/>
      <c r="M97" s="556"/>
      <c r="N97" s="1153"/>
      <c r="O97" s="1153"/>
      <c r="P97" s="1435"/>
      <c r="Q97" s="1436"/>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8"/>
      <c r="Q98" s="1422"/>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4"/>
      <c r="O100" s="1154"/>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2"/>
      <c r="O101" s="1152"/>
      <c r="P101" s="1428"/>
      <c r="Q101" s="1422"/>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1" priority="14" stopIfTrue="1" operator="containsText" text="超过">
      <formula>NOT(ISERROR(SEARCH("超过",F42)))</formula>
    </cfRule>
  </conditionalFormatting>
  <conditionalFormatting sqref="J44">
    <cfRule type="containsText" dxfId="70" priority="13" stopIfTrue="1" operator="containsText" text="超过">
      <formula>NOT(ISERROR(SEARCH("超过",J44)))</formula>
    </cfRule>
  </conditionalFormatting>
  <conditionalFormatting sqref="H44">
    <cfRule type="containsText" dxfId="69" priority="12" stopIfTrue="1" operator="containsText" text="超过">
      <formula>NOT(ISERROR(SEARCH("超过",H44)))</formula>
    </cfRule>
  </conditionalFormatting>
  <conditionalFormatting sqref="F44">
    <cfRule type="containsText" dxfId="68" priority="11" stopIfTrue="1" operator="containsText" text="超过">
      <formula>NOT(ISERROR(SEARCH("超过",F44)))</formula>
    </cfRule>
  </conditionalFormatting>
  <conditionalFormatting sqref="F43 H43 J43">
    <cfRule type="containsText" dxfId="67" priority="10" stopIfTrue="1" operator="containsText" text="超过">
      <formula>NOT(ISERROR(SEARCH("超过",F43)))</formula>
    </cfRule>
  </conditionalFormatting>
  <conditionalFormatting sqref="E42">
    <cfRule type="expression" dxfId="66" priority="9" stopIfTrue="1">
      <formula>$F$42="超过30%"</formula>
    </cfRule>
  </conditionalFormatting>
  <conditionalFormatting sqref="G44">
    <cfRule type="expression" dxfId="65" priority="8" stopIfTrue="1">
      <formula>$H$54+$H$44="超过30%"</formula>
    </cfRule>
  </conditionalFormatting>
  <conditionalFormatting sqref="E43">
    <cfRule type="expression" dxfId="64" priority="7" stopIfTrue="1">
      <formula>$F$43="超过20%"</formula>
    </cfRule>
  </conditionalFormatting>
  <conditionalFormatting sqref="E44">
    <cfRule type="expression" dxfId="63" priority="6" stopIfTrue="1">
      <formula>$F$44="超过30%"</formula>
    </cfRule>
  </conditionalFormatting>
  <conditionalFormatting sqref="G42">
    <cfRule type="expression" dxfId="62" priority="5" stopIfTrue="1">
      <formula>$H$52+$H$42="超过30%"</formula>
    </cfRule>
  </conditionalFormatting>
  <conditionalFormatting sqref="G43">
    <cfRule type="expression" dxfId="61" priority="4" stopIfTrue="1">
      <formula>$H$43="超过20%"</formula>
    </cfRule>
  </conditionalFormatting>
  <conditionalFormatting sqref="I42">
    <cfRule type="expression" dxfId="60" priority="3" stopIfTrue="1">
      <formula>$J$52+$J$42="超过30%"</formula>
    </cfRule>
  </conditionalFormatting>
  <conditionalFormatting sqref="I43">
    <cfRule type="expression" dxfId="59" priority="2" stopIfTrue="1">
      <formula>$J$53+$J$43="超过20%"</formula>
    </cfRule>
  </conditionalFormatting>
  <conditionalFormatting sqref="I44">
    <cfRule type="expression" dxfId="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5" sqref="C5:C10"/>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2696</v>
      </c>
      <c r="B1" s="1617"/>
      <c r="C1" s="1618" t="s">
        <v>2519</v>
      </c>
      <c r="D1" s="1619"/>
      <c r="E1" s="1628"/>
      <c r="F1" s="2583"/>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2316</v>
      </c>
      <c r="B2" s="1417" t="e">
        <f ca="1">IF(C2="——",ROUND(C37*D3/10000,0),ROUND(C37*D3/10000,0)-D2)</f>
        <v>#DIV/0!</v>
      </c>
      <c r="C2" s="2585"/>
      <c r="D2" s="1124" t="e">
        <f ca="1">SUMIF(INDIRECT("'"&amp;F2&amp;"'"&amp;"!A:A"),"承租人权益价值",INDIRECT("'"&amp;F2&amp;"'"&amp;"!c:c"))</f>
        <v>#REF!</v>
      </c>
      <c r="E2" s="2586" t="s">
        <v>2317</v>
      </c>
      <c r="F2" s="2587"/>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2633</v>
      </c>
      <c r="D3" s="398">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19" t="s">
        <v>2636</v>
      </c>
      <c r="S4" s="3220"/>
      <c r="T4" s="3219" t="s">
        <v>2637</v>
      </c>
      <c r="U4" s="3220"/>
      <c r="V4" s="3244" t="s">
        <v>2638</v>
      </c>
      <c r="W4" s="3244"/>
      <c r="X4" s="1811"/>
      <c r="Y4" s="3219" t="s">
        <v>2640</v>
      </c>
      <c r="Z4" s="3220"/>
      <c r="AA4" s="3214" t="s">
        <v>2636</v>
      </c>
      <c r="AB4" s="3215" t="s">
        <v>2637</v>
      </c>
      <c r="AC4" s="3214" t="s">
        <v>2638</v>
      </c>
    </row>
    <row r="5" spans="1:29" ht="15">
      <c r="A5" s="403"/>
      <c r="B5" s="404"/>
      <c r="C5" s="3225" t="s">
        <v>2531</v>
      </c>
      <c r="D5" s="3226"/>
      <c r="E5" s="3223" t="s">
        <v>2532</v>
      </c>
      <c r="F5" s="3224"/>
      <c r="G5" s="3225" t="s">
        <v>2533</v>
      </c>
      <c r="H5" s="3226"/>
      <c r="I5" s="3225" t="s">
        <v>2534</v>
      </c>
      <c r="J5" s="3226"/>
      <c r="K5" s="609"/>
      <c r="L5" s="1130"/>
      <c r="M5" s="1131"/>
      <c r="N5" s="1131"/>
      <c r="O5" s="1131"/>
      <c r="P5" s="3238"/>
      <c r="Q5" s="3239"/>
      <c r="R5" s="3221"/>
      <c r="S5" s="3222"/>
      <c r="T5" s="3221"/>
      <c r="U5" s="3222"/>
      <c r="V5" s="3244"/>
      <c r="W5" s="3244"/>
      <c r="X5" s="1811"/>
      <c r="Y5" s="3221"/>
      <c r="Z5" s="3222"/>
      <c r="AA5" s="3215"/>
      <c r="AB5" s="3215"/>
      <c r="AC5" s="3215"/>
    </row>
    <row r="6" spans="1:29" ht="15.75" thickBot="1">
      <c r="A6" s="405"/>
      <c r="B6" s="406"/>
      <c r="C6" s="3227" t="s">
        <v>2535</v>
      </c>
      <c r="D6" s="3228"/>
      <c r="E6" s="3229" t="s">
        <v>2535</v>
      </c>
      <c r="F6" s="3230"/>
      <c r="G6" s="3227" t="s">
        <v>2535</v>
      </c>
      <c r="H6" s="3228"/>
      <c r="I6" s="3227" t="s">
        <v>2535</v>
      </c>
      <c r="J6" s="3228"/>
      <c r="K6" s="609" t="s">
        <v>2536</v>
      </c>
      <c r="L6" s="1130"/>
      <c r="M6" s="1131"/>
      <c r="N6" s="1131"/>
      <c r="O6" s="1131"/>
      <c r="P6" s="3240"/>
      <c r="Q6" s="3241"/>
      <c r="R6" s="3221"/>
      <c r="S6" s="3222"/>
      <c r="T6" s="3242"/>
      <c r="U6" s="3243"/>
      <c r="V6" s="3244"/>
      <c r="W6" s="3244"/>
      <c r="X6" s="1811"/>
      <c r="Y6" s="3242"/>
      <c r="Z6" s="3243"/>
      <c r="AA6" s="3216"/>
      <c r="AB6" s="3216"/>
      <c r="AC6" s="3216"/>
    </row>
    <row r="7" spans="1:29" s="116" customFormat="1" ht="15.75" thickBot="1">
      <c r="A7" s="407" t="s">
        <v>2537</v>
      </c>
      <c r="B7" s="408"/>
      <c r="C7" s="409">
        <f>'数据-取费表'!B2</f>
        <v>43452</v>
      </c>
      <c r="D7" s="410">
        <v>100</v>
      </c>
      <c r="E7" s="411"/>
      <c r="F7" s="412">
        <f>SUMIF(46:46,YEAR(E7)&amp;"-"&amp;MONTH(E7),47:47)</f>
        <v>0</v>
      </c>
      <c r="G7" s="2695"/>
      <c r="H7" s="410">
        <f>SUMIF(46:46,YEAR(G7)&amp;"-"&amp;MONTH(G7),47:47)</f>
        <v>0</v>
      </c>
      <c r="I7" s="411"/>
      <c r="J7" s="410">
        <f>SUMIF(46:46,YEAR(I7)&amp;"-"&amp;MONTH(I7),47:47)</f>
        <v>0</v>
      </c>
      <c r="K7" s="610"/>
      <c r="L7" s="1132"/>
      <c r="M7" s="1133"/>
      <c r="N7" s="1133"/>
      <c r="O7" s="1133"/>
      <c r="P7" s="3217" t="s">
        <v>2538</v>
      </c>
      <c r="Q7" s="3245"/>
      <c r="R7" s="769" t="s">
        <v>17</v>
      </c>
      <c r="S7" s="770">
        <f t="shared" ref="S7:S14" si="0">F7</f>
        <v>0</v>
      </c>
      <c r="T7" s="769" t="s">
        <v>17</v>
      </c>
      <c r="U7" s="770">
        <f t="shared" ref="U7:U14" si="1">H7</f>
        <v>0</v>
      </c>
      <c r="V7" s="769" t="s">
        <v>17</v>
      </c>
      <c r="W7" s="770">
        <f t="shared" ref="W7:W14" si="2">J7</f>
        <v>0</v>
      </c>
      <c r="X7" s="771"/>
      <c r="Y7" s="3217" t="s">
        <v>2538</v>
      </c>
      <c r="Z7" s="3218"/>
      <c r="AA7" s="772" t="e">
        <f>D7/F7</f>
        <v>#DIV/0!</v>
      </c>
      <c r="AB7" s="772" t="e">
        <f>D7/H7</f>
        <v>#DIV/0!</v>
      </c>
      <c r="AC7" s="772" t="e">
        <f>D7/J7</f>
        <v>#DIV/0!</v>
      </c>
    </row>
    <row r="8" spans="1:29" s="116" customFormat="1" ht="15.7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32"/>
      <c r="M8" s="1133"/>
      <c r="N8" s="1133"/>
      <c r="O8" s="1133"/>
      <c r="P8" s="3217" t="s">
        <v>2541</v>
      </c>
      <c r="Q8" s="3218"/>
      <c r="R8" s="769" t="s">
        <v>17</v>
      </c>
      <c r="S8" s="770">
        <f t="shared" si="0"/>
        <v>0</v>
      </c>
      <c r="T8" s="769" t="s">
        <v>17</v>
      </c>
      <c r="U8" s="770">
        <f t="shared" si="1"/>
        <v>0</v>
      </c>
      <c r="V8" s="769" t="s">
        <v>17</v>
      </c>
      <c r="W8" s="770">
        <f t="shared" si="2"/>
        <v>0</v>
      </c>
      <c r="X8" s="771"/>
      <c r="Y8" s="3217" t="s">
        <v>2541</v>
      </c>
      <c r="Z8" s="3218"/>
      <c r="AA8" s="772" t="e">
        <f t="shared" ref="AA8:AA34" si="3">D8/F8</f>
        <v>#DIV/0!</v>
      </c>
      <c r="AB8" s="772" t="e">
        <f t="shared" ref="AB8:AB34" si="4">D8/H8</f>
        <v>#DIV/0!</v>
      </c>
      <c r="AC8" s="772" t="e">
        <f t="shared" ref="AC8:AC34" si="5">D8/J8</f>
        <v>#DIV/0!</v>
      </c>
    </row>
    <row r="9" spans="1:29" s="116" customFormat="1">
      <c r="A9" s="414" t="s">
        <v>2542</v>
      </c>
      <c r="B9" s="70" t="s">
        <v>2543</v>
      </c>
      <c r="C9" s="415"/>
      <c r="D9" s="134">
        <v>100</v>
      </c>
      <c r="E9" s="418"/>
      <c r="F9" s="417">
        <f>SUMIF(51:51,E9,52:52)-SUMIF(51:51,C9,52:52)+100</f>
        <v>100</v>
      </c>
      <c r="G9" s="418"/>
      <c r="H9" s="134">
        <f>SUMIF(51:51,G9,52:52)-SUMIF(51:51,C9,52:52)+100</f>
        <v>100</v>
      </c>
      <c r="I9" s="418"/>
      <c r="J9" s="134">
        <f>SUMIF(51:51,I9,52:52)-SUMIF(51:51,C9,52:52)+100</f>
        <v>100</v>
      </c>
      <c r="K9" s="610"/>
      <c r="L9" s="1132"/>
      <c r="M9" s="1133"/>
      <c r="N9" s="1133"/>
      <c r="O9" s="1134"/>
      <c r="P9" s="3249" t="s">
        <v>2544</v>
      </c>
      <c r="Q9" s="1793" t="str">
        <f t="shared" ref="Q9:Q14" si="6">B9</f>
        <v>用途</v>
      </c>
      <c r="R9" s="769" t="s">
        <v>17</v>
      </c>
      <c r="S9" s="770">
        <f t="shared" si="0"/>
        <v>100</v>
      </c>
      <c r="T9" s="769" t="s">
        <v>17</v>
      </c>
      <c r="U9" s="770">
        <f t="shared" si="1"/>
        <v>100</v>
      </c>
      <c r="V9" s="769" t="s">
        <v>17</v>
      </c>
      <c r="W9" s="770">
        <f t="shared" si="2"/>
        <v>100</v>
      </c>
      <c r="X9" s="771"/>
      <c r="Y9" s="3044" t="s">
        <v>2545</v>
      </c>
      <c r="Z9" s="54" t="str">
        <f t="shared" ref="Z9:Z14" si="7">Q9</f>
        <v>用途</v>
      </c>
      <c r="AA9" s="772">
        <f t="shared" si="3"/>
        <v>1</v>
      </c>
      <c r="AB9" s="772">
        <f t="shared" si="4"/>
        <v>1</v>
      </c>
      <c r="AC9" s="772">
        <f t="shared" si="5"/>
        <v>1</v>
      </c>
    </row>
    <row r="10" spans="1:29" s="426" customFormat="1" ht="27">
      <c r="A10" s="420"/>
      <c r="B10" s="421" t="s">
        <v>2546</v>
      </c>
      <c r="C10" s="422"/>
      <c r="D10" s="135">
        <v>100</v>
      </c>
      <c r="E10" s="422"/>
      <c r="F10" s="424">
        <f>SUMIF(53:53,E10,54:54)-SUMIF(53:53,C10,54:54)+100</f>
        <v>100</v>
      </c>
      <c r="G10" s="422"/>
      <c r="H10" s="135">
        <f>SUMIF(53:53,G10,54:54)-SUMIF(53:53,C10,54:54)+100</f>
        <v>100</v>
      </c>
      <c r="I10" s="422"/>
      <c r="J10" s="135">
        <f>SUMIF(53:53,I10,54:54)-SUMIF(53:53,C10,54:54)+100</f>
        <v>100</v>
      </c>
      <c r="K10" s="611"/>
      <c r="L10" s="1135"/>
      <c r="M10" s="1136"/>
      <c r="N10" s="1136"/>
      <c r="O10" s="1137"/>
      <c r="P10" s="3249"/>
      <c r="Q10" s="1793" t="str">
        <f t="shared" si="6"/>
        <v>土地使用年限（年）</v>
      </c>
      <c r="R10" s="769" t="s">
        <v>17</v>
      </c>
      <c r="S10" s="770">
        <f t="shared" si="0"/>
        <v>100</v>
      </c>
      <c r="T10" s="769" t="s">
        <v>17</v>
      </c>
      <c r="U10" s="770">
        <f t="shared" si="1"/>
        <v>100</v>
      </c>
      <c r="V10" s="769" t="s">
        <v>17</v>
      </c>
      <c r="W10" s="770">
        <f t="shared" si="2"/>
        <v>100</v>
      </c>
      <c r="X10" s="771"/>
      <c r="Y10" s="3044"/>
      <c r="Z10" s="54"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8"/>
      <c r="M11" s="1131"/>
      <c r="N11" s="1131"/>
      <c r="O11" s="1139"/>
      <c r="P11" s="3249"/>
      <c r="Q11" s="1793">
        <f t="shared" si="6"/>
        <v>111</v>
      </c>
      <c r="R11" s="769" t="s">
        <v>17</v>
      </c>
      <c r="S11" s="770">
        <f t="shared" si="0"/>
        <v>100</v>
      </c>
      <c r="T11" s="769" t="s">
        <v>17</v>
      </c>
      <c r="U11" s="770">
        <f t="shared" si="1"/>
        <v>100</v>
      </c>
      <c r="V11" s="769" t="s">
        <v>17</v>
      </c>
      <c r="W11" s="770">
        <f t="shared" si="2"/>
        <v>100</v>
      </c>
      <c r="X11" s="771"/>
      <c r="Y11" s="3044"/>
      <c r="Z11" s="54">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2"/>
      <c r="M12" s="1133"/>
      <c r="N12" s="1133"/>
      <c r="O12" s="1134"/>
      <c r="P12" s="3249"/>
      <c r="Q12" s="1793">
        <f t="shared" si="6"/>
        <v>111</v>
      </c>
      <c r="R12" s="769" t="s">
        <v>17</v>
      </c>
      <c r="S12" s="770">
        <f t="shared" si="0"/>
        <v>100</v>
      </c>
      <c r="T12" s="769" t="s">
        <v>17</v>
      </c>
      <c r="U12" s="770">
        <f t="shared" si="1"/>
        <v>100</v>
      </c>
      <c r="V12" s="769" t="s">
        <v>17</v>
      </c>
      <c r="W12" s="770">
        <f t="shared" si="2"/>
        <v>100</v>
      </c>
      <c r="X12" s="771"/>
      <c r="Y12" s="3044"/>
      <c r="Z12" s="54">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0"/>
      <c r="M13" s="1131"/>
      <c r="N13" s="1131"/>
      <c r="O13" s="1139"/>
      <c r="P13" s="3249"/>
      <c r="Q13" s="1793">
        <f t="shared" si="6"/>
        <v>111</v>
      </c>
      <c r="R13" s="769" t="s">
        <v>17</v>
      </c>
      <c r="S13" s="770">
        <f t="shared" si="0"/>
        <v>100</v>
      </c>
      <c r="T13" s="769" t="s">
        <v>17</v>
      </c>
      <c r="U13" s="770">
        <f t="shared" si="1"/>
        <v>100</v>
      </c>
      <c r="V13" s="769" t="s">
        <v>17</v>
      </c>
      <c r="W13" s="770">
        <f t="shared" si="2"/>
        <v>100</v>
      </c>
      <c r="X13" s="771"/>
      <c r="Y13" s="3044"/>
      <c r="Z13" s="54">
        <f t="shared" si="7"/>
        <v>111</v>
      </c>
      <c r="AA13" s="772">
        <f t="shared" si="3"/>
        <v>1</v>
      </c>
      <c r="AB13" s="772">
        <f t="shared" si="4"/>
        <v>1</v>
      </c>
      <c r="AC13" s="772">
        <f t="shared" si="5"/>
        <v>1</v>
      </c>
    </row>
    <row r="14" spans="1:29" ht="171">
      <c r="A14" s="439" t="s">
        <v>2548</v>
      </c>
      <c r="B14" s="68" t="s">
        <v>2698</v>
      </c>
      <c r="C14" s="2692" t="str">
        <f>IF(B1="工业",估价对象房地状况!G4,估价对象房地状况!C6)</f>
        <v>好</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251" t="s">
        <v>2549</v>
      </c>
      <c r="Q14" s="1808" t="str">
        <f t="shared" si="6"/>
        <v>交通便捷度</v>
      </c>
      <c r="R14" s="773" t="s">
        <v>17</v>
      </c>
      <c r="S14" s="774">
        <f t="shared" si="0"/>
        <v>100</v>
      </c>
      <c r="T14" s="773" t="s">
        <v>17</v>
      </c>
      <c r="U14" s="774">
        <f t="shared" si="1"/>
        <v>100</v>
      </c>
      <c r="V14" s="773" t="s">
        <v>17</v>
      </c>
      <c r="W14" s="774">
        <f t="shared" si="2"/>
        <v>100</v>
      </c>
      <c r="X14" s="1811"/>
      <c r="Y14" s="3251" t="s">
        <v>2549</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40"/>
      <c r="M15" s="1131"/>
      <c r="N15" s="1131"/>
      <c r="O15" s="1139"/>
      <c r="P15" s="3252"/>
      <c r="Q15" s="1808"/>
      <c r="R15" s="773"/>
      <c r="S15" s="774"/>
      <c r="T15" s="773"/>
      <c r="U15" s="774"/>
      <c r="V15" s="773"/>
      <c r="W15" s="774"/>
      <c r="X15" s="1811"/>
      <c r="Y15" s="3252"/>
      <c r="Z15" s="1812"/>
      <c r="AA15" s="1809">
        <v>1</v>
      </c>
      <c r="AB15" s="1809">
        <v>1</v>
      </c>
      <c r="AC15" s="1809">
        <v>1</v>
      </c>
    </row>
    <row r="16" spans="1:29" ht="71.25">
      <c r="A16" s="427"/>
      <c r="B16" s="450" t="s">
        <v>2677</v>
      </c>
      <c r="C16" s="2606" t="str">
        <f>IF(B1="工业",估价对象房地状况!G5,估价对象房地状况!C7)</f>
        <v>较好</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252"/>
      <c r="Q16" s="1808" t="str">
        <f>B16</f>
        <v>公共配套设施</v>
      </c>
      <c r="R16" s="773" t="s">
        <v>17</v>
      </c>
      <c r="S16" s="774">
        <f>F16</f>
        <v>100</v>
      </c>
      <c r="T16" s="773" t="s">
        <v>17</v>
      </c>
      <c r="U16" s="774">
        <f>H16</f>
        <v>100</v>
      </c>
      <c r="V16" s="773" t="s">
        <v>17</v>
      </c>
      <c r="W16" s="774">
        <f>J16</f>
        <v>100</v>
      </c>
      <c r="X16" s="1811"/>
      <c r="Y16" s="3252"/>
      <c r="Z16" s="1812" t="str">
        <f>Q16</f>
        <v>公共配套设施</v>
      </c>
      <c r="AA16" s="1809">
        <f t="shared" si="3"/>
        <v>1</v>
      </c>
      <c r="AB16" s="1809">
        <f t="shared" si="4"/>
        <v>1</v>
      </c>
      <c r="AC16" s="1809">
        <f t="shared" si="5"/>
        <v>1</v>
      </c>
    </row>
    <row r="17" spans="1:29" ht="15">
      <c r="A17" s="427"/>
      <c r="B17" s="455"/>
      <c r="C17" s="2607"/>
      <c r="D17" s="447"/>
      <c r="E17" s="446"/>
      <c r="F17" s="448"/>
      <c r="G17" s="446"/>
      <c r="H17" s="447"/>
      <c r="I17" s="446"/>
      <c r="J17" s="447"/>
      <c r="K17" s="614"/>
      <c r="L17" s="1140"/>
      <c r="M17" s="1131"/>
      <c r="N17" s="1131"/>
      <c r="O17" s="1139"/>
      <c r="P17" s="3252"/>
      <c r="Q17" s="1808"/>
      <c r="R17" s="773"/>
      <c r="S17" s="774"/>
      <c r="T17" s="773"/>
      <c r="U17" s="774"/>
      <c r="V17" s="773"/>
      <c r="W17" s="774"/>
      <c r="X17" s="1811"/>
      <c r="Y17" s="3252"/>
      <c r="Z17" s="1812"/>
      <c r="AA17" s="1809">
        <v>1</v>
      </c>
      <c r="AB17" s="1809">
        <v>1</v>
      </c>
      <c r="AC17" s="1809">
        <v>1</v>
      </c>
    </row>
    <row r="18" spans="1:29" ht="15">
      <c r="A18" s="427"/>
      <c r="B18" s="1384" t="s">
        <v>2678</v>
      </c>
      <c r="C18" s="2606"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252"/>
      <c r="Q18" s="1808" t="str">
        <f>B18</f>
        <v>基础设施水平</v>
      </c>
      <c r="R18" s="773" t="s">
        <v>17</v>
      </c>
      <c r="S18" s="774">
        <f>F18</f>
        <v>100</v>
      </c>
      <c r="T18" s="773" t="s">
        <v>17</v>
      </c>
      <c r="U18" s="774">
        <f>H18</f>
        <v>100</v>
      </c>
      <c r="V18" s="773" t="s">
        <v>17</v>
      </c>
      <c r="W18" s="774">
        <f>J18</f>
        <v>100</v>
      </c>
      <c r="X18" s="1811"/>
      <c r="Y18" s="3252"/>
      <c r="Z18" s="1812" t="str">
        <f>Q18</f>
        <v>基础设施水平</v>
      </c>
      <c r="AA18" s="1809">
        <f t="shared" ref="AA18" si="8">D18/F18</f>
        <v>1</v>
      </c>
      <c r="AB18" s="1809">
        <f t="shared" ref="AB18" si="9">D18/H18</f>
        <v>1</v>
      </c>
      <c r="AC18" s="1809">
        <f t="shared" ref="AC18" si="10">D18/J18</f>
        <v>1</v>
      </c>
    </row>
    <row r="19" spans="1:29" ht="15">
      <c r="A19" s="427"/>
      <c r="B19" s="1384"/>
      <c r="C19" s="2607"/>
      <c r="D19" s="449"/>
      <c r="E19" s="2607"/>
      <c r="F19" s="452"/>
      <c r="G19" s="2607"/>
      <c r="H19" s="447"/>
      <c r="I19" s="446"/>
      <c r="J19" s="447"/>
      <c r="K19" s="1383"/>
      <c r="L19" s="1140"/>
      <c r="M19" s="1131"/>
      <c r="N19" s="1131"/>
      <c r="O19" s="1139"/>
      <c r="P19" s="3252"/>
      <c r="Q19" s="1808"/>
      <c r="R19" s="773"/>
      <c r="S19" s="774"/>
      <c r="T19" s="773"/>
      <c r="U19" s="774"/>
      <c r="V19" s="773"/>
      <c r="W19" s="774"/>
      <c r="X19" s="1811"/>
      <c r="Y19" s="3252"/>
      <c r="Z19" s="1812"/>
      <c r="AA19" s="1809">
        <v>1</v>
      </c>
      <c r="AB19" s="1809">
        <v>1</v>
      </c>
      <c r="AC19" s="1809">
        <v>1</v>
      </c>
    </row>
    <row r="20" spans="1:29" ht="128.25">
      <c r="A20" s="427"/>
      <c r="B20" s="450" t="s">
        <v>2699</v>
      </c>
      <c r="C20" s="2606" t="str">
        <f>IF(B1="工业",估价对象房地状况!G7,估价对象房地状况!C9)</f>
        <v>较好</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252"/>
      <c r="Q20" s="1808" t="str">
        <f>B20</f>
        <v>自然及人文环境</v>
      </c>
      <c r="R20" s="773" t="s">
        <v>17</v>
      </c>
      <c r="S20" s="774">
        <f>F20</f>
        <v>100</v>
      </c>
      <c r="T20" s="773" t="s">
        <v>17</v>
      </c>
      <c r="U20" s="774">
        <f>H20</f>
        <v>100</v>
      </c>
      <c r="V20" s="773" t="s">
        <v>17</v>
      </c>
      <c r="W20" s="774">
        <f>J20</f>
        <v>100</v>
      </c>
      <c r="X20" s="1811"/>
      <c r="Y20" s="3252"/>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40"/>
      <c r="M21" s="1131"/>
      <c r="N21" s="1131"/>
      <c r="O21" s="1139"/>
      <c r="P21" s="3252"/>
      <c r="Q21" s="1808"/>
      <c r="R21" s="773"/>
      <c r="S21" s="774"/>
      <c r="T21" s="773"/>
      <c r="U21" s="774"/>
      <c r="V21" s="773"/>
      <c r="W21" s="774"/>
      <c r="X21" s="1811"/>
      <c r="Y21" s="3252"/>
      <c r="Z21" s="1812"/>
      <c r="AA21" s="1809">
        <v>1</v>
      </c>
      <c r="AB21" s="1809">
        <v>1</v>
      </c>
      <c r="AC21" s="1809">
        <v>1</v>
      </c>
    </row>
    <row r="22" spans="1:29" ht="15">
      <c r="A22" s="427"/>
      <c r="B22" s="450" t="s">
        <v>2700</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252"/>
      <c r="Q22" s="1808" t="str">
        <f>B22</f>
        <v>楼层</v>
      </c>
      <c r="R22" s="773" t="s">
        <v>17</v>
      </c>
      <c r="S22" s="774">
        <f>F22</f>
        <v>100</v>
      </c>
      <c r="T22" s="773" t="s">
        <v>17</v>
      </c>
      <c r="U22" s="774">
        <f>H22</f>
        <v>100</v>
      </c>
      <c r="V22" s="773" t="s">
        <v>17</v>
      </c>
      <c r="W22" s="774">
        <f>J22</f>
        <v>100</v>
      </c>
      <c r="X22" s="1811"/>
      <c r="Y22" s="3252"/>
      <c r="Z22" s="1812" t="str">
        <f>Q22</f>
        <v>楼层</v>
      </c>
      <c r="AA22" s="1809">
        <f t="shared" si="3"/>
        <v>1</v>
      </c>
      <c r="AB22" s="1809">
        <f t="shared" si="4"/>
        <v>1</v>
      </c>
      <c r="AC22" s="1809">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252"/>
      <c r="Q23" s="1808">
        <f>B23</f>
        <v>111</v>
      </c>
      <c r="R23" s="773" t="s">
        <v>17</v>
      </c>
      <c r="S23" s="774">
        <f>F23</f>
        <v>100</v>
      </c>
      <c r="T23" s="773" t="s">
        <v>17</v>
      </c>
      <c r="U23" s="774">
        <f>H23</f>
        <v>100</v>
      </c>
      <c r="V23" s="773" t="s">
        <v>17</v>
      </c>
      <c r="W23" s="774">
        <f>J23</f>
        <v>100</v>
      </c>
      <c r="X23" s="1811"/>
      <c r="Y23" s="3252"/>
      <c r="Z23" s="1812">
        <f>Q23</f>
        <v>111</v>
      </c>
      <c r="AA23" s="1809">
        <f t="shared" si="3"/>
        <v>1</v>
      </c>
      <c r="AB23" s="1809">
        <f t="shared" si="4"/>
        <v>1</v>
      </c>
      <c r="AC23" s="1809">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252"/>
      <c r="Q24" s="1808">
        <f t="shared" ref="Q24:Q34" si="11">B24</f>
        <v>111</v>
      </c>
      <c r="R24" s="773" t="s">
        <v>17</v>
      </c>
      <c r="S24" s="774">
        <f>F24</f>
        <v>100</v>
      </c>
      <c r="T24" s="773" t="s">
        <v>17</v>
      </c>
      <c r="U24" s="774">
        <f>H24</f>
        <v>100</v>
      </c>
      <c r="V24" s="773" t="s">
        <v>17</v>
      </c>
      <c r="W24" s="774">
        <f>J24</f>
        <v>100</v>
      </c>
      <c r="X24" s="1811"/>
      <c r="Y24" s="3252"/>
      <c r="Z24" s="1812">
        <f>Q24</f>
        <v>111</v>
      </c>
      <c r="AA24" s="1809">
        <f t="shared" si="3"/>
        <v>1</v>
      </c>
      <c r="AB24" s="1809">
        <f t="shared" si="4"/>
        <v>1</v>
      </c>
      <c r="AC24" s="1809">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2"/>
      <c r="M25" s="1133"/>
      <c r="N25" s="1133"/>
      <c r="O25" s="1134"/>
      <c r="P25" s="3252"/>
      <c r="Q25" s="1793">
        <f t="shared" si="11"/>
        <v>111</v>
      </c>
      <c r="R25" s="769" t="s">
        <v>17</v>
      </c>
      <c r="S25" s="770">
        <f>F25</f>
        <v>100</v>
      </c>
      <c r="T25" s="769" t="s">
        <v>17</v>
      </c>
      <c r="U25" s="770">
        <f>H25</f>
        <v>100</v>
      </c>
      <c r="V25" s="769" t="s">
        <v>17</v>
      </c>
      <c r="W25" s="770">
        <f>J25</f>
        <v>100</v>
      </c>
      <c r="X25" s="771"/>
      <c r="Y25" s="3252"/>
      <c r="Z25" s="54">
        <f>Q25</f>
        <v>111</v>
      </c>
      <c r="AA25" s="1809">
        <f>D25/F25</f>
        <v>1</v>
      </c>
      <c r="AB25" s="1809">
        <f>D25/H25</f>
        <v>1</v>
      </c>
      <c r="AC25" s="1809">
        <f>D25/J25</f>
        <v>1</v>
      </c>
    </row>
    <row r="26" spans="1:29" ht="15">
      <c r="A26" s="465" t="s">
        <v>2552</v>
      </c>
      <c r="B26" s="70" t="s">
        <v>2703</v>
      </c>
      <c r="C26" s="2678"/>
      <c r="D26" s="466">
        <v>100</v>
      </c>
      <c r="E26" s="2678"/>
      <c r="F26" s="666">
        <f>SUMIF(77:77,E26,78:78)-SUMIF(77:77,C26,78:78)+100</f>
        <v>100</v>
      </c>
      <c r="G26" s="2678"/>
      <c r="H26" s="466">
        <f>SUMIF(77:77,G26,78:78)-SUMIF(77:77,C26,78:78)+100</f>
        <v>100</v>
      </c>
      <c r="I26" s="2678"/>
      <c r="J26" s="466">
        <f>SUMIF(77:77,I26,78:78)-SUMIF(77:77,C26,78:78)+100</f>
        <v>100</v>
      </c>
      <c r="K26" s="611"/>
      <c r="L26" s="1140"/>
      <c r="M26" s="1131"/>
      <c r="N26" s="1131"/>
      <c r="O26" s="1139"/>
      <c r="P26" s="3276"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56" t="s">
        <v>2554</v>
      </c>
      <c r="Z26" s="1812" t="str">
        <f t="shared" ref="Z26:Z34" si="15">Q26</f>
        <v>公共部分装修</v>
      </c>
      <c r="AA26" s="1809">
        <f t="shared" si="3"/>
        <v>1</v>
      </c>
      <c r="AB26" s="1809">
        <f t="shared" si="4"/>
        <v>1</v>
      </c>
      <c r="AC26" s="1809">
        <f t="shared" si="5"/>
        <v>1</v>
      </c>
    </row>
    <row r="27" spans="1:29" s="470" customFormat="1" ht="15">
      <c r="A27" s="467"/>
      <c r="B27" s="421" t="s">
        <v>2704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256"/>
      <c r="Q27" s="775" t="str">
        <f t="shared" si="11"/>
        <v>成新率</v>
      </c>
      <c r="R27" s="776" t="s">
        <v>17</v>
      </c>
      <c r="S27" s="777" t="e">
        <f t="shared" si="12"/>
        <v>#N/A</v>
      </c>
      <c r="T27" s="776" t="s">
        <v>17</v>
      </c>
      <c r="U27" s="777" t="e">
        <f t="shared" si="13"/>
        <v>#N/A</v>
      </c>
      <c r="V27" s="776" t="s">
        <v>17</v>
      </c>
      <c r="W27" s="777" t="e">
        <f t="shared" si="14"/>
        <v>#N/A</v>
      </c>
      <c r="X27" s="778"/>
      <c r="Y27" s="3256"/>
      <c r="Z27" s="779" t="str">
        <f t="shared" si="15"/>
        <v>成新率</v>
      </c>
      <c r="AA27" s="1809" t="e">
        <f t="shared" si="3"/>
        <v>#N/A</v>
      </c>
      <c r="AB27" s="1809" t="e">
        <f t="shared" si="4"/>
        <v>#N/A</v>
      </c>
      <c r="AC27" s="1809" t="e">
        <f t="shared" si="5"/>
        <v>#N/A</v>
      </c>
    </row>
    <row r="28" spans="1:29" ht="15">
      <c r="A28" s="471"/>
      <c r="B28" s="421" t="s">
        <v>2705</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256"/>
      <c r="Q28" s="1808" t="str">
        <f t="shared" si="11"/>
        <v>物业等级</v>
      </c>
      <c r="R28" s="773" t="s">
        <v>17</v>
      </c>
      <c r="S28" s="774">
        <f t="shared" si="12"/>
        <v>100</v>
      </c>
      <c r="T28" s="773" t="s">
        <v>17</v>
      </c>
      <c r="U28" s="774">
        <f t="shared" si="13"/>
        <v>100</v>
      </c>
      <c r="V28" s="773" t="s">
        <v>17</v>
      </c>
      <c r="W28" s="774">
        <f t="shared" si="14"/>
        <v>100</v>
      </c>
      <c r="X28" s="1811"/>
      <c r="Y28" s="3256"/>
      <c r="Z28" s="1812" t="str">
        <f t="shared" si="15"/>
        <v>物业等级</v>
      </c>
      <c r="AA28" s="1809">
        <f t="shared" si="3"/>
        <v>1</v>
      </c>
      <c r="AB28" s="1809">
        <f t="shared" si="4"/>
        <v>1</v>
      </c>
      <c r="AC28" s="1809">
        <f t="shared" si="5"/>
        <v>1</v>
      </c>
    </row>
    <row r="29" spans="1:29" ht="15">
      <c r="A29" s="471"/>
      <c r="B29" s="421" t="s">
        <v>2726</v>
      </c>
      <c r="C29" s="656"/>
      <c r="D29" s="434">
        <v>100</v>
      </c>
      <c r="E29" s="656"/>
      <c r="F29" s="460">
        <f>SUMIF(84:84,E29,85:85)-SUMIF(84:84,C29,85:85)+100</f>
        <v>100</v>
      </c>
      <c r="G29" s="656"/>
      <c r="H29" s="434">
        <f>SUMIF(84:84,G29,85:85)-SUMIF(84:84,C29,85:85)+100</f>
        <v>100</v>
      </c>
      <c r="I29" s="656"/>
      <c r="J29" s="434">
        <f>SUMIF(84:84,I29,85:85)-SUMIF(84:84,C29,85:85)+100</f>
        <v>100</v>
      </c>
      <c r="K29" s="611"/>
      <c r="L29" s="1140"/>
      <c r="M29" s="1131"/>
      <c r="N29" s="1131"/>
      <c r="O29" s="1139"/>
      <c r="P29" s="3256"/>
      <c r="Q29" s="1808" t="str">
        <f t="shared" si="11"/>
        <v>有无电梯</v>
      </c>
      <c r="R29" s="773" t="s">
        <v>17</v>
      </c>
      <c r="S29" s="774">
        <f t="shared" si="12"/>
        <v>100</v>
      </c>
      <c r="T29" s="773" t="s">
        <v>17</v>
      </c>
      <c r="U29" s="774">
        <f t="shared" si="13"/>
        <v>100</v>
      </c>
      <c r="V29" s="773" t="s">
        <v>17</v>
      </c>
      <c r="W29" s="774">
        <f t="shared" si="14"/>
        <v>100</v>
      </c>
      <c r="X29" s="1811"/>
      <c r="Y29" s="3256"/>
      <c r="Z29" s="1812" t="str">
        <f t="shared" si="15"/>
        <v>有无电梯</v>
      </c>
      <c r="AA29" s="1809">
        <f t="shared" si="3"/>
        <v>1</v>
      </c>
      <c r="AB29" s="1809">
        <f t="shared" si="4"/>
        <v>1</v>
      </c>
      <c r="AC29" s="1809">
        <f t="shared" si="5"/>
        <v>1</v>
      </c>
    </row>
    <row r="30" spans="1:29" ht="15">
      <c r="A30" s="471"/>
      <c r="B30" s="421" t="s">
        <v>2727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256"/>
      <c r="Q30" s="1808" t="str">
        <f t="shared" si="11"/>
        <v>建筑面积</v>
      </c>
      <c r="R30" s="773" t="s">
        <v>17</v>
      </c>
      <c r="S30" s="774" t="e">
        <f t="shared" si="12"/>
        <v>#N/A</v>
      </c>
      <c r="T30" s="773" t="s">
        <v>17</v>
      </c>
      <c r="U30" s="774" t="e">
        <f t="shared" si="13"/>
        <v>#N/A</v>
      </c>
      <c r="V30" s="773" t="s">
        <v>17</v>
      </c>
      <c r="W30" s="774" t="e">
        <f t="shared" si="14"/>
        <v>#N/A</v>
      </c>
      <c r="X30" s="1811"/>
      <c r="Y30" s="3256"/>
      <c r="Z30" s="1812" t="str">
        <f t="shared" si="15"/>
        <v>建筑面积</v>
      </c>
      <c r="AA30" s="1809" t="e">
        <f t="shared" si="3"/>
        <v>#N/A</v>
      </c>
      <c r="AB30" s="1809" t="e">
        <f t="shared" si="4"/>
        <v>#N/A</v>
      </c>
      <c r="AC30" s="1809" t="e">
        <f t="shared" si="5"/>
        <v>#N/A</v>
      </c>
    </row>
    <row r="31" spans="1:29" s="116" customFormat="1" ht="15">
      <c r="A31" s="472"/>
      <c r="B31" s="421" t="s">
        <v>2728</v>
      </c>
      <c r="C31" s="656"/>
      <c r="D31" s="135">
        <v>100</v>
      </c>
      <c r="E31" s="656"/>
      <c r="F31" s="460">
        <f>SUMIF(89:89,E31,90:90)-SUMIF(89:89,C31,90:90)+100</f>
        <v>100</v>
      </c>
      <c r="G31" s="656"/>
      <c r="H31" s="434">
        <f>SUMIF(89:89,G31,90:90)-SUMIF(89:89,C31,90:90)+100</f>
        <v>100</v>
      </c>
      <c r="I31" s="656"/>
      <c r="J31" s="434">
        <f>SUMIF(89:89,I31,90:90)-SUMIF(89:89,C31,90:90)+100</f>
        <v>100</v>
      </c>
      <c r="K31" s="611"/>
      <c r="L31" s="1132"/>
      <c r="M31" s="1133"/>
      <c r="N31" s="1133"/>
      <c r="O31" s="1134"/>
      <c r="P31" s="3256"/>
      <c r="Q31" s="1793" t="str">
        <f t="shared" si="11"/>
        <v>是否封闭</v>
      </c>
      <c r="R31" s="769" t="s">
        <v>17</v>
      </c>
      <c r="S31" s="770">
        <f t="shared" si="12"/>
        <v>100</v>
      </c>
      <c r="T31" s="769" t="s">
        <v>17</v>
      </c>
      <c r="U31" s="770">
        <f t="shared" si="13"/>
        <v>100</v>
      </c>
      <c r="V31" s="769" t="s">
        <v>17</v>
      </c>
      <c r="W31" s="770">
        <f t="shared" si="14"/>
        <v>100</v>
      </c>
      <c r="X31" s="771"/>
      <c r="Y31" s="3256"/>
      <c r="Z31" s="54"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256" t="s">
        <v>2554</v>
      </c>
      <c r="Q32" s="1808">
        <f t="shared" si="11"/>
        <v>111</v>
      </c>
      <c r="R32" s="773" t="s">
        <v>17</v>
      </c>
      <c r="S32" s="774">
        <f t="shared" si="12"/>
        <v>100</v>
      </c>
      <c r="T32" s="773" t="s">
        <v>17</v>
      </c>
      <c r="U32" s="774">
        <f t="shared" si="13"/>
        <v>100</v>
      </c>
      <c r="V32" s="773" t="s">
        <v>17</v>
      </c>
      <c r="W32" s="774">
        <f t="shared" si="14"/>
        <v>100</v>
      </c>
      <c r="X32" s="1811"/>
      <c r="Y32" s="3256" t="s">
        <v>2554</v>
      </c>
      <c r="Z32" s="1812">
        <f t="shared" si="15"/>
        <v>111</v>
      </c>
      <c r="AA32" s="1809">
        <f t="shared" si="3"/>
        <v>1</v>
      </c>
      <c r="AB32" s="1809">
        <f t="shared" si="4"/>
        <v>1</v>
      </c>
      <c r="AC32" s="1809">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256"/>
      <c r="Q33" s="1808">
        <f t="shared" si="11"/>
        <v>111</v>
      </c>
      <c r="R33" s="773" t="s">
        <v>17</v>
      </c>
      <c r="S33" s="774">
        <f t="shared" si="12"/>
        <v>100</v>
      </c>
      <c r="T33" s="773" t="s">
        <v>17</v>
      </c>
      <c r="U33" s="774">
        <f t="shared" si="13"/>
        <v>100</v>
      </c>
      <c r="V33" s="773" t="s">
        <v>17</v>
      </c>
      <c r="W33" s="774">
        <f t="shared" si="14"/>
        <v>100</v>
      </c>
      <c r="X33" s="1811"/>
      <c r="Y33" s="3256"/>
      <c r="Z33" s="1812">
        <f t="shared" si="15"/>
        <v>111</v>
      </c>
      <c r="AA33" s="1809">
        <f t="shared" si="3"/>
        <v>1</v>
      </c>
      <c r="AB33" s="1809">
        <f t="shared" si="4"/>
        <v>1</v>
      </c>
      <c r="AC33" s="1809">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0"/>
      <c r="M34" s="1131"/>
      <c r="N34" s="1131"/>
      <c r="O34" s="1139"/>
      <c r="P34" s="3256"/>
      <c r="Q34" s="1808">
        <f t="shared" si="11"/>
        <v>111</v>
      </c>
      <c r="R34" s="773" t="s">
        <v>17</v>
      </c>
      <c r="S34" s="774">
        <f t="shared" si="12"/>
        <v>100</v>
      </c>
      <c r="T34" s="773" t="s">
        <v>17</v>
      </c>
      <c r="U34" s="774">
        <f t="shared" si="13"/>
        <v>100</v>
      </c>
      <c r="V34" s="773" t="s">
        <v>17</v>
      </c>
      <c r="W34" s="774">
        <f t="shared" si="14"/>
        <v>100</v>
      </c>
      <c r="X34" s="1811"/>
      <c r="Y34" s="3256"/>
      <c r="Z34" s="1812">
        <f t="shared" si="15"/>
        <v>111</v>
      </c>
      <c r="AA34" s="1809">
        <f t="shared" si="3"/>
        <v>1</v>
      </c>
      <c r="AB34" s="1809">
        <f t="shared" si="4"/>
        <v>1</v>
      </c>
      <c r="AC34" s="1809">
        <f t="shared" si="5"/>
        <v>1</v>
      </c>
    </row>
    <row r="35" spans="1:29" ht="15">
      <c r="A35" s="478" t="s">
        <v>2566</v>
      </c>
      <c r="B35" s="479"/>
      <c r="C35" s="1406" t="s">
        <v>1</v>
      </c>
      <c r="D35" s="1407"/>
      <c r="E35" s="1408"/>
      <c r="F35" s="1409"/>
      <c r="G35" s="1410"/>
      <c r="H35" s="1411"/>
      <c r="I35" s="1408"/>
      <c r="J35" s="1411"/>
      <c r="K35" s="782"/>
      <c r="L35" s="1143"/>
      <c r="M35" s="1144"/>
      <c r="N35" s="1131"/>
      <c r="O35" s="1144"/>
      <c r="P35" s="3249" t="str">
        <f>A35</f>
        <v>成交单价（元/平方米）</v>
      </c>
      <c r="Q35" s="3249"/>
      <c r="R35" s="3250">
        <f>E35</f>
        <v>0</v>
      </c>
      <c r="S35" s="3250"/>
      <c r="T35" s="3250">
        <f>G35</f>
        <v>0</v>
      </c>
      <c r="U35" s="3250"/>
      <c r="V35" s="3250">
        <f>I35</f>
        <v>0</v>
      </c>
      <c r="W35" s="3250"/>
      <c r="X35" s="758"/>
      <c r="Y35" s="780"/>
      <c r="Z35" s="758"/>
      <c r="AA35" s="758"/>
      <c r="AB35" s="758"/>
      <c r="AC35" s="758"/>
    </row>
    <row r="36" spans="1:29" ht="15.75" thickBot="1">
      <c r="A36" s="485" t="s">
        <v>2658</v>
      </c>
      <c r="B36" s="486"/>
      <c r="C36" s="1412" t="e">
        <f>R37</f>
        <v>#DIV/0!</v>
      </c>
      <c r="D36" s="1413"/>
      <c r="E36" s="1414" t="e">
        <f>R36</f>
        <v>#DIV/0!</v>
      </c>
      <c r="F36" s="1414"/>
      <c r="G36" s="1412" t="e">
        <f>T36</f>
        <v>#DIV/0!</v>
      </c>
      <c r="H36" s="1413"/>
      <c r="I36" s="1414" t="e">
        <f>V36</f>
        <v>#DIV/0!</v>
      </c>
      <c r="J36" s="1413"/>
      <c r="K36" s="783"/>
      <c r="L36" s="1143"/>
      <c r="M36" s="1144"/>
      <c r="N36" s="1131"/>
      <c r="O36" s="1144"/>
      <c r="P36" s="3249" t="str">
        <f>A36</f>
        <v>比较价值（元/平方米）</v>
      </c>
      <c r="Q36" s="3249"/>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8"/>
      <c r="Y36" s="758"/>
      <c r="Z36" s="758"/>
      <c r="AA36" s="758"/>
      <c r="AB36" s="758"/>
      <c r="AC36" s="758"/>
    </row>
    <row r="37" spans="1:29" ht="15.75" thickBot="1">
      <c r="A37" s="491" t="s">
        <v>2659</v>
      </c>
      <c r="B37" s="492"/>
      <c r="C37" s="1416" t="e">
        <f>R37</f>
        <v>#DIV/0!</v>
      </c>
      <c r="D37" s="1416"/>
      <c r="E37" s="1416"/>
      <c r="F37" s="1416"/>
      <c r="G37" s="1416"/>
      <c r="H37" s="1416"/>
      <c r="I37" s="1416"/>
      <c r="J37" s="1416"/>
      <c r="K37" s="784"/>
      <c r="L37" s="1143"/>
      <c r="M37" s="1144"/>
      <c r="N37" s="1144"/>
      <c r="O37" s="1144"/>
      <c r="P37" s="3246" t="str">
        <f>A37</f>
        <v>估价对象XX用房的比较价值（楼面单价，元/平方米）</v>
      </c>
      <c r="Q37" s="3247"/>
      <c r="R37" s="3248" t="e">
        <f>IF(F1="售价",ROUND(AVERAGE(R36:V36),0),ROUND(AVERAGE(R36:V36),1))</f>
        <v>#DIV/0!</v>
      </c>
      <c r="S37" s="3248"/>
      <c r="T37" s="3248"/>
      <c r="U37" s="3248"/>
      <c r="V37" s="3248"/>
      <c r="W37" s="3248"/>
      <c r="X37" s="758"/>
      <c r="Y37" s="758"/>
      <c r="Z37" s="758"/>
      <c r="AA37" s="758"/>
      <c r="AB37" s="758"/>
      <c r="AC37" s="758"/>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2660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2661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2662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2" t="s">
        <v>2663</v>
      </c>
      <c r="B45" s="758"/>
      <c r="C45" s="763"/>
      <c r="D45" s="763"/>
      <c r="E45" s="763"/>
      <c r="F45" s="764"/>
      <c r="G45" s="764"/>
      <c r="H45" s="763"/>
      <c r="I45" s="763"/>
      <c r="J45" s="763"/>
      <c r="K45" s="765"/>
      <c r="L45" s="766"/>
      <c r="M45" s="763"/>
      <c r="N45" s="763"/>
      <c r="O45" s="763"/>
      <c r="P45" s="502"/>
      <c r="Q45" s="503"/>
    </row>
    <row r="46" spans="1:29" s="507" customFormat="1" ht="15">
      <c r="A46" s="504" t="s">
        <v>2537</v>
      </c>
      <c r="B46" s="505"/>
      <c r="C46" s="1572" t="str">
        <f>YEAR(C7)&amp;"-"&amp;MONTH(C7)</f>
        <v>2018-12</v>
      </c>
      <c r="D46" s="1573">
        <f>EDATE(C46,-1)</f>
        <v>43405</v>
      </c>
      <c r="E46" s="1573">
        <f t="shared" ref="E46:O46" si="16">EDATE(D46,-1)</f>
        <v>43374</v>
      </c>
      <c r="F46" s="1573">
        <f t="shared" si="16"/>
        <v>43344</v>
      </c>
      <c r="G46" s="1573">
        <f t="shared" si="16"/>
        <v>43313</v>
      </c>
      <c r="H46" s="1573">
        <f t="shared" si="16"/>
        <v>43282</v>
      </c>
      <c r="I46" s="1573">
        <f t="shared" si="16"/>
        <v>43252</v>
      </c>
      <c r="J46" s="1573">
        <f t="shared" si="16"/>
        <v>43221</v>
      </c>
      <c r="K46" s="1573">
        <f t="shared" si="16"/>
        <v>43191</v>
      </c>
      <c r="L46" s="1573">
        <f t="shared" si="16"/>
        <v>43160</v>
      </c>
      <c r="M46" s="1573">
        <f t="shared" si="16"/>
        <v>43132</v>
      </c>
      <c r="N46" s="1573">
        <f t="shared" si="16"/>
        <v>43101</v>
      </c>
      <c r="O46" s="1573">
        <f t="shared" si="16"/>
        <v>43070</v>
      </c>
      <c r="P46" s="506"/>
    </row>
    <row r="47" spans="1:29" s="116" customFormat="1" ht="15">
      <c r="A47" s="508"/>
      <c r="B47" s="509"/>
      <c r="C47" s="1571">
        <v>100</v>
      </c>
      <c r="D47" s="511"/>
      <c r="E47" s="511"/>
      <c r="F47" s="511"/>
      <c r="G47" s="511"/>
      <c r="H47" s="511"/>
      <c r="I47" s="511"/>
      <c r="J47" s="511"/>
      <c r="K47" s="511"/>
      <c r="L47" s="511"/>
      <c r="M47" s="512"/>
      <c r="N47" s="511"/>
      <c r="O47" s="513"/>
      <c r="P47" s="503"/>
    </row>
    <row r="48" spans="1:29" s="116" customFormat="1" ht="15.75" thickBot="1">
      <c r="A48" s="514" t="s">
        <v>2574</v>
      </c>
      <c r="B48" s="515"/>
      <c r="C48" s="516"/>
      <c r="D48" s="517"/>
      <c r="E48" s="517"/>
      <c r="F48" s="517"/>
      <c r="G48" s="517"/>
      <c r="H48" s="517"/>
      <c r="I48" s="517"/>
      <c r="J48" s="517"/>
      <c r="K48" s="517"/>
      <c r="L48" s="517"/>
      <c r="M48" s="518"/>
      <c r="N48" s="517"/>
      <c r="O48" s="519"/>
      <c r="P48" s="503"/>
      <c r="Q48" s="503"/>
    </row>
    <row r="49" spans="1:17" s="116" customFormat="1" ht="15">
      <c r="A49" s="520" t="s">
        <v>2539</v>
      </c>
      <c r="B49" s="509"/>
      <c r="C49" s="521" t="s">
        <v>2641</v>
      </c>
      <c r="D49" s="522"/>
      <c r="E49" s="522"/>
      <c r="F49" s="522"/>
      <c r="G49" s="522"/>
      <c r="H49" s="522"/>
      <c r="I49" s="522"/>
      <c r="J49" s="522"/>
      <c r="K49" s="522"/>
      <c r="L49" s="523"/>
      <c r="M49" s="524"/>
      <c r="N49" s="1151"/>
      <c r="O49" s="1151"/>
      <c r="P49" s="525"/>
      <c r="Q49" s="503"/>
    </row>
    <row r="50" spans="1:17" s="116" customFormat="1" ht="15.75" thickBot="1">
      <c r="A50" s="520"/>
      <c r="B50" s="509"/>
      <c r="C50" s="638">
        <v>100</v>
      </c>
      <c r="D50" s="511"/>
      <c r="E50" s="511"/>
      <c r="F50" s="511"/>
      <c r="G50" s="511"/>
      <c r="H50" s="511"/>
      <c r="I50" s="511"/>
      <c r="J50" s="511"/>
      <c r="K50" s="511"/>
      <c r="L50" s="511"/>
      <c r="M50" s="513"/>
      <c r="N50" s="1151"/>
      <c r="O50" s="1151"/>
      <c r="P50" s="503"/>
      <c r="Q50" s="503"/>
    </row>
    <row r="51" spans="1:17">
      <c r="A51" s="526" t="s">
        <v>2577</v>
      </c>
      <c r="B51" s="527" t="s">
        <v>2543</v>
      </c>
      <c r="C51" s="528">
        <f>C9</f>
        <v>0</v>
      </c>
      <c r="D51" s="529"/>
      <c r="E51" s="529"/>
      <c r="F51" s="529"/>
      <c r="G51" s="529"/>
      <c r="H51" s="529"/>
      <c r="I51" s="529"/>
      <c r="J51" s="529"/>
      <c r="K51" s="530"/>
      <c r="L51" s="531"/>
      <c r="M51" s="532"/>
      <c r="N51" s="1152"/>
      <c r="O51" s="1152"/>
      <c r="P51" s="44"/>
      <c r="Q51" s="503"/>
    </row>
    <row r="52" spans="1:17" ht="15.75" thickBot="1">
      <c r="A52" s="533"/>
      <c r="B52" s="534"/>
      <c r="C52" s="535">
        <v>100</v>
      </c>
      <c r="D52" s="535"/>
      <c r="E52" s="535"/>
      <c r="F52" s="535"/>
      <c r="G52" s="535"/>
      <c r="H52" s="535"/>
      <c r="I52" s="535"/>
      <c r="J52" s="535"/>
      <c r="K52" s="535"/>
      <c r="L52" s="535"/>
      <c r="M52" s="536"/>
      <c r="N52" s="1153"/>
      <c r="O52" s="1153"/>
      <c r="P52" s="44"/>
      <c r="Q52" s="503"/>
    </row>
    <row r="53" spans="1:17" ht="27.75" thickTop="1">
      <c r="A53" s="533"/>
      <c r="B53" s="537" t="s">
        <v>2546</v>
      </c>
      <c r="C53" s="538" t="s">
        <v>2578</v>
      </c>
      <c r="D53" s="538" t="s">
        <v>2579</v>
      </c>
      <c r="E53" s="538" t="s">
        <v>2580</v>
      </c>
      <c r="F53" s="538" t="s">
        <v>2581</v>
      </c>
      <c r="G53" s="538" t="s">
        <v>2582</v>
      </c>
      <c r="H53" s="538" t="s">
        <v>2583</v>
      </c>
      <c r="I53" s="538" t="s">
        <v>2584</v>
      </c>
      <c r="J53" s="538"/>
      <c r="K53" s="539"/>
      <c r="L53" s="540"/>
      <c r="M53" s="541"/>
      <c r="N53" s="1152"/>
      <c r="O53" s="1152"/>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4"/>
      <c r="Q54" s="503"/>
    </row>
    <row r="55" spans="1:17" ht="15.75" thickTop="1">
      <c r="A55" s="533"/>
      <c r="B55" s="659">
        <f>B11</f>
        <v>111</v>
      </c>
      <c r="C55" s="548"/>
      <c r="D55" s="548"/>
      <c r="E55" s="548"/>
      <c r="F55" s="548"/>
      <c r="G55" s="548"/>
      <c r="H55" s="548"/>
      <c r="I55" s="548"/>
      <c r="J55" s="548"/>
      <c r="K55" s="549"/>
      <c r="L55" s="550"/>
      <c r="M55" s="551"/>
      <c r="N55" s="1152"/>
      <c r="O55" s="1152"/>
      <c r="P55" s="44"/>
      <c r="Q55" s="503"/>
    </row>
    <row r="56" spans="1:17" ht="15.75" thickBot="1">
      <c r="A56" s="533"/>
      <c r="B56" s="534"/>
      <c r="C56" s="559"/>
      <c r="D56" s="535"/>
      <c r="E56" s="535"/>
      <c r="F56" s="535"/>
      <c r="G56" s="535"/>
      <c r="H56" s="535"/>
      <c r="I56" s="535"/>
      <c r="J56" s="535"/>
      <c r="K56" s="535"/>
      <c r="L56" s="535"/>
      <c r="M56" s="536"/>
      <c r="N56" s="1153"/>
      <c r="O56" s="1153"/>
      <c r="P56" s="44"/>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4"/>
      <c r="Q62" s="503"/>
    </row>
    <row r="63" spans="1:17" ht="27.75" thickTop="1">
      <c r="A63" s="533"/>
      <c r="B63" s="537" t="s">
        <v>2729</v>
      </c>
      <c r="C63" s="577" t="s">
        <v>2586</v>
      </c>
      <c r="D63" s="577" t="s">
        <v>2587</v>
      </c>
      <c r="E63" s="577" t="s">
        <v>2588</v>
      </c>
      <c r="F63" s="577" t="s">
        <v>2589</v>
      </c>
      <c r="G63" s="577" t="s">
        <v>2590</v>
      </c>
      <c r="H63" s="538"/>
      <c r="I63" s="538"/>
      <c r="J63" s="538"/>
      <c r="K63" s="539"/>
      <c r="L63" s="540"/>
      <c r="M63" s="541"/>
      <c r="N63" s="1152"/>
      <c r="O63" s="1152"/>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4"/>
      <c r="Q64" s="503"/>
    </row>
    <row r="65" spans="1:17" ht="15.75" thickTop="1">
      <c r="A65" s="533"/>
      <c r="B65" s="545" t="s">
        <v>2678</v>
      </c>
      <c r="C65" s="659" t="s">
        <v>2664</v>
      </c>
      <c r="D65" s="659" t="s">
        <v>2665</v>
      </c>
      <c r="E65" s="659" t="s">
        <v>2666</v>
      </c>
      <c r="F65" s="659" t="s">
        <v>2667</v>
      </c>
      <c r="G65" s="659" t="s">
        <v>2668</v>
      </c>
      <c r="H65" s="538"/>
      <c r="I65" s="538"/>
      <c r="J65" s="538"/>
      <c r="K65" s="538"/>
      <c r="L65" s="538"/>
      <c r="M65" s="1382"/>
      <c r="N65" s="1153"/>
      <c r="O65" s="1153"/>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3"/>
      <c r="O66" s="1153"/>
      <c r="P66" s="44"/>
      <c r="Q66" s="503"/>
    </row>
    <row r="67" spans="1:17" ht="15.75" thickTop="1">
      <c r="A67" s="533"/>
      <c r="B67" s="537" t="s">
        <v>2598</v>
      </c>
      <c r="C67" s="577" t="s">
        <v>2586</v>
      </c>
      <c r="D67" s="577" t="s">
        <v>2587</v>
      </c>
      <c r="E67" s="577" t="s">
        <v>2588</v>
      </c>
      <c r="F67" s="577" t="s">
        <v>2589</v>
      </c>
      <c r="G67" s="577" t="s">
        <v>2590</v>
      </c>
      <c r="H67" s="538"/>
      <c r="I67" s="538"/>
      <c r="J67" s="538"/>
      <c r="K67" s="539"/>
      <c r="L67" s="540"/>
      <c r="M67" s="541"/>
      <c r="N67" s="1152"/>
      <c r="O67" s="1152"/>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4"/>
      <c r="Q68" s="503"/>
    </row>
    <row r="69" spans="1:17" ht="15.75" thickTop="1">
      <c r="A69" s="533"/>
      <c r="B69" s="537" t="s">
        <v>2718</v>
      </c>
      <c r="C69" s="553"/>
      <c r="D69" s="553"/>
      <c r="E69" s="553"/>
      <c r="F69" s="553"/>
      <c r="G69" s="553"/>
      <c r="H69" s="582"/>
      <c r="I69" s="582"/>
      <c r="J69" s="582"/>
      <c r="K69" s="583"/>
      <c r="L69" s="584"/>
      <c r="M69" s="585"/>
      <c r="N69" s="1152"/>
      <c r="O69" s="1152"/>
      <c r="P69" s="44"/>
      <c r="Q69" s="503"/>
    </row>
    <row r="70" spans="1:17" ht="15.75" thickBot="1">
      <c r="A70" s="533"/>
      <c r="B70" s="542"/>
      <c r="C70" s="543">
        <v>100</v>
      </c>
      <c r="D70" s="543">
        <f>C70-$K22</f>
        <v>100</v>
      </c>
      <c r="E70" s="543"/>
      <c r="F70" s="543"/>
      <c r="G70" s="543"/>
      <c r="H70" s="543"/>
      <c r="I70" s="543"/>
      <c r="J70" s="543"/>
      <c r="K70" s="543"/>
      <c r="L70" s="543"/>
      <c r="M70" s="544"/>
      <c r="N70" s="1153"/>
      <c r="O70" s="1153"/>
      <c r="P70" s="44"/>
      <c r="Q70" s="503"/>
    </row>
    <row r="71" spans="1:17" s="116" customFormat="1" ht="15.75" thickTop="1">
      <c r="A71" s="578"/>
      <c r="B71" s="537">
        <f>B23</f>
        <v>111</v>
      </c>
      <c r="C71" s="548"/>
      <c r="D71" s="548"/>
      <c r="E71" s="548"/>
      <c r="F71" s="548"/>
      <c r="G71" s="553"/>
      <c r="H71" s="553"/>
      <c r="I71" s="553"/>
      <c r="J71" s="553"/>
      <c r="K71" s="553"/>
      <c r="L71" s="579"/>
      <c r="M71" s="580"/>
      <c r="N71" s="1151"/>
      <c r="O71" s="1151"/>
      <c r="P71" s="44"/>
      <c r="Q71" s="503"/>
    </row>
    <row r="72" spans="1:17" s="116" customFormat="1" ht="15.75" thickBot="1">
      <c r="A72" s="578"/>
      <c r="B72" s="542"/>
      <c r="C72" s="559"/>
      <c r="D72" s="535"/>
      <c r="E72" s="535"/>
      <c r="F72" s="535"/>
      <c r="G72" s="535"/>
      <c r="H72" s="535"/>
      <c r="I72" s="535"/>
      <c r="J72" s="535"/>
      <c r="K72" s="535"/>
      <c r="L72" s="535"/>
      <c r="M72" s="536"/>
      <c r="N72" s="1153"/>
      <c r="O72" s="1153"/>
      <c r="P72" s="44"/>
      <c r="Q72" s="503"/>
    </row>
    <row r="73" spans="1:17" s="116" customFormat="1" ht="15.75" thickTop="1">
      <c r="A73" s="578"/>
      <c r="B73" s="537">
        <f>B24</f>
        <v>111</v>
      </c>
      <c r="C73" s="548"/>
      <c r="D73" s="548"/>
      <c r="E73" s="548"/>
      <c r="F73" s="548"/>
      <c r="G73" s="553"/>
      <c r="H73" s="553"/>
      <c r="I73" s="553"/>
      <c r="J73" s="553"/>
      <c r="K73" s="553"/>
      <c r="L73" s="553"/>
      <c r="M73" s="580"/>
      <c r="N73" s="1151"/>
      <c r="O73" s="1151"/>
      <c r="P73" s="44"/>
      <c r="Q73" s="503"/>
    </row>
    <row r="74" spans="1:17" s="116" customFormat="1" ht="15.75" thickBot="1">
      <c r="A74" s="578"/>
      <c r="B74" s="542"/>
      <c r="C74" s="559"/>
      <c r="D74" s="535"/>
      <c r="E74" s="535"/>
      <c r="F74" s="535"/>
      <c r="G74" s="535"/>
      <c r="H74" s="535"/>
      <c r="I74" s="535"/>
      <c r="J74" s="535"/>
      <c r="K74" s="535"/>
      <c r="L74" s="535"/>
      <c r="M74" s="536"/>
      <c r="N74" s="1153"/>
      <c r="O74" s="1153"/>
      <c r="P74" s="44"/>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2552</v>
      </c>
      <c r="B77" s="527" t="s">
        <v>2605</v>
      </c>
      <c r="C77" s="553"/>
      <c r="D77" s="553"/>
      <c r="E77" s="529"/>
      <c r="F77" s="529"/>
      <c r="G77" s="529"/>
      <c r="H77" s="529"/>
      <c r="I77" s="529"/>
      <c r="J77" s="529"/>
      <c r="K77" s="530"/>
      <c r="L77" s="531"/>
      <c r="M77" s="532"/>
      <c r="N77" s="1152"/>
      <c r="O77" s="1152"/>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4"/>
      <c r="Q78" s="503"/>
    </row>
    <row r="79" spans="1:17" ht="15.75" thickTop="1">
      <c r="A79" s="533"/>
      <c r="B79" s="537" t="s">
        <v>2721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4"/>
      <c r="Q79" s="503"/>
    </row>
    <row r="80" spans="1:17" ht="15">
      <c r="A80" s="533"/>
      <c r="B80" s="545"/>
      <c r="C80" s="602">
        <v>0.5</v>
      </c>
      <c r="D80" s="602">
        <v>0.6</v>
      </c>
      <c r="E80" s="602">
        <v>0.7</v>
      </c>
      <c r="F80" s="602">
        <v>0.8</v>
      </c>
      <c r="G80" s="602">
        <v>0.9</v>
      </c>
      <c r="H80" s="602">
        <v>1.0001</v>
      </c>
      <c r="I80" s="659"/>
      <c r="J80" s="659"/>
      <c r="K80" s="667"/>
      <c r="L80" s="668"/>
      <c r="M80" s="669"/>
      <c r="N80" s="1151"/>
      <c r="O80" s="1151"/>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2722</v>
      </c>
      <c r="C82" s="553"/>
      <c r="D82" s="553"/>
      <c r="E82" s="582"/>
      <c r="F82" s="582"/>
      <c r="G82" s="582"/>
      <c r="H82" s="582"/>
      <c r="I82" s="582"/>
      <c r="J82" s="582"/>
      <c r="K82" s="583"/>
      <c r="L82" s="584"/>
      <c r="M82" s="585"/>
      <c r="N82" s="1152"/>
      <c r="O82" s="1152"/>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4"/>
      <c r="Q83" s="503"/>
    </row>
    <row r="84" spans="1:17" ht="15" thickTop="1">
      <c r="A84" s="598"/>
      <c r="B84" s="537" t="s">
        <v>2730</v>
      </c>
      <c r="C84" s="553"/>
      <c r="D84" s="553"/>
      <c r="E84" s="553"/>
      <c r="F84" s="553"/>
      <c r="G84" s="553"/>
      <c r="H84" s="553"/>
      <c r="I84" s="582"/>
      <c r="J84" s="582"/>
      <c r="K84" s="583"/>
      <c r="L84" s="584"/>
      <c r="M84" s="585"/>
      <c r="N84" s="1152"/>
      <c r="O84" s="1152"/>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4"/>
      <c r="Q85" s="503"/>
    </row>
    <row r="86" spans="1:17" ht="15" thickTop="1">
      <c r="A86" s="598"/>
      <c r="B86" s="545" t="s">
        <v>2731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2"/>
      <c r="O86" s="1152"/>
      <c r="P86" s="44"/>
      <c r="Q86" s="503"/>
    </row>
    <row r="87" spans="1:17">
      <c r="A87" s="598"/>
      <c r="B87" s="545"/>
      <c r="C87" s="594"/>
      <c r="D87" s="594"/>
      <c r="E87" s="594"/>
      <c r="F87" s="594"/>
      <c r="G87" s="594"/>
      <c r="H87" s="594"/>
      <c r="I87" s="594"/>
      <c r="J87" s="595"/>
      <c r="K87" s="595"/>
      <c r="L87" s="596"/>
      <c r="M87" s="597"/>
      <c r="N87" s="1152"/>
      <c r="O87" s="1152"/>
      <c r="P87" s="44"/>
      <c r="Q87" s="503"/>
    </row>
    <row r="88" spans="1:17" ht="15.75" thickBot="1">
      <c r="A88" s="533"/>
      <c r="B88" s="542"/>
      <c r="C88" s="559"/>
      <c r="D88" s="535"/>
      <c r="E88" s="535"/>
      <c r="F88" s="535"/>
      <c r="G88" s="535"/>
      <c r="H88" s="535"/>
      <c r="I88" s="535"/>
      <c r="J88" s="535"/>
      <c r="K88" s="535"/>
      <c r="L88" s="535"/>
      <c r="M88" s="535"/>
      <c r="N88" s="1153"/>
      <c r="O88" s="1153"/>
      <c r="P88" s="44"/>
      <c r="Q88" s="503"/>
    </row>
    <row r="89" spans="1:17" s="470" customFormat="1" ht="15" thickTop="1">
      <c r="A89" s="592"/>
      <c r="B89" s="537" t="s">
        <v>2732</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4"/>
      <c r="Q91" s="503"/>
    </row>
    <row r="92" spans="1:17" ht="15.75" thickBot="1">
      <c r="A92" s="533"/>
      <c r="B92" s="542"/>
      <c r="C92" s="559"/>
      <c r="D92" s="535"/>
      <c r="E92" s="535"/>
      <c r="F92" s="535"/>
      <c r="G92" s="559"/>
      <c r="H92" s="561"/>
      <c r="I92" s="561"/>
      <c r="J92" s="561"/>
      <c r="K92" s="561"/>
      <c r="L92" s="561"/>
      <c r="M92" s="562"/>
      <c r="N92" s="1153"/>
      <c r="O92" s="1153"/>
      <c r="P92" s="44"/>
      <c r="Q92" s="503"/>
    </row>
    <row r="93" spans="1:17" ht="15" thickTop="1">
      <c r="A93" s="598"/>
      <c r="B93" s="537">
        <f>B33</f>
        <v>111</v>
      </c>
      <c r="C93" s="548"/>
      <c r="D93" s="548"/>
      <c r="E93" s="548"/>
      <c r="F93" s="548"/>
      <c r="G93" s="553"/>
      <c r="H93" s="554"/>
      <c r="I93" s="554"/>
      <c r="J93" s="554"/>
      <c r="K93" s="554"/>
      <c r="L93" s="555"/>
      <c r="M93" s="556"/>
      <c r="N93" s="1152"/>
      <c r="O93" s="1152"/>
      <c r="P93" s="44"/>
      <c r="Q93" s="503"/>
    </row>
    <row r="94" spans="1:17" ht="15.75" thickBot="1">
      <c r="A94" s="533"/>
      <c r="B94" s="542"/>
      <c r="C94" s="559"/>
      <c r="D94" s="535"/>
      <c r="E94" s="535"/>
      <c r="F94" s="535"/>
      <c r="G94" s="559"/>
      <c r="H94" s="561"/>
      <c r="I94" s="561"/>
      <c r="J94" s="561"/>
      <c r="K94" s="561"/>
      <c r="L94" s="561"/>
      <c r="M94" s="562"/>
      <c r="N94" s="1153"/>
      <c r="O94" s="1153"/>
      <c r="P94" s="44"/>
      <c r="Q94" s="503"/>
    </row>
    <row r="95" spans="1:17" ht="15" thickTop="1">
      <c r="A95" s="598"/>
      <c r="B95" s="635">
        <f>B34</f>
        <v>111</v>
      </c>
      <c r="C95" s="548"/>
      <c r="D95" s="548"/>
      <c r="E95" s="548"/>
      <c r="F95" s="548"/>
      <c r="G95" s="553"/>
      <c r="H95" s="554"/>
      <c r="I95" s="554"/>
      <c r="J95" s="554"/>
      <c r="K95" s="554"/>
      <c r="L95" s="555"/>
      <c r="M95" s="556"/>
      <c r="N95" s="1153"/>
      <c r="O95" s="1153"/>
      <c r="P95" s="636"/>
      <c r="Q95" s="637"/>
    </row>
    <row r="96" spans="1:17" ht="15.75" thickBot="1">
      <c r="A96" s="533"/>
      <c r="B96" s="542"/>
      <c r="C96" s="559"/>
      <c r="D96" s="559"/>
      <c r="E96" s="559"/>
      <c r="F96" s="559"/>
      <c r="G96" s="559"/>
      <c r="H96" s="561"/>
      <c r="I96" s="561"/>
      <c r="J96" s="561"/>
      <c r="K96" s="561"/>
      <c r="L96" s="561"/>
      <c r="M96" s="562"/>
      <c r="N96" s="1153"/>
      <c r="O96" s="1153"/>
      <c r="P96" s="44"/>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7" priority="14" stopIfTrue="1" operator="containsText" text="超过">
      <formula>NOT(ISERROR(SEARCH("超过",F40)))</formula>
    </cfRule>
  </conditionalFormatting>
  <conditionalFormatting sqref="J42">
    <cfRule type="containsText" dxfId="56" priority="13" stopIfTrue="1" operator="containsText" text="超过">
      <formula>NOT(ISERROR(SEARCH("超过",J42)))</formula>
    </cfRule>
  </conditionalFormatting>
  <conditionalFormatting sqref="H42">
    <cfRule type="containsText" dxfId="55" priority="12" stopIfTrue="1" operator="containsText" text="超过">
      <formula>NOT(ISERROR(SEARCH("超过",H42)))</formula>
    </cfRule>
  </conditionalFormatting>
  <conditionalFormatting sqref="F42">
    <cfRule type="containsText" dxfId="54" priority="11" stopIfTrue="1" operator="containsText" text="超过">
      <formula>NOT(ISERROR(SEARCH("超过",F42)))</formula>
    </cfRule>
  </conditionalFormatting>
  <conditionalFormatting sqref="F41 H41 J41">
    <cfRule type="containsText" dxfId="53" priority="10" stopIfTrue="1" operator="containsText" text="超过">
      <formula>NOT(ISERROR(SEARCH("超过",F41)))</formula>
    </cfRule>
  </conditionalFormatting>
  <conditionalFormatting sqref="E40">
    <cfRule type="expression" dxfId="52" priority="9" stopIfTrue="1">
      <formula>$F$40="超过30%"</formula>
    </cfRule>
  </conditionalFormatting>
  <conditionalFormatting sqref="G42">
    <cfRule type="expression" dxfId="51" priority="8" stopIfTrue="1">
      <formula>$H$54+$H$42="超过30%"</formula>
    </cfRule>
  </conditionalFormatting>
  <conditionalFormatting sqref="E41">
    <cfRule type="expression" dxfId="50" priority="7" stopIfTrue="1">
      <formula>$F$41="超过20%"</formula>
    </cfRule>
  </conditionalFormatting>
  <conditionalFormatting sqref="E42">
    <cfRule type="expression" dxfId="49" priority="6" stopIfTrue="1">
      <formula>$F$42="超过30%"</formula>
    </cfRule>
  </conditionalFormatting>
  <conditionalFormatting sqref="G40">
    <cfRule type="expression" dxfId="48" priority="5" stopIfTrue="1">
      <formula>$H$52+$H$40="超过30%"</formula>
    </cfRule>
  </conditionalFormatting>
  <conditionalFormatting sqref="G41">
    <cfRule type="expression" dxfId="47" priority="4" stopIfTrue="1">
      <formula>$H$53+$H$41="超过20%"</formula>
    </cfRule>
  </conditionalFormatting>
  <conditionalFormatting sqref="I40">
    <cfRule type="expression" dxfId="46" priority="3" stopIfTrue="1">
      <formula>$J$40="超过30%"</formula>
    </cfRule>
  </conditionalFormatting>
  <conditionalFormatting sqref="I41">
    <cfRule type="expression" dxfId="45" priority="2" stopIfTrue="1">
      <formula>$J$41="超过20%"</formula>
    </cfRule>
  </conditionalFormatting>
  <conditionalFormatting sqref="I42">
    <cfRule type="expression" dxfId="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2733</v>
      </c>
      <c r="B1" s="394"/>
      <c r="C1" s="395"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t="e">
        <f>F66</f>
        <v>#DIV/0!</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6"/>
    </row>
    <row r="3" spans="1:30" s="397" customFormat="1" ht="28.5" customHeight="1" thickBot="1">
      <c r="A3" s="246" t="s">
        <v>2318</v>
      </c>
      <c r="B3" s="608" t="e">
        <f>ROUND(IF(D3="",B2*10000/'数据-汇总表'!E3,B2*10000/D3),0)</f>
        <v>#DIV/0!</v>
      </c>
      <c r="C3" s="246" t="s">
        <v>2735</v>
      </c>
      <c r="D3" s="1581"/>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19" t="s">
        <v>2636</v>
      </c>
      <c r="S4" s="3220"/>
      <c r="T4" s="3219" t="s">
        <v>2637</v>
      </c>
      <c r="U4" s="3220"/>
      <c r="V4" s="3244" t="s">
        <v>2638</v>
      </c>
      <c r="W4" s="3244"/>
      <c r="X4" s="1811"/>
      <c r="Y4" s="3219" t="s">
        <v>2640</v>
      </c>
      <c r="Z4" s="3220"/>
      <c r="AA4" s="3214" t="s">
        <v>2636</v>
      </c>
      <c r="AB4" s="3215" t="s">
        <v>2637</v>
      </c>
      <c r="AC4" s="3214" t="s">
        <v>2638</v>
      </c>
    </row>
    <row r="5" spans="1:30" ht="15">
      <c r="A5" s="403"/>
      <c r="B5" s="404"/>
      <c r="C5" s="3225" t="s">
        <v>2531</v>
      </c>
      <c r="D5" s="3226"/>
      <c r="E5" s="3223" t="s">
        <v>2532</v>
      </c>
      <c r="F5" s="3224"/>
      <c r="G5" s="3225" t="s">
        <v>2533</v>
      </c>
      <c r="H5" s="3226"/>
      <c r="I5" s="3225" t="s">
        <v>2534</v>
      </c>
      <c r="J5" s="3226"/>
      <c r="K5" s="609"/>
      <c r="L5" s="1130"/>
      <c r="M5" s="1131"/>
      <c r="N5" s="1131"/>
      <c r="O5" s="1131"/>
      <c r="P5" s="3238"/>
      <c r="Q5" s="3239"/>
      <c r="R5" s="3221"/>
      <c r="S5" s="3222"/>
      <c r="T5" s="3221"/>
      <c r="U5" s="3222"/>
      <c r="V5" s="3244"/>
      <c r="W5" s="3244"/>
      <c r="X5" s="1811"/>
      <c r="Y5" s="3221"/>
      <c r="Z5" s="3222"/>
      <c r="AA5" s="3215"/>
      <c r="AB5" s="3215"/>
      <c r="AC5" s="3215"/>
    </row>
    <row r="6" spans="1:30" ht="15.75" thickBot="1">
      <c r="A6" s="405"/>
      <c r="B6" s="406"/>
      <c r="C6" s="3227" t="s">
        <v>2535</v>
      </c>
      <c r="D6" s="3228"/>
      <c r="E6" s="3229" t="s">
        <v>2535</v>
      </c>
      <c r="F6" s="3230"/>
      <c r="G6" s="3227" t="s">
        <v>2535</v>
      </c>
      <c r="H6" s="3228"/>
      <c r="I6" s="3227" t="s">
        <v>2535</v>
      </c>
      <c r="J6" s="3228"/>
      <c r="K6" s="609" t="s">
        <v>2536</v>
      </c>
      <c r="L6" s="1130"/>
      <c r="M6" s="1131"/>
      <c r="N6" s="1131"/>
      <c r="O6" s="1131"/>
      <c r="P6" s="3240"/>
      <c r="Q6" s="3241"/>
      <c r="R6" s="3221"/>
      <c r="S6" s="3222"/>
      <c r="T6" s="3242"/>
      <c r="U6" s="3243"/>
      <c r="V6" s="3244"/>
      <c r="W6" s="3244"/>
      <c r="X6" s="1811"/>
      <c r="Y6" s="3242"/>
      <c r="Z6" s="3243"/>
      <c r="AA6" s="3216"/>
      <c r="AB6" s="3216"/>
      <c r="AC6" s="3216"/>
    </row>
    <row r="7" spans="1:30" s="116" customFormat="1" ht="15.75" thickBot="1">
      <c r="A7" s="407" t="s">
        <v>2537</v>
      </c>
      <c r="B7" s="408"/>
      <c r="C7" s="409">
        <f>'数据-取费表'!B2</f>
        <v>43452</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2"/>
      <c r="M7" s="1133"/>
      <c r="N7" s="1133"/>
      <c r="O7" s="1133"/>
      <c r="P7" s="3217" t="s">
        <v>2538</v>
      </c>
      <c r="Q7" s="3245"/>
      <c r="R7" s="769" t="s">
        <v>17</v>
      </c>
      <c r="S7" s="770">
        <f t="shared" ref="S7:S15" si="0">F7</f>
        <v>0</v>
      </c>
      <c r="T7" s="769" t="s">
        <v>17</v>
      </c>
      <c r="U7" s="770">
        <f t="shared" ref="U7:U15" si="1">H7</f>
        <v>0</v>
      </c>
      <c r="V7" s="769" t="s">
        <v>17</v>
      </c>
      <c r="W7" s="770">
        <f t="shared" ref="W7:W15" si="2">J7</f>
        <v>0</v>
      </c>
      <c r="X7" s="771"/>
      <c r="Y7" s="3217" t="s">
        <v>2538</v>
      </c>
      <c r="Z7" s="3218"/>
      <c r="AA7" s="772" t="e">
        <f>D7/F7</f>
        <v>#DIV/0!</v>
      </c>
      <c r="AB7" s="772" t="e">
        <f>D7/H7</f>
        <v>#DIV/0!</v>
      </c>
      <c r="AC7" s="772" t="e">
        <f>D7/J7</f>
        <v>#DIV/0!</v>
      </c>
    </row>
    <row r="8" spans="1:30" s="116" customFormat="1" ht="15.75" thickBot="1">
      <c r="A8" s="407" t="s">
        <v>2539</v>
      </c>
      <c r="B8" s="408"/>
      <c r="C8" s="413" t="s">
        <v>2540</v>
      </c>
      <c r="D8" s="410">
        <v>100</v>
      </c>
      <c r="E8" s="413"/>
      <c r="F8" s="412">
        <f>SUMIF(73:73,E8,74:74)-SUMIF(73:73,C8,74:74)+100</f>
        <v>0</v>
      </c>
      <c r="G8" s="413"/>
      <c r="H8" s="410">
        <f>SUMIF(73:73,G8,74:74)-SUMIF(73:73,C8,74:74)+100</f>
        <v>0</v>
      </c>
      <c r="I8" s="413"/>
      <c r="J8" s="410">
        <f>SUMIF(73:73,I8,74:74)-SUMIF(73:73,C8,74:74)+100</f>
        <v>0</v>
      </c>
      <c r="K8" s="610"/>
      <c r="L8" s="1132"/>
      <c r="M8" s="1133"/>
      <c r="N8" s="1133"/>
      <c r="O8" s="1133"/>
      <c r="P8" s="3217" t="s">
        <v>2541</v>
      </c>
      <c r="Q8" s="3218"/>
      <c r="R8" s="769" t="s">
        <v>17</v>
      </c>
      <c r="S8" s="770">
        <f t="shared" si="0"/>
        <v>0</v>
      </c>
      <c r="T8" s="769" t="s">
        <v>17</v>
      </c>
      <c r="U8" s="770">
        <f t="shared" si="1"/>
        <v>0</v>
      </c>
      <c r="V8" s="769" t="s">
        <v>17</v>
      </c>
      <c r="W8" s="770">
        <f t="shared" si="2"/>
        <v>0</v>
      </c>
      <c r="X8" s="771"/>
      <c r="Y8" s="3217" t="s">
        <v>2541</v>
      </c>
      <c r="Z8" s="3218"/>
      <c r="AA8" s="772" t="e">
        <f t="shared" ref="AA8:AA45" si="3">D8/F8</f>
        <v>#DIV/0!</v>
      </c>
      <c r="AB8" s="772" t="e">
        <f t="shared" ref="AB8:AB45" si="4">D8/H8</f>
        <v>#DIV/0!</v>
      </c>
      <c r="AC8" s="772" t="e">
        <f t="shared" ref="AC8:AC45" si="5">D8/J8</f>
        <v>#DIV/0!</v>
      </c>
    </row>
    <row r="9" spans="1:30" s="116" customFormat="1">
      <c r="A9" s="414" t="s">
        <v>2542</v>
      </c>
      <c r="B9" s="70" t="s">
        <v>2543</v>
      </c>
      <c r="C9" s="2698"/>
      <c r="D9" s="134">
        <v>100</v>
      </c>
      <c r="E9" s="2698"/>
      <c r="F9" s="134">
        <f>SUMIF(75:75,E9,76:76)-SUMIF(75:75,C9,76:76)+100</f>
        <v>100</v>
      </c>
      <c r="G9" s="2698"/>
      <c r="H9" s="134">
        <f>SUMIF(75:75,G9,76:76)-SUMIF(75:75,C9,76:76)+100</f>
        <v>100</v>
      </c>
      <c r="I9" s="2698"/>
      <c r="J9" s="134">
        <f>SUMIF(75:75,I9,76:76)-SUMIF(75:75,C9,76:76)+100</f>
        <v>100</v>
      </c>
      <c r="K9" s="610"/>
      <c r="L9" s="1132"/>
      <c r="M9" s="1133"/>
      <c r="N9" s="1133"/>
      <c r="O9" s="1134"/>
      <c r="P9" s="3249" t="s">
        <v>2544</v>
      </c>
      <c r="Q9" s="1793" t="str">
        <f t="shared" ref="Q9:Q15" si="6">B9</f>
        <v>用途</v>
      </c>
      <c r="R9" s="769" t="s">
        <v>17</v>
      </c>
      <c r="S9" s="770">
        <f t="shared" si="0"/>
        <v>100</v>
      </c>
      <c r="T9" s="769" t="s">
        <v>17</v>
      </c>
      <c r="U9" s="770">
        <f t="shared" si="1"/>
        <v>100</v>
      </c>
      <c r="V9" s="769" t="s">
        <v>17</v>
      </c>
      <c r="W9" s="770">
        <f t="shared" si="2"/>
        <v>100</v>
      </c>
      <c r="X9" s="771"/>
      <c r="Y9" s="3044" t="s">
        <v>2545</v>
      </c>
      <c r="Z9" s="54" t="str">
        <f t="shared" ref="Z9:Z15" si="7">Q9</f>
        <v>用途</v>
      </c>
      <c r="AA9" s="772">
        <f t="shared" si="3"/>
        <v>1</v>
      </c>
      <c r="AB9" s="772">
        <f t="shared" si="4"/>
        <v>1</v>
      </c>
      <c r="AC9" s="772">
        <f t="shared" si="5"/>
        <v>1</v>
      </c>
    </row>
    <row r="10" spans="1:30" s="426" customFormat="1" ht="27">
      <c r="A10" s="420"/>
      <c r="B10" s="421" t="s">
        <v>2546</v>
      </c>
      <c r="C10" s="431"/>
      <c r="D10" s="135">
        <v>100</v>
      </c>
      <c r="E10" s="464"/>
      <c r="F10" s="135">
        <f>ROUND(100/'数据-取费表'!G16,0)</f>
        <v>115</v>
      </c>
      <c r="G10" s="462"/>
      <c r="H10" s="135">
        <f>ROUND(100/'数据-取费表'!G16,0)</f>
        <v>115</v>
      </c>
      <c r="I10" s="462"/>
      <c r="J10" s="135">
        <f>ROUND(100/'数据-取费表'!G16,0)</f>
        <v>115</v>
      </c>
      <c r="K10" s="671"/>
      <c r="L10" s="1135"/>
      <c r="M10" s="1136"/>
      <c r="N10" s="1136"/>
      <c r="O10" s="1137"/>
      <c r="P10" s="3249"/>
      <c r="Q10" s="1793" t="str">
        <f t="shared" si="6"/>
        <v>土地使用年限（年）</v>
      </c>
      <c r="R10" s="769" t="s">
        <v>17</v>
      </c>
      <c r="S10" s="770">
        <f t="shared" si="0"/>
        <v>115</v>
      </c>
      <c r="T10" s="769" t="s">
        <v>17</v>
      </c>
      <c r="U10" s="770">
        <f t="shared" si="1"/>
        <v>115</v>
      </c>
      <c r="V10" s="769" t="s">
        <v>17</v>
      </c>
      <c r="W10" s="770">
        <f t="shared" si="2"/>
        <v>115</v>
      </c>
      <c r="X10" s="771"/>
      <c r="Y10" s="3044"/>
      <c r="Z10" s="54" t="str">
        <f t="shared" si="7"/>
        <v>土地使用年限（年）</v>
      </c>
      <c r="AA10" s="772">
        <f t="shared" si="3"/>
        <v>0.86956521739130432</v>
      </c>
      <c r="AB10" s="772">
        <f t="shared" si="4"/>
        <v>0.86956521739130432</v>
      </c>
      <c r="AC10" s="772">
        <f t="shared" si="5"/>
        <v>0.86956521739130432</v>
      </c>
    </row>
    <row r="11" spans="1:30" ht="15">
      <c r="A11" s="427"/>
      <c r="B11" s="421" t="s">
        <v>2547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8"/>
      <c r="M11" s="1131"/>
      <c r="N11" s="1131"/>
      <c r="O11" s="1139"/>
      <c r="P11" s="3249"/>
      <c r="Q11" s="1793" t="str">
        <f t="shared" si="6"/>
        <v>容积率</v>
      </c>
      <c r="R11" s="769" t="s">
        <v>17</v>
      </c>
      <c r="S11" s="770" t="e">
        <f t="shared" si="0"/>
        <v>#N/A</v>
      </c>
      <c r="T11" s="769" t="s">
        <v>17</v>
      </c>
      <c r="U11" s="770" t="e">
        <f t="shared" si="1"/>
        <v>#N/A</v>
      </c>
      <c r="V11" s="769" t="s">
        <v>17</v>
      </c>
      <c r="W11" s="770" t="e">
        <f t="shared" si="2"/>
        <v>#N/A</v>
      </c>
      <c r="X11" s="771"/>
      <c r="Y11" s="3044"/>
      <c r="Z11" s="54" t="str">
        <f t="shared" si="7"/>
        <v>容积率</v>
      </c>
      <c r="AA11" s="772" t="e">
        <f t="shared" si="3"/>
        <v>#N/A</v>
      </c>
      <c r="AB11" s="772" t="e">
        <f t="shared" si="4"/>
        <v>#N/A</v>
      </c>
      <c r="AC11" s="772" t="e">
        <f t="shared" si="5"/>
        <v>#N/A</v>
      </c>
    </row>
    <row r="12" spans="1:30" s="116" customFormat="1" ht="15">
      <c r="A12" s="430"/>
      <c r="B12" s="2599" t="s">
        <v>2736</v>
      </c>
      <c r="C12" s="431"/>
      <c r="D12" s="432">
        <v>100</v>
      </c>
      <c r="E12" s="464"/>
      <c r="F12" s="135">
        <f>SUMIF(82:82,E12,83:83)-SUMIF(82:82,C12,83:83)+100</f>
        <v>100</v>
      </c>
      <c r="G12" s="462"/>
      <c r="H12" s="135">
        <f>SUMIF(82:82,G12,83:83)-SUMIF(82:82,C12,83:83)+100</f>
        <v>100</v>
      </c>
      <c r="I12" s="464"/>
      <c r="J12" s="135">
        <f>SUMIF(82:82,I12,83:83)-SUMIF(82:82,C12,83:83)+100</f>
        <v>100</v>
      </c>
      <c r="K12" s="671"/>
      <c r="L12" s="1132"/>
      <c r="M12" s="1133"/>
      <c r="N12" s="1133"/>
      <c r="O12" s="1134"/>
      <c r="P12" s="3249"/>
      <c r="Q12" s="1793" t="str">
        <f t="shared" si="6"/>
        <v>配建</v>
      </c>
      <c r="R12" s="769" t="s">
        <v>17</v>
      </c>
      <c r="S12" s="770">
        <f t="shared" si="0"/>
        <v>100</v>
      </c>
      <c r="T12" s="769" t="s">
        <v>17</v>
      </c>
      <c r="U12" s="770">
        <f t="shared" si="1"/>
        <v>100</v>
      </c>
      <c r="V12" s="769" t="s">
        <v>17</v>
      </c>
      <c r="W12" s="770">
        <f t="shared" si="2"/>
        <v>100</v>
      </c>
      <c r="X12" s="771"/>
      <c r="Y12" s="3044"/>
      <c r="Z12" s="54"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0"/>
      <c r="M13" s="1131"/>
      <c r="N13" s="1131"/>
      <c r="O13" s="1139"/>
      <c r="P13" s="3249"/>
      <c r="Q13" s="1793">
        <f t="shared" si="6"/>
        <v>111</v>
      </c>
      <c r="R13" s="769" t="s">
        <v>17</v>
      </c>
      <c r="S13" s="770">
        <f t="shared" si="0"/>
        <v>100</v>
      </c>
      <c r="T13" s="769" t="s">
        <v>17</v>
      </c>
      <c r="U13" s="770">
        <f t="shared" si="1"/>
        <v>100</v>
      </c>
      <c r="V13" s="769" t="s">
        <v>17</v>
      </c>
      <c r="W13" s="770">
        <f t="shared" si="2"/>
        <v>100</v>
      </c>
      <c r="X13" s="771"/>
      <c r="Y13" s="3044"/>
      <c r="Z13" s="54">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0"/>
      <c r="M14" s="1131"/>
      <c r="N14" s="1131"/>
      <c r="O14" s="1139"/>
      <c r="P14" s="3249"/>
      <c r="Q14" s="1793">
        <f t="shared" si="6"/>
        <v>111</v>
      </c>
      <c r="R14" s="769" t="s">
        <v>17</v>
      </c>
      <c r="S14" s="770">
        <f t="shared" si="0"/>
        <v>100</v>
      </c>
      <c r="T14" s="769" t="s">
        <v>17</v>
      </c>
      <c r="U14" s="770">
        <f t="shared" si="1"/>
        <v>100</v>
      </c>
      <c r="V14" s="769" t="s">
        <v>17</v>
      </c>
      <c r="W14" s="770">
        <f t="shared" si="2"/>
        <v>100</v>
      </c>
      <c r="X14" s="771"/>
      <c r="Y14" s="3044"/>
      <c r="Z14" s="54">
        <f t="shared" si="7"/>
        <v>111</v>
      </c>
      <c r="AA14" s="772">
        <f>D14/F14</f>
        <v>1</v>
      </c>
      <c r="AB14" s="772">
        <f>D14/H14</f>
        <v>1</v>
      </c>
      <c r="AC14" s="772">
        <f>D14/J14</f>
        <v>1</v>
      </c>
    </row>
    <row r="15" spans="1:30" ht="15">
      <c r="A15" s="439" t="s">
        <v>2548</v>
      </c>
      <c r="B15" s="68" t="s">
        <v>2085</v>
      </c>
      <c r="C15" s="2602">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0"/>
      <c r="M15" s="1131"/>
      <c r="N15" s="1131"/>
      <c r="O15" s="1139"/>
      <c r="P15" s="3251" t="s">
        <v>2549</v>
      </c>
      <c r="Q15" s="1808" t="str">
        <f t="shared" si="6"/>
        <v>居住社区成熟度</v>
      </c>
      <c r="R15" s="773" t="s">
        <v>17</v>
      </c>
      <c r="S15" s="774">
        <f t="shared" si="0"/>
        <v>100</v>
      </c>
      <c r="T15" s="773" t="s">
        <v>17</v>
      </c>
      <c r="U15" s="774">
        <f t="shared" si="1"/>
        <v>100</v>
      </c>
      <c r="V15" s="773" t="s">
        <v>17</v>
      </c>
      <c r="W15" s="774">
        <f t="shared" si="2"/>
        <v>100</v>
      </c>
      <c r="X15" s="1811"/>
      <c r="Y15" s="3251" t="s">
        <v>2549</v>
      </c>
      <c r="Z15" s="1812" t="str">
        <f t="shared" si="7"/>
        <v>居住社区成熟度</v>
      </c>
      <c r="AA15" s="1809">
        <f t="shared" si="3"/>
        <v>1</v>
      </c>
      <c r="AB15" s="1809">
        <f t="shared" si="4"/>
        <v>1</v>
      </c>
      <c r="AC15" s="1809">
        <f t="shared" si="5"/>
        <v>1</v>
      </c>
    </row>
    <row r="16" spans="1:30" ht="15">
      <c r="A16" s="427"/>
      <c r="B16" s="445"/>
      <c r="C16" s="446"/>
      <c r="D16" s="447"/>
      <c r="E16" s="2604"/>
      <c r="F16" s="447"/>
      <c r="G16" s="2604"/>
      <c r="H16" s="449"/>
      <c r="I16" s="2603"/>
      <c r="J16" s="447"/>
      <c r="K16" s="671"/>
      <c r="L16" s="1140"/>
      <c r="M16" s="1131"/>
      <c r="N16" s="1131"/>
      <c r="O16" s="1139"/>
      <c r="P16" s="3252"/>
      <c r="Q16" s="1808"/>
      <c r="R16" s="773"/>
      <c r="S16" s="774"/>
      <c r="T16" s="773"/>
      <c r="U16" s="774"/>
      <c r="V16" s="773"/>
      <c r="W16" s="774"/>
      <c r="X16" s="1811"/>
      <c r="Y16" s="3252"/>
      <c r="Z16" s="1812"/>
      <c r="AA16" s="1809">
        <v>1</v>
      </c>
      <c r="AB16" s="1809">
        <v>1</v>
      </c>
      <c r="AC16" s="1809">
        <v>1</v>
      </c>
    </row>
    <row r="17" spans="1:29" ht="15">
      <c r="A17" s="427"/>
      <c r="B17" s="450" t="s">
        <v>2642</v>
      </c>
      <c r="C17" s="2663">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0"/>
      <c r="M17" s="1131"/>
      <c r="N17" s="1131"/>
      <c r="O17" s="1139"/>
      <c r="P17" s="3252"/>
      <c r="Q17" s="1808" t="str">
        <f>B17</f>
        <v>商业繁华度</v>
      </c>
      <c r="R17" s="773" t="s">
        <v>17</v>
      </c>
      <c r="S17" s="774">
        <f>F17</f>
        <v>100</v>
      </c>
      <c r="T17" s="773" t="s">
        <v>17</v>
      </c>
      <c r="U17" s="774">
        <f>H17</f>
        <v>100</v>
      </c>
      <c r="V17" s="773" t="s">
        <v>17</v>
      </c>
      <c r="W17" s="774">
        <f>J17</f>
        <v>100</v>
      </c>
      <c r="X17" s="1811"/>
      <c r="Y17" s="3252"/>
      <c r="Z17" s="1812" t="str">
        <f>Q17</f>
        <v>商业繁华度</v>
      </c>
      <c r="AA17" s="1809">
        <f t="shared" si="3"/>
        <v>1</v>
      </c>
      <c r="AB17" s="1809">
        <f t="shared" si="4"/>
        <v>1</v>
      </c>
      <c r="AC17" s="1809">
        <f t="shared" si="5"/>
        <v>1</v>
      </c>
    </row>
    <row r="18" spans="1:29" ht="15">
      <c r="A18" s="427"/>
      <c r="B18" s="455"/>
      <c r="C18" s="2607"/>
      <c r="D18" s="449"/>
      <c r="E18" s="2609"/>
      <c r="F18" s="449"/>
      <c r="G18" s="2609"/>
      <c r="H18" s="447"/>
      <c r="I18" s="2608"/>
      <c r="J18" s="447"/>
      <c r="K18" s="671"/>
      <c r="L18" s="1140"/>
      <c r="M18" s="1131"/>
      <c r="N18" s="1131"/>
      <c r="O18" s="1139"/>
      <c r="P18" s="3252"/>
      <c r="Q18" s="1808"/>
      <c r="R18" s="773"/>
      <c r="S18" s="774"/>
      <c r="T18" s="773"/>
      <c r="U18" s="774"/>
      <c r="V18" s="773"/>
      <c r="W18" s="774"/>
      <c r="X18" s="1811"/>
      <c r="Y18" s="3252"/>
      <c r="Z18" s="1812"/>
      <c r="AA18" s="1809">
        <v>1</v>
      </c>
      <c r="AB18" s="1809">
        <v>1</v>
      </c>
      <c r="AC18" s="1809">
        <v>1</v>
      </c>
    </row>
    <row r="19" spans="1:29" ht="114">
      <c r="A19" s="427"/>
      <c r="B19" s="450" t="s">
        <v>2676</v>
      </c>
      <c r="C19" s="2663" t="str">
        <f>估价对象房地状况!C17</f>
        <v>好</v>
      </c>
      <c r="D19" s="454">
        <v>100</v>
      </c>
      <c r="E19" s="456"/>
      <c r="F19" s="454">
        <f>SUMIF(92:92,E20,93:93)-SUMIF(92:92,C20,93:93)+100</f>
        <v>100</v>
      </c>
      <c r="G19" s="456"/>
      <c r="H19" s="449">
        <f>SUMIF(92:92,G20,93:93)-SUMIF(92:92,C20,93:93)+100</f>
        <v>100</v>
      </c>
      <c r="I19" s="458"/>
      <c r="J19" s="449">
        <f>SUMIF(92:92,I20,93:93)-SUMIF(92:92,C20,93:93)+100</f>
        <v>100</v>
      </c>
      <c r="K19" s="672"/>
      <c r="L19" s="1140"/>
      <c r="M19" s="1131"/>
      <c r="N19" s="1131"/>
      <c r="O19" s="1139"/>
      <c r="P19" s="3252"/>
      <c r="Q19" s="1808" t="str">
        <f>B19</f>
        <v>办公集聚程度</v>
      </c>
      <c r="R19" s="773" t="s">
        <v>17</v>
      </c>
      <c r="S19" s="774">
        <f>F19</f>
        <v>100</v>
      </c>
      <c r="T19" s="773" t="s">
        <v>17</v>
      </c>
      <c r="U19" s="774">
        <f>H19</f>
        <v>100</v>
      </c>
      <c r="V19" s="773" t="s">
        <v>17</v>
      </c>
      <c r="W19" s="774">
        <f>J19</f>
        <v>100</v>
      </c>
      <c r="X19" s="1811"/>
      <c r="Y19" s="3252"/>
      <c r="Z19" s="1812" t="str">
        <f>Q19</f>
        <v>办公集聚程度</v>
      </c>
      <c r="AA19" s="1809">
        <f t="shared" si="3"/>
        <v>1</v>
      </c>
      <c r="AB19" s="1809">
        <f t="shared" si="4"/>
        <v>1</v>
      </c>
      <c r="AC19" s="1809">
        <f t="shared" si="5"/>
        <v>1</v>
      </c>
    </row>
    <row r="20" spans="1:29" ht="15">
      <c r="A20" s="427"/>
      <c r="B20" s="455"/>
      <c r="C20" s="446"/>
      <c r="D20" s="447"/>
      <c r="E20" s="2604"/>
      <c r="F20" s="447"/>
      <c r="G20" s="2604"/>
      <c r="H20" s="447"/>
      <c r="I20" s="2603"/>
      <c r="J20" s="447"/>
      <c r="K20" s="671"/>
      <c r="L20" s="1140"/>
      <c r="M20" s="1131"/>
      <c r="N20" s="1131"/>
      <c r="O20" s="1139"/>
      <c r="P20" s="3252"/>
      <c r="Q20" s="1808"/>
      <c r="R20" s="773"/>
      <c r="S20" s="774"/>
      <c r="T20" s="773"/>
      <c r="U20" s="774"/>
      <c r="V20" s="773"/>
      <c r="W20" s="774"/>
      <c r="X20" s="1811"/>
      <c r="Y20" s="3252"/>
      <c r="Z20" s="1812"/>
      <c r="AA20" s="1809">
        <v>1</v>
      </c>
      <c r="AB20" s="1809">
        <v>1</v>
      </c>
      <c r="AC20" s="1809">
        <v>1</v>
      </c>
    </row>
    <row r="21" spans="1:29" ht="171">
      <c r="A21" s="427"/>
      <c r="B21" s="450" t="s">
        <v>2698</v>
      </c>
      <c r="C21" s="2606" t="str">
        <f>估价对象房地状况!C18</f>
        <v>好</v>
      </c>
      <c r="D21" s="449">
        <v>100</v>
      </c>
      <c r="E21" s="451"/>
      <c r="F21" s="454">
        <f>SUMIF(94:94,E22,95:95)-SUMIF(94:94,C22,95:95)+100</f>
        <v>100</v>
      </c>
      <c r="G21" s="451"/>
      <c r="H21" s="449">
        <f>SUMIF(94:94,G22,95:95)-SUMIF(94:94,C22,95:95)+100</f>
        <v>100</v>
      </c>
      <c r="I21" s="453"/>
      <c r="J21" s="449">
        <f>SUMIF(94:94,I22,95:95)-SUMIF(94:94,C22,95:95)+100</f>
        <v>100</v>
      </c>
      <c r="K21" s="672"/>
      <c r="L21" s="1140"/>
      <c r="M21" s="1131"/>
      <c r="N21" s="1131"/>
      <c r="O21" s="1139"/>
      <c r="P21" s="3252"/>
      <c r="Q21" s="1808" t="str">
        <f>B21</f>
        <v>交通便捷度</v>
      </c>
      <c r="R21" s="773" t="s">
        <v>17</v>
      </c>
      <c r="S21" s="774">
        <f>F21</f>
        <v>100</v>
      </c>
      <c r="T21" s="773" t="s">
        <v>17</v>
      </c>
      <c r="U21" s="774">
        <f>H21</f>
        <v>100</v>
      </c>
      <c r="V21" s="773" t="s">
        <v>17</v>
      </c>
      <c r="W21" s="774">
        <f>J21</f>
        <v>100</v>
      </c>
      <c r="X21" s="1811"/>
      <c r="Y21" s="3252"/>
      <c r="Z21" s="1812" t="str">
        <f>Q21</f>
        <v>交通便捷度</v>
      </c>
      <c r="AA21" s="1809">
        <f t="shared" si="3"/>
        <v>1</v>
      </c>
      <c r="AB21" s="1809">
        <f t="shared" si="4"/>
        <v>1</v>
      </c>
      <c r="AC21" s="1809">
        <f t="shared" si="5"/>
        <v>1</v>
      </c>
    </row>
    <row r="22" spans="1:29" ht="15">
      <c r="A22" s="427"/>
      <c r="B22" s="1384"/>
      <c r="C22" s="446"/>
      <c r="D22" s="449"/>
      <c r="E22" s="2604"/>
      <c r="F22" s="447"/>
      <c r="G22" s="2604"/>
      <c r="H22" s="447"/>
      <c r="I22" s="2603"/>
      <c r="J22" s="447"/>
      <c r="K22" s="671"/>
      <c r="L22" s="1140"/>
      <c r="M22" s="1131"/>
      <c r="N22" s="1131"/>
      <c r="O22" s="1139"/>
      <c r="P22" s="3252"/>
      <c r="Q22" s="1808"/>
      <c r="R22" s="773"/>
      <c r="S22" s="774"/>
      <c r="T22" s="773"/>
      <c r="U22" s="774"/>
      <c r="V22" s="773"/>
      <c r="W22" s="774"/>
      <c r="X22" s="1811"/>
      <c r="Y22" s="3252"/>
      <c r="Z22" s="1812"/>
      <c r="AA22" s="1809">
        <v>1</v>
      </c>
      <c r="AB22" s="1809">
        <v>1</v>
      </c>
      <c r="AC22" s="1809">
        <v>1</v>
      </c>
    </row>
    <row r="23" spans="1:29" ht="15">
      <c r="A23" s="403"/>
      <c r="B23" s="450" t="s">
        <v>2737</v>
      </c>
      <c r="C23" s="1389">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0"/>
      <c r="M23" s="1131"/>
      <c r="N23" s="1131"/>
      <c r="O23" s="1139"/>
      <c r="P23" s="3252"/>
      <c r="Q23" s="1808" t="str">
        <f t="shared" ref="Q23:Q37" si="8">B23</f>
        <v>区域土地利用方向</v>
      </c>
      <c r="R23" s="773" t="s">
        <v>17</v>
      </c>
      <c r="S23" s="774">
        <f>F23</f>
        <v>100</v>
      </c>
      <c r="T23" s="773" t="s">
        <v>17</v>
      </c>
      <c r="U23" s="774">
        <f>H23</f>
        <v>100</v>
      </c>
      <c r="V23" s="773" t="s">
        <v>17</v>
      </c>
      <c r="W23" s="774">
        <f>J23</f>
        <v>100</v>
      </c>
      <c r="X23" s="1811"/>
      <c r="Y23" s="3252"/>
      <c r="Z23" s="1812" t="str">
        <f>Q23</f>
        <v>区域土地利用方向</v>
      </c>
      <c r="AA23" s="1809">
        <f t="shared" si="3"/>
        <v>1</v>
      </c>
      <c r="AB23" s="1809">
        <f t="shared" si="4"/>
        <v>1</v>
      </c>
      <c r="AC23" s="1809">
        <f t="shared" si="5"/>
        <v>1</v>
      </c>
    </row>
    <row r="24" spans="1:29" ht="15">
      <c r="A24" s="403"/>
      <c r="B24" s="455"/>
      <c r="C24" s="615"/>
      <c r="D24" s="447"/>
      <c r="E24" s="2604"/>
      <c r="F24" s="447"/>
      <c r="G24" s="2603"/>
      <c r="H24" s="447"/>
      <c r="I24" s="2603"/>
      <c r="J24" s="447"/>
      <c r="K24" s="811"/>
      <c r="L24" s="1140"/>
      <c r="M24" s="1131"/>
      <c r="N24" s="1131"/>
      <c r="O24" s="1139"/>
      <c r="P24" s="3252"/>
      <c r="Q24" s="1808"/>
      <c r="R24" s="773"/>
      <c r="S24" s="774"/>
      <c r="T24" s="773"/>
      <c r="U24" s="774"/>
      <c r="V24" s="773"/>
      <c r="W24" s="774"/>
      <c r="X24" s="1811"/>
      <c r="Y24" s="3252"/>
      <c r="Z24" s="1812"/>
      <c r="AA24" s="1809"/>
      <c r="AB24" s="1809"/>
      <c r="AC24" s="1809"/>
    </row>
    <row r="25" spans="1:29" ht="128.25">
      <c r="A25" s="403"/>
      <c r="B25" s="1384" t="s">
        <v>2738</v>
      </c>
      <c r="C25" s="2663" t="str">
        <f>估价对象房地状况!C20</f>
        <v>较好</v>
      </c>
      <c r="D25" s="449">
        <v>100</v>
      </c>
      <c r="E25" s="451"/>
      <c r="F25" s="449">
        <f>SUMIF(98:98,E26,99:99)-SUMIF(98:98,C26,99:99)+100</f>
        <v>100</v>
      </c>
      <c r="G25" s="451"/>
      <c r="H25" s="449">
        <f>SUMIF(98:98,G26,99:99)-SUMIF(98:98,C26,99:99)+100</f>
        <v>100</v>
      </c>
      <c r="I25" s="453"/>
      <c r="J25" s="449">
        <f>SUMIF(98:98,I26,99:99)-SUMIF(98:98,C26,99:99)+100</f>
        <v>100</v>
      </c>
      <c r="K25" s="672"/>
      <c r="L25" s="1140"/>
      <c r="M25" s="1131"/>
      <c r="N25" s="1131"/>
      <c r="O25" s="1139"/>
      <c r="P25" s="3252"/>
      <c r="Q25" s="1808" t="str">
        <f t="shared" si="8"/>
        <v>自然及人文环境状况</v>
      </c>
      <c r="R25" s="773" t="s">
        <v>17</v>
      </c>
      <c r="S25" s="774">
        <f>F25</f>
        <v>100</v>
      </c>
      <c r="T25" s="773" t="s">
        <v>17</v>
      </c>
      <c r="U25" s="774">
        <f>H25</f>
        <v>100</v>
      </c>
      <c r="V25" s="773" t="s">
        <v>17</v>
      </c>
      <c r="W25" s="774">
        <f>J25</f>
        <v>100</v>
      </c>
      <c r="X25" s="1811"/>
      <c r="Y25" s="3252"/>
      <c r="Z25" s="1812" t="str">
        <f>Q25</f>
        <v>自然及人文环境状况</v>
      </c>
      <c r="AA25" s="1809">
        <f t="shared" si="3"/>
        <v>1</v>
      </c>
      <c r="AB25" s="1809">
        <f t="shared" si="4"/>
        <v>1</v>
      </c>
      <c r="AC25" s="1809">
        <f t="shared" si="5"/>
        <v>1</v>
      </c>
    </row>
    <row r="26" spans="1:29" ht="15">
      <c r="A26" s="403"/>
      <c r="B26" s="455"/>
      <c r="C26" s="446"/>
      <c r="D26" s="447"/>
      <c r="E26" s="2610"/>
      <c r="F26" s="447"/>
      <c r="G26" s="2610"/>
      <c r="H26" s="447"/>
      <c r="I26" s="446"/>
      <c r="J26" s="447"/>
      <c r="K26" s="671"/>
      <c r="L26" s="1140"/>
      <c r="M26" s="1131"/>
      <c r="N26" s="1131"/>
      <c r="O26" s="1139"/>
      <c r="P26" s="3252"/>
      <c r="Q26" s="1808"/>
      <c r="R26" s="773"/>
      <c r="S26" s="774"/>
      <c r="T26" s="773"/>
      <c r="U26" s="774"/>
      <c r="V26" s="773"/>
      <c r="W26" s="774"/>
      <c r="X26" s="1811"/>
      <c r="Y26" s="3252"/>
      <c r="Z26" s="1812"/>
      <c r="AA26" s="1809">
        <v>1</v>
      </c>
      <c r="AB26" s="1809">
        <v>1</v>
      </c>
      <c r="AC26" s="1809">
        <v>1</v>
      </c>
    </row>
    <row r="27" spans="1:29" s="116" customFormat="1" ht="71.25">
      <c r="A27" s="648"/>
      <c r="B27" s="1384" t="s">
        <v>2643</v>
      </c>
      <c r="C27" s="2606" t="str">
        <f>估价对象房地状况!C21</f>
        <v>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2"/>
      <c r="M27" s="1133"/>
      <c r="N27" s="1133"/>
      <c r="O27" s="1134"/>
      <c r="P27" s="3252"/>
      <c r="Q27" s="1793" t="str">
        <f t="shared" si="8"/>
        <v>公共配套设施</v>
      </c>
      <c r="R27" s="769" t="s">
        <v>17</v>
      </c>
      <c r="S27" s="770">
        <f>F27</f>
        <v>100</v>
      </c>
      <c r="T27" s="769" t="s">
        <v>17</v>
      </c>
      <c r="U27" s="770">
        <f>H27</f>
        <v>100</v>
      </c>
      <c r="V27" s="769" t="s">
        <v>17</v>
      </c>
      <c r="W27" s="770">
        <f>J27</f>
        <v>100</v>
      </c>
      <c r="X27" s="771"/>
      <c r="Y27" s="3252"/>
      <c r="Z27" s="54" t="str">
        <f>Q27</f>
        <v>公共配套设施</v>
      </c>
      <c r="AA27" s="1809">
        <f>D27/F27</f>
        <v>1</v>
      </c>
      <c r="AB27" s="1809">
        <f>D27/H27</f>
        <v>1</v>
      </c>
      <c r="AC27" s="1809">
        <f>D27/J27</f>
        <v>1</v>
      </c>
    </row>
    <row r="28" spans="1:29" s="116" customFormat="1" ht="15">
      <c r="A28" s="648"/>
      <c r="B28" s="455"/>
      <c r="C28" s="2699"/>
      <c r="D28" s="447"/>
      <c r="E28" s="2610"/>
      <c r="F28" s="447"/>
      <c r="G28" s="2610"/>
      <c r="H28" s="447"/>
      <c r="I28" s="446"/>
      <c r="J28" s="447"/>
      <c r="K28" s="671"/>
      <c r="L28" s="1132"/>
      <c r="M28" s="1133"/>
      <c r="N28" s="1133"/>
      <c r="O28" s="1134"/>
      <c r="P28" s="3252"/>
      <c r="Q28" s="1793"/>
      <c r="R28" s="769"/>
      <c r="S28" s="770"/>
      <c r="T28" s="769"/>
      <c r="U28" s="770"/>
      <c r="V28" s="769"/>
      <c r="W28" s="770"/>
      <c r="X28" s="771"/>
      <c r="Y28" s="3252"/>
      <c r="Z28" s="54"/>
      <c r="AA28" s="1809">
        <v>1</v>
      </c>
      <c r="AB28" s="1809">
        <v>1</v>
      </c>
      <c r="AC28" s="1809">
        <v>1</v>
      </c>
    </row>
    <row r="29" spans="1:29" s="116" customFormat="1" ht="15">
      <c r="A29" s="648"/>
      <c r="B29" s="1384" t="s">
        <v>2644</v>
      </c>
      <c r="C29" s="2606"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2"/>
      <c r="M29" s="1133"/>
      <c r="N29" s="1133"/>
      <c r="O29" s="1134"/>
      <c r="P29" s="3252"/>
      <c r="Q29" s="1793" t="str">
        <f t="shared" ref="Q29" si="9">B29</f>
        <v>基础设施水平</v>
      </c>
      <c r="R29" s="769" t="s">
        <v>17</v>
      </c>
      <c r="S29" s="770">
        <f>F29</f>
        <v>100</v>
      </c>
      <c r="T29" s="769" t="s">
        <v>17</v>
      </c>
      <c r="U29" s="770">
        <f>H29</f>
        <v>100</v>
      </c>
      <c r="V29" s="769" t="s">
        <v>17</v>
      </c>
      <c r="W29" s="770">
        <f>J29</f>
        <v>100</v>
      </c>
      <c r="X29" s="771"/>
      <c r="Y29" s="3252"/>
      <c r="Z29" s="54" t="str">
        <f>Q29</f>
        <v>基础设施水平</v>
      </c>
      <c r="AA29" s="1809">
        <f>D29/F29</f>
        <v>1</v>
      </c>
      <c r="AB29" s="1809">
        <f>D29/H29</f>
        <v>1</v>
      </c>
      <c r="AC29" s="1809">
        <f>D29/J29</f>
        <v>1</v>
      </c>
    </row>
    <row r="30" spans="1:29" s="116" customFormat="1" ht="15">
      <c r="A30" s="648"/>
      <c r="B30" s="455"/>
      <c r="C30" s="2699"/>
      <c r="D30" s="447"/>
      <c r="E30" s="2700"/>
      <c r="F30" s="447"/>
      <c r="G30" s="2700"/>
      <c r="H30" s="447"/>
      <c r="I30" s="2700"/>
      <c r="J30" s="447"/>
      <c r="K30" s="671"/>
      <c r="L30" s="1132"/>
      <c r="M30" s="1133"/>
      <c r="N30" s="1133"/>
      <c r="O30" s="1134"/>
      <c r="P30" s="3252"/>
      <c r="Q30" s="1793"/>
      <c r="R30" s="769"/>
      <c r="S30" s="770"/>
      <c r="T30" s="769"/>
      <c r="U30" s="770"/>
      <c r="V30" s="769"/>
      <c r="W30" s="770"/>
      <c r="X30" s="771"/>
      <c r="Y30" s="3252"/>
      <c r="Z30" s="54"/>
      <c r="AA30" s="1809">
        <v>1</v>
      </c>
      <c r="AB30" s="1809">
        <v>1</v>
      </c>
      <c r="AC30" s="1809">
        <v>1</v>
      </c>
    </row>
    <row r="31" spans="1:29" ht="15">
      <c r="A31" s="427"/>
      <c r="B31" s="455" t="s">
        <v>2645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0"/>
      <c r="M31" s="1131"/>
      <c r="N31" s="1131"/>
      <c r="O31" s="1139"/>
      <c r="P31" s="3252"/>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52"/>
      <c r="Z31" s="1812" t="str">
        <f t="shared" ref="Z31:Z45" si="13">Q31</f>
        <v>临街状况</v>
      </c>
      <c r="AA31" s="1809">
        <f t="shared" si="3"/>
        <v>1</v>
      </c>
      <c r="AB31" s="1809">
        <f t="shared" si="4"/>
        <v>1</v>
      </c>
      <c r="AC31" s="1809">
        <f t="shared" si="5"/>
        <v>1</v>
      </c>
    </row>
    <row r="32" spans="1:29" ht="27">
      <c r="A32" s="427"/>
      <c r="B32" s="1384" t="s">
        <v>2680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0"/>
      <c r="M32" s="1131"/>
      <c r="N32" s="1131"/>
      <c r="O32" s="1139"/>
      <c r="P32" s="3252"/>
      <c r="Q32" s="1808" t="str">
        <f t="shared" si="8"/>
        <v>毗邻道路的类型与等级</v>
      </c>
      <c r="R32" s="773" t="s">
        <v>17</v>
      </c>
      <c r="S32" s="774">
        <f t="shared" si="10"/>
        <v>100</v>
      </c>
      <c r="T32" s="773" t="s">
        <v>17</v>
      </c>
      <c r="U32" s="774">
        <f t="shared" si="11"/>
        <v>100</v>
      </c>
      <c r="V32" s="773" t="s">
        <v>17</v>
      </c>
      <c r="W32" s="774">
        <f t="shared" si="12"/>
        <v>100</v>
      </c>
      <c r="X32" s="1811"/>
      <c r="Y32" s="3252"/>
      <c r="Z32" s="1812" t="str">
        <f t="shared" si="13"/>
        <v>毗邻道路的类型与等级</v>
      </c>
      <c r="AA32" s="1809">
        <f t="shared" si="3"/>
        <v>1</v>
      </c>
      <c r="AB32" s="1809">
        <f t="shared" si="4"/>
        <v>1</v>
      </c>
      <c r="AC32" s="1809">
        <f t="shared" si="5"/>
        <v>1</v>
      </c>
    </row>
    <row r="33" spans="1:29" ht="15">
      <c r="A33" s="427"/>
      <c r="B33" s="455"/>
      <c r="C33" s="446"/>
      <c r="D33" s="447"/>
      <c r="E33" s="2610"/>
      <c r="F33" s="447"/>
      <c r="G33" s="2610"/>
      <c r="H33" s="447"/>
      <c r="I33" s="446"/>
      <c r="J33" s="447"/>
      <c r="K33" s="612"/>
      <c r="L33" s="1140"/>
      <c r="M33" s="1131"/>
      <c r="N33" s="1131"/>
      <c r="O33" s="1139"/>
      <c r="P33" s="3252"/>
      <c r="Q33" s="1808"/>
      <c r="R33" s="773"/>
      <c r="S33" s="774"/>
      <c r="T33" s="773"/>
      <c r="U33" s="774"/>
      <c r="V33" s="773"/>
      <c r="W33" s="774"/>
      <c r="X33" s="1811"/>
      <c r="Y33" s="3252"/>
      <c r="Z33" s="1812"/>
      <c r="AA33" s="1809">
        <v>1</v>
      </c>
      <c r="AB33" s="1809">
        <v>1</v>
      </c>
      <c r="AC33" s="1809">
        <v>1</v>
      </c>
    </row>
    <row r="34" spans="1:29" ht="15">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0"/>
      <c r="M34" s="1131"/>
      <c r="N34" s="1131"/>
      <c r="O34" s="1139"/>
      <c r="P34" s="3252"/>
      <c r="Q34" s="1808" t="str">
        <f t="shared" si="8"/>
        <v>土地级别</v>
      </c>
      <c r="R34" s="773" t="s">
        <v>17</v>
      </c>
      <c r="S34" s="774">
        <f t="shared" si="10"/>
        <v>100</v>
      </c>
      <c r="T34" s="773" t="s">
        <v>17</v>
      </c>
      <c r="U34" s="774">
        <f t="shared" si="11"/>
        <v>100</v>
      </c>
      <c r="V34" s="773" t="s">
        <v>17</v>
      </c>
      <c r="W34" s="774">
        <f t="shared" si="12"/>
        <v>100</v>
      </c>
      <c r="X34" s="1811"/>
      <c r="Y34" s="3252"/>
      <c r="Z34" s="1812" t="str">
        <f t="shared" si="13"/>
        <v>土地级别</v>
      </c>
      <c r="AA34" s="1809">
        <f t="shared" si="3"/>
        <v>1</v>
      </c>
      <c r="AB34" s="1809">
        <f t="shared" si="4"/>
        <v>1</v>
      </c>
      <c r="AC34" s="1809">
        <f t="shared" si="5"/>
        <v>1</v>
      </c>
    </row>
    <row r="35" spans="1:29" ht="15">
      <c r="A35" s="403"/>
      <c r="B35" s="1386">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0"/>
      <c r="M35" s="1131"/>
      <c r="N35" s="1131"/>
      <c r="O35" s="1139"/>
      <c r="P35" s="3252"/>
      <c r="Q35" s="1808">
        <f t="shared" si="8"/>
        <v>111</v>
      </c>
      <c r="R35" s="773" t="s">
        <v>17</v>
      </c>
      <c r="S35" s="774">
        <f t="shared" si="10"/>
        <v>100</v>
      </c>
      <c r="T35" s="773" t="s">
        <v>17</v>
      </c>
      <c r="U35" s="774">
        <f t="shared" si="11"/>
        <v>100</v>
      </c>
      <c r="V35" s="773" t="s">
        <v>17</v>
      </c>
      <c r="W35" s="774">
        <f t="shared" si="12"/>
        <v>100</v>
      </c>
      <c r="X35" s="1811"/>
      <c r="Y35" s="3252"/>
      <c r="Z35" s="1812">
        <f t="shared" si="13"/>
        <v>111</v>
      </c>
      <c r="AA35" s="1809">
        <f t="shared" si="3"/>
        <v>1</v>
      </c>
      <c r="AB35" s="1809">
        <f t="shared" si="4"/>
        <v>1</v>
      </c>
      <c r="AC35" s="1809">
        <f t="shared" si="5"/>
        <v>1</v>
      </c>
    </row>
    <row r="36" spans="1:29" ht="15">
      <c r="A36" s="674"/>
      <c r="B36" s="1387">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0"/>
      <c r="M36" s="1131"/>
      <c r="N36" s="1131"/>
      <c r="O36" s="1139"/>
      <c r="P36" s="3276" t="s">
        <v>2554</v>
      </c>
      <c r="Q36" s="1808">
        <f t="shared" si="8"/>
        <v>111</v>
      </c>
      <c r="R36" s="773" t="s">
        <v>17</v>
      </c>
      <c r="S36" s="774">
        <f t="shared" si="10"/>
        <v>100</v>
      </c>
      <c r="T36" s="773" t="s">
        <v>17</v>
      </c>
      <c r="U36" s="774">
        <f t="shared" si="11"/>
        <v>100</v>
      </c>
      <c r="V36" s="773" t="s">
        <v>17</v>
      </c>
      <c r="W36" s="774">
        <f t="shared" si="12"/>
        <v>100</v>
      </c>
      <c r="X36" s="1811"/>
      <c r="Y36" s="3256" t="s">
        <v>2554</v>
      </c>
      <c r="Z36" s="1812">
        <f t="shared" si="13"/>
        <v>111</v>
      </c>
      <c r="AA36" s="1809">
        <f t="shared" si="3"/>
        <v>1</v>
      </c>
      <c r="AB36" s="1809">
        <f t="shared" si="4"/>
        <v>1</v>
      </c>
      <c r="AC36" s="1809">
        <f t="shared" si="5"/>
        <v>1</v>
      </c>
    </row>
    <row r="37" spans="1:29" s="470" customFormat="1" ht="15.75" thickBot="1">
      <c r="A37" s="675"/>
      <c r="B37" s="1388">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8"/>
      <c r="M37" s="1141"/>
      <c r="N37" s="1141"/>
      <c r="O37" s="1142"/>
      <c r="P37" s="3256"/>
      <c r="Q37" s="1808">
        <f t="shared" si="8"/>
        <v>111</v>
      </c>
      <c r="R37" s="776" t="s">
        <v>17</v>
      </c>
      <c r="S37" s="777">
        <f t="shared" si="10"/>
        <v>100</v>
      </c>
      <c r="T37" s="776" t="s">
        <v>17</v>
      </c>
      <c r="U37" s="777">
        <f t="shared" si="11"/>
        <v>100</v>
      </c>
      <c r="V37" s="776" t="s">
        <v>17</v>
      </c>
      <c r="W37" s="777">
        <f t="shared" si="12"/>
        <v>100</v>
      </c>
      <c r="X37" s="778"/>
      <c r="Y37" s="3256"/>
      <c r="Z37" s="779">
        <f t="shared" si="13"/>
        <v>111</v>
      </c>
      <c r="AA37" s="1809">
        <f t="shared" si="3"/>
        <v>1</v>
      </c>
      <c r="AB37" s="1809">
        <f t="shared" si="4"/>
        <v>1</v>
      </c>
      <c r="AC37" s="1809">
        <f t="shared" si="5"/>
        <v>1</v>
      </c>
    </row>
    <row r="38" spans="1:29" ht="15">
      <c r="A38" s="471" t="s">
        <v>2552</v>
      </c>
      <c r="B38" s="455" t="s">
        <v>2740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0"/>
      <c r="M38" s="1131"/>
      <c r="N38" s="1131"/>
      <c r="O38" s="1139"/>
      <c r="P38" s="3256"/>
      <c r="Q38" s="1808" t="str">
        <f>B38</f>
        <v>宗地面积</v>
      </c>
      <c r="R38" s="773" t="s">
        <v>17</v>
      </c>
      <c r="S38" s="774" t="e">
        <f t="shared" si="10"/>
        <v>#N/A</v>
      </c>
      <c r="T38" s="773" t="s">
        <v>17</v>
      </c>
      <c r="U38" s="774" t="e">
        <f t="shared" si="11"/>
        <v>#N/A</v>
      </c>
      <c r="V38" s="773" t="s">
        <v>17</v>
      </c>
      <c r="W38" s="774" t="e">
        <f t="shared" si="12"/>
        <v>#N/A</v>
      </c>
      <c r="X38" s="1811"/>
      <c r="Y38" s="3256"/>
      <c r="Z38" s="1812" t="str">
        <f t="shared" si="13"/>
        <v>宗地面积</v>
      </c>
      <c r="AA38" s="1809" t="e">
        <f t="shared" si="3"/>
        <v>#N/A</v>
      </c>
      <c r="AB38" s="1809" t="e">
        <f t="shared" si="4"/>
        <v>#N/A</v>
      </c>
      <c r="AC38" s="1809" t="e">
        <f t="shared" si="5"/>
        <v>#N/A</v>
      </c>
    </row>
    <row r="39" spans="1:29" ht="15">
      <c r="A39" s="471"/>
      <c r="B39" s="421" t="s">
        <v>2741</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0"/>
      <c r="M39" s="1131"/>
      <c r="N39" s="1131"/>
      <c r="O39" s="1139"/>
      <c r="P39" s="3256"/>
      <c r="Q39" s="1808" t="str">
        <f t="shared" ref="Q39:Q45" si="14">B39</f>
        <v>宗地形状</v>
      </c>
      <c r="R39" s="773" t="s">
        <v>17</v>
      </c>
      <c r="S39" s="774">
        <f t="shared" si="10"/>
        <v>100</v>
      </c>
      <c r="T39" s="773" t="s">
        <v>17</v>
      </c>
      <c r="U39" s="774">
        <f t="shared" si="11"/>
        <v>100</v>
      </c>
      <c r="V39" s="773" t="s">
        <v>17</v>
      </c>
      <c r="W39" s="774">
        <f t="shared" si="12"/>
        <v>100</v>
      </c>
      <c r="X39" s="1811"/>
      <c r="Y39" s="3256"/>
      <c r="Z39" s="1812" t="str">
        <f t="shared" si="13"/>
        <v>宗地形状</v>
      </c>
      <c r="AA39" s="1809">
        <f t="shared" si="3"/>
        <v>1</v>
      </c>
      <c r="AB39" s="1809">
        <f t="shared" si="4"/>
        <v>1</v>
      </c>
      <c r="AC39" s="1809">
        <f t="shared" si="5"/>
        <v>1</v>
      </c>
    </row>
    <row r="40" spans="1:29" ht="15">
      <c r="A40" s="471"/>
      <c r="B40" s="421" t="s">
        <v>2742</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0"/>
      <c r="M40" s="1131"/>
      <c r="N40" s="1131"/>
      <c r="O40" s="1139"/>
      <c r="P40" s="3256"/>
      <c r="Q40" s="1808" t="str">
        <f t="shared" si="14"/>
        <v>临街宽度及深度</v>
      </c>
      <c r="R40" s="773" t="s">
        <v>17</v>
      </c>
      <c r="S40" s="774">
        <f t="shared" si="10"/>
        <v>100</v>
      </c>
      <c r="T40" s="773" t="s">
        <v>17</v>
      </c>
      <c r="U40" s="774">
        <f t="shared" si="11"/>
        <v>100</v>
      </c>
      <c r="V40" s="773" t="s">
        <v>17</v>
      </c>
      <c r="W40" s="774">
        <f t="shared" si="12"/>
        <v>100</v>
      </c>
      <c r="X40" s="1811"/>
      <c r="Y40" s="3256"/>
      <c r="Z40" s="1812" t="str">
        <f t="shared" si="13"/>
        <v>临街宽度及深度</v>
      </c>
      <c r="AA40" s="1809">
        <f t="shared" si="3"/>
        <v>1</v>
      </c>
      <c r="AB40" s="1809">
        <f t="shared" si="4"/>
        <v>1</v>
      </c>
      <c r="AC40" s="1809">
        <f t="shared" si="5"/>
        <v>1</v>
      </c>
    </row>
    <row r="41" spans="1:29" s="116" customFormat="1" ht="15">
      <c r="A41" s="472"/>
      <c r="B41" s="421" t="s">
        <v>2743</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2"/>
      <c r="M41" s="1133"/>
      <c r="N41" s="1133"/>
      <c r="O41" s="1134"/>
      <c r="P41" s="3256"/>
      <c r="Q41" s="1808" t="str">
        <f t="shared" si="14"/>
        <v>宗地开发程度</v>
      </c>
      <c r="R41" s="769" t="s">
        <v>17</v>
      </c>
      <c r="S41" s="770">
        <f t="shared" si="10"/>
        <v>100</v>
      </c>
      <c r="T41" s="769" t="s">
        <v>17</v>
      </c>
      <c r="U41" s="770">
        <f t="shared" si="11"/>
        <v>100</v>
      </c>
      <c r="V41" s="769" t="s">
        <v>17</v>
      </c>
      <c r="W41" s="770">
        <f t="shared" si="12"/>
        <v>100</v>
      </c>
      <c r="X41" s="771"/>
      <c r="Y41" s="3256"/>
      <c r="Z41" s="54" t="str">
        <f t="shared" si="13"/>
        <v>宗地开发程度</v>
      </c>
      <c r="AA41" s="772">
        <f t="shared" si="3"/>
        <v>1</v>
      </c>
      <c r="AB41" s="772">
        <f t="shared" si="4"/>
        <v>1</v>
      </c>
      <c r="AC41" s="772">
        <f t="shared" si="5"/>
        <v>1</v>
      </c>
    </row>
    <row r="42" spans="1:29" ht="15">
      <c r="A42" s="471"/>
      <c r="B42" s="421" t="s">
        <v>2744</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0"/>
      <c r="M42" s="1131"/>
      <c r="N42" s="1131"/>
      <c r="O42" s="1139"/>
      <c r="P42" s="3256" t="s">
        <v>2554</v>
      </c>
      <c r="Q42" s="1808" t="str">
        <f t="shared" si="14"/>
        <v>工程地质条件</v>
      </c>
      <c r="R42" s="773" t="s">
        <v>17</v>
      </c>
      <c r="S42" s="774">
        <f t="shared" si="10"/>
        <v>100</v>
      </c>
      <c r="T42" s="773" t="s">
        <v>17</v>
      </c>
      <c r="U42" s="774">
        <f t="shared" si="11"/>
        <v>100</v>
      </c>
      <c r="V42" s="773" t="s">
        <v>17</v>
      </c>
      <c r="W42" s="774">
        <f t="shared" si="12"/>
        <v>100</v>
      </c>
      <c r="X42" s="1811"/>
      <c r="Y42" s="3256" t="s">
        <v>2554</v>
      </c>
      <c r="Z42" s="1812" t="str">
        <f t="shared" si="13"/>
        <v>工程地质条件</v>
      </c>
      <c r="AA42" s="1809">
        <f t="shared" si="3"/>
        <v>1</v>
      </c>
      <c r="AB42" s="1809">
        <f t="shared" si="4"/>
        <v>1</v>
      </c>
      <c r="AC42" s="1809">
        <f t="shared" si="5"/>
        <v>1</v>
      </c>
    </row>
    <row r="43" spans="1:29" ht="15">
      <c r="A43" s="471"/>
      <c r="B43" s="1387">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0"/>
      <c r="M43" s="1131"/>
      <c r="N43" s="1131"/>
      <c r="O43" s="1139"/>
      <c r="P43" s="3256"/>
      <c r="Q43" s="1808">
        <f t="shared" si="14"/>
        <v>111</v>
      </c>
      <c r="R43" s="773" t="s">
        <v>17</v>
      </c>
      <c r="S43" s="774">
        <f t="shared" si="10"/>
        <v>100</v>
      </c>
      <c r="T43" s="773" t="s">
        <v>17</v>
      </c>
      <c r="U43" s="774">
        <f t="shared" si="11"/>
        <v>100</v>
      </c>
      <c r="V43" s="773" t="s">
        <v>17</v>
      </c>
      <c r="W43" s="774">
        <f t="shared" si="12"/>
        <v>100</v>
      </c>
      <c r="X43" s="1811"/>
      <c r="Y43" s="3256"/>
      <c r="Z43" s="1812">
        <f t="shared" si="13"/>
        <v>111</v>
      </c>
      <c r="AA43" s="1809">
        <f t="shared" si="3"/>
        <v>1</v>
      </c>
      <c r="AB43" s="1809">
        <f t="shared" si="4"/>
        <v>1</v>
      </c>
      <c r="AC43" s="1809">
        <f t="shared" si="5"/>
        <v>1</v>
      </c>
    </row>
    <row r="44" spans="1:29" ht="15">
      <c r="A44" s="471"/>
      <c r="B44" s="1387">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0"/>
      <c r="M44" s="1131"/>
      <c r="N44" s="1131"/>
      <c r="O44" s="1139"/>
      <c r="P44" s="3256"/>
      <c r="Q44" s="1808">
        <f t="shared" si="14"/>
        <v>111</v>
      </c>
      <c r="R44" s="773" t="s">
        <v>17</v>
      </c>
      <c r="S44" s="774">
        <f t="shared" si="10"/>
        <v>100</v>
      </c>
      <c r="T44" s="773" t="s">
        <v>17</v>
      </c>
      <c r="U44" s="774">
        <f t="shared" si="11"/>
        <v>100</v>
      </c>
      <c r="V44" s="773" t="s">
        <v>17</v>
      </c>
      <c r="W44" s="774">
        <f t="shared" si="12"/>
        <v>100</v>
      </c>
      <c r="X44" s="1811"/>
      <c r="Y44" s="3256"/>
      <c r="Z44" s="1812">
        <f t="shared" si="13"/>
        <v>111</v>
      </c>
      <c r="AA44" s="1809">
        <f t="shared" si="3"/>
        <v>1</v>
      </c>
      <c r="AB44" s="1809">
        <f t="shared" si="4"/>
        <v>1</v>
      </c>
      <c r="AC44" s="1809">
        <f t="shared" si="5"/>
        <v>1</v>
      </c>
    </row>
    <row r="45" spans="1:29" s="470" customFormat="1" ht="15.75" thickBot="1">
      <c r="A45" s="467"/>
      <c r="B45" s="1387">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8"/>
      <c r="M45" s="1141"/>
      <c r="N45" s="1141"/>
      <c r="O45" s="1142"/>
      <c r="P45" s="3256"/>
      <c r="Q45" s="1808">
        <f t="shared" si="14"/>
        <v>111</v>
      </c>
      <c r="R45" s="776" t="s">
        <v>17</v>
      </c>
      <c r="S45" s="777">
        <f t="shared" si="10"/>
        <v>100</v>
      </c>
      <c r="T45" s="776" t="s">
        <v>17</v>
      </c>
      <c r="U45" s="777">
        <f t="shared" si="11"/>
        <v>100</v>
      </c>
      <c r="V45" s="776" t="s">
        <v>17</v>
      </c>
      <c r="W45" s="777">
        <f t="shared" si="12"/>
        <v>100</v>
      </c>
      <c r="X45" s="778"/>
      <c r="Y45" s="3256"/>
      <c r="Z45" s="779">
        <f t="shared" si="13"/>
        <v>111</v>
      </c>
      <c r="AA45" s="1809">
        <f t="shared" si="3"/>
        <v>1</v>
      </c>
      <c r="AB45" s="1809">
        <f t="shared" si="4"/>
        <v>1</v>
      </c>
      <c r="AC45" s="1809">
        <f t="shared" si="5"/>
        <v>1</v>
      </c>
    </row>
    <row r="46" spans="1:29" ht="15">
      <c r="A46" s="478" t="s">
        <v>2709</v>
      </c>
      <c r="B46" s="2703" t="s">
        <v>2745</v>
      </c>
      <c r="C46" s="681" t="s">
        <v>1</v>
      </c>
      <c r="D46" s="480"/>
      <c r="E46" s="481"/>
      <c r="F46" s="482"/>
      <c r="G46" s="483"/>
      <c r="H46" s="484"/>
      <c r="I46" s="481"/>
      <c r="J46" s="484"/>
      <c r="K46" s="782"/>
      <c r="L46" s="1143"/>
      <c r="M46" s="1144"/>
      <c r="N46" s="1131"/>
      <c r="O46" s="1144"/>
      <c r="P46" s="3249" t="str">
        <f>A46</f>
        <v>成交单价</v>
      </c>
      <c r="Q46" s="3249"/>
      <c r="R46" s="3244">
        <f>E46</f>
        <v>0</v>
      </c>
      <c r="S46" s="3244"/>
      <c r="T46" s="3244">
        <f>G46</f>
        <v>0</v>
      </c>
      <c r="U46" s="3244"/>
      <c r="V46" s="3244">
        <f>I46</f>
        <v>0</v>
      </c>
      <c r="W46" s="3244"/>
      <c r="X46" s="758"/>
      <c r="Y46" s="780"/>
      <c r="Z46" s="758"/>
      <c r="AA46" s="758"/>
      <c r="AB46" s="758"/>
      <c r="AC46" s="758"/>
    </row>
    <row r="47" spans="1:29" ht="15.75" thickBot="1">
      <c r="A47" s="485" t="s">
        <v>2658</v>
      </c>
      <c r="B47" s="682"/>
      <c r="C47" s="489" t="e">
        <f>R48</f>
        <v>#DIV/0!</v>
      </c>
      <c r="D47" s="488"/>
      <c r="E47" s="489" t="e">
        <f>R47</f>
        <v>#DIV/0!</v>
      </c>
      <c r="F47" s="490"/>
      <c r="G47" s="487" t="e">
        <f>T47</f>
        <v>#DIV/0!</v>
      </c>
      <c r="H47" s="488"/>
      <c r="I47" s="489" t="e">
        <f>V47</f>
        <v>#DIV/0!</v>
      </c>
      <c r="J47" s="488"/>
      <c r="K47" s="783"/>
      <c r="L47" s="1143"/>
      <c r="M47" s="1144"/>
      <c r="N47" s="1144"/>
      <c r="O47" s="1144"/>
      <c r="P47" s="3249" t="str">
        <f>A47</f>
        <v>比较价值（元/平方米）</v>
      </c>
      <c r="Q47" s="3249"/>
      <c r="R47" s="3277" t="e">
        <f>ROUND(PRODUCT(R46,AA7:AA45),0)</f>
        <v>#DIV/0!</v>
      </c>
      <c r="S47" s="3277"/>
      <c r="T47" s="3277" t="e">
        <f>ROUND(PRODUCT(T46,AB7:AB45),0)</f>
        <v>#DIV/0!</v>
      </c>
      <c r="U47" s="3277"/>
      <c r="V47" s="3277" t="e">
        <f>ROUND(PRODUCT(V46,AC7:AC45),0)</f>
        <v>#DIV/0!</v>
      </c>
      <c r="W47" s="3277"/>
      <c r="X47" s="758"/>
      <c r="Y47" s="758"/>
      <c r="Z47" s="758"/>
      <c r="AA47" s="758"/>
      <c r="AB47" s="758"/>
      <c r="AC47" s="758"/>
    </row>
    <row r="48" spans="1:29" ht="15.75" thickBot="1">
      <c r="A48" s="491" t="s">
        <v>2746</v>
      </c>
      <c r="B48" s="492"/>
      <c r="C48" s="493" t="e">
        <f>R48</f>
        <v>#DIV/0!</v>
      </c>
      <c r="D48" s="493"/>
      <c r="E48" s="493"/>
      <c r="F48" s="493"/>
      <c r="G48" s="493"/>
      <c r="H48" s="493"/>
      <c r="I48" s="493"/>
      <c r="J48" s="493"/>
      <c r="K48" s="784"/>
      <c r="L48" s="1143"/>
      <c r="M48" s="1144"/>
      <c r="N48" s="1144"/>
      <c r="O48" s="1144"/>
      <c r="P48" s="3246" t="str">
        <f>A48</f>
        <v>估价对象XX用房的比较价值（楼面单价，元/平方米）</v>
      </c>
      <c r="Q48" s="3247"/>
      <c r="R48" s="3278" t="e">
        <f>ROUND(AVERAGE(R47:V47),0)</f>
        <v>#DIV/0!</v>
      </c>
      <c r="S48" s="3278"/>
      <c r="T48" s="3278"/>
      <c r="U48" s="3278"/>
      <c r="V48" s="3278"/>
      <c r="W48" s="3278"/>
      <c r="X48" s="758"/>
      <c r="Y48" s="758"/>
      <c r="Z48" s="758"/>
      <c r="AA48" s="758"/>
      <c r="AB48" s="758"/>
      <c r="AC48" s="758"/>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2660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5"/>
      <c r="L51" s="1106"/>
      <c r="M51" s="1144"/>
      <c r="N51" s="1144"/>
      <c r="O51" s="1144"/>
    </row>
    <row r="52" spans="1:15" ht="13.5" customHeight="1">
      <c r="A52" s="1144"/>
      <c r="B52" s="1144"/>
      <c r="C52" s="496" t="s">
        <v>2661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5"/>
      <c r="L52" s="1106"/>
      <c r="M52" s="1144"/>
      <c r="N52" s="1144"/>
      <c r="O52" s="1144"/>
    </row>
    <row r="53" spans="1:15" s="501" customFormat="1" ht="13.5" customHeight="1">
      <c r="A53" s="1145"/>
      <c r="B53" s="1145"/>
      <c r="C53" s="496" t="s">
        <v>2662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8"/>
      <c r="L53" s="1149"/>
      <c r="M53" s="1145"/>
      <c r="N53" s="1145"/>
      <c r="O53" s="1145"/>
    </row>
    <row r="54" spans="1:15" s="501" customFormat="1" ht="15" thickBot="1">
      <c r="A54" s="1145"/>
      <c r="B54" s="1146"/>
      <c r="C54" s="761"/>
      <c r="D54" s="759"/>
      <c r="E54" s="759"/>
      <c r="F54" s="759"/>
      <c r="G54" s="759"/>
      <c r="H54" s="759"/>
      <c r="I54" s="759"/>
      <c r="J54" s="759"/>
      <c r="K54" s="1148"/>
      <c r="L54" s="1149"/>
      <c r="M54" s="1145"/>
      <c r="N54" s="1145"/>
      <c r="O54" s="1145"/>
    </row>
    <row r="55" spans="1:15" ht="27" customHeight="1">
      <c r="A55" s="683" t="s">
        <v>2747</v>
      </c>
      <c r="B55" s="684" t="s">
        <v>2748</v>
      </c>
      <c r="C55" s="2704" t="s">
        <v>2749</v>
      </c>
      <c r="D55" s="2705" t="s">
        <v>2750</v>
      </c>
      <c r="E55" s="685" t="s">
        <v>2751</v>
      </c>
      <c r="F55" s="1107" t="s">
        <v>2752</v>
      </c>
      <c r="G55" s="3232" t="s">
        <v>2753</v>
      </c>
      <c r="H55" s="3279"/>
      <c r="I55" s="143" t="s">
        <v>2754</v>
      </c>
      <c r="J55" s="2706">
        <f>项目基本情况!F35</f>
        <v>0</v>
      </c>
      <c r="K55" s="2707" t="s">
        <v>2755</v>
      </c>
      <c r="L55" s="1106"/>
      <c r="M55" s="1144"/>
      <c r="N55" s="1144"/>
      <c r="O55" s="1144"/>
    </row>
    <row r="56" spans="1:15" s="691" customFormat="1">
      <c r="A56" s="687" t="s">
        <v>2756</v>
      </c>
      <c r="B56" s="688" t="e">
        <f>C48</f>
        <v>#DIV/0!</v>
      </c>
      <c r="C56" s="689">
        <v>1</v>
      </c>
      <c r="D56" s="1163">
        <v>1</v>
      </c>
      <c r="E56" s="689">
        <f>'数据-汇总表'!E8+'数据-汇总表'!E9</f>
        <v>8276.64</v>
      </c>
      <c r="F56" s="1103" t="e">
        <f t="shared" ref="F56:F65" si="15">ROUND(B56*E56/10000,0)</f>
        <v>#DIV/0!</v>
      </c>
      <c r="G56" s="3231"/>
      <c r="H56" s="3249"/>
      <c r="I56" s="1108">
        <v>1</v>
      </c>
      <c r="J56" s="1111">
        <v>1</v>
      </c>
      <c r="K56" s="1145"/>
      <c r="L56" s="943"/>
      <c r="M56" s="943"/>
      <c r="N56" s="943"/>
      <c r="O56" s="943"/>
    </row>
    <row r="57" spans="1:15" s="691" customFormat="1">
      <c r="A57" s="692" t="s">
        <v>2757</v>
      </c>
      <c r="B57" s="261" t="e">
        <f>ROUND($C$48*C57*D57,0)</f>
        <v>#DIV/0!</v>
      </c>
      <c r="C57" s="199">
        <f t="shared" ref="C57:C65" si="16">IF($C$55="北京市系数",I57,J57)</f>
        <v>0</v>
      </c>
      <c r="D57" s="1164">
        <v>0.25</v>
      </c>
      <c r="E57" s="693"/>
      <c r="F57" s="1103" t="e">
        <f t="shared" si="15"/>
        <v>#DIV/0!</v>
      </c>
      <c r="G57" s="3280" t="s">
        <v>2758</v>
      </c>
      <c r="H57" s="1104">
        <f>项目基本情况!B37</f>
        <v>0</v>
      </c>
      <c r="I57" s="1108">
        <f>SUMIF(修正!A45:A56,H57,修正!B45:B56)</f>
        <v>0</v>
      </c>
      <c r="J57" s="1112"/>
      <c r="K57" s="1144"/>
      <c r="L57" s="943"/>
      <c r="M57" s="943"/>
      <c r="N57" s="943"/>
      <c r="O57" s="943"/>
    </row>
    <row r="58" spans="1:15" s="691" customFormat="1">
      <c r="A58" s="692" t="s">
        <v>2759</v>
      </c>
      <c r="B58" s="261" t="e">
        <f t="shared" ref="B58:B65" si="17">ROUND($C$48*C58*D58,0)</f>
        <v>#DIV/0!</v>
      </c>
      <c r="C58" s="199">
        <f t="shared" si="16"/>
        <v>0</v>
      </c>
      <c r="D58" s="1164">
        <v>0.25</v>
      </c>
      <c r="E58" s="693"/>
      <c r="F58" s="1103" t="e">
        <f t="shared" si="15"/>
        <v>#DIV/0!</v>
      </c>
      <c r="G58" s="3280"/>
      <c r="H58" s="1104">
        <f>项目基本情况!B37</f>
        <v>0</v>
      </c>
      <c r="I58" s="1108">
        <f>SUMIF(修正!A45:A56,H58,修正!C45:C56)</f>
        <v>0</v>
      </c>
      <c r="J58" s="1112"/>
      <c r="K58" s="1145"/>
      <c r="L58" s="943"/>
      <c r="M58" s="943"/>
      <c r="N58" s="943"/>
      <c r="O58" s="943"/>
    </row>
    <row r="59" spans="1:15" s="691" customFormat="1">
      <c r="A59" s="692" t="s">
        <v>2760</v>
      </c>
      <c r="B59" s="261" t="e">
        <f t="shared" si="17"/>
        <v>#DIV/0!</v>
      </c>
      <c r="C59" s="199">
        <f t="shared" si="16"/>
        <v>0</v>
      </c>
      <c r="D59" s="1164">
        <v>0.25</v>
      </c>
      <c r="E59" s="693"/>
      <c r="F59" s="1103" t="e">
        <f t="shared" si="15"/>
        <v>#DIV/0!</v>
      </c>
      <c r="G59" s="3280"/>
      <c r="H59" s="1104">
        <f>项目基本情况!B37</f>
        <v>0</v>
      </c>
      <c r="I59" s="1108">
        <f>SUMIF(修正!A45:A56,H59,修正!D45:D56)</f>
        <v>0</v>
      </c>
      <c r="J59" s="1112"/>
      <c r="K59" s="1144"/>
      <c r="L59" s="943"/>
      <c r="M59" s="943"/>
      <c r="N59" s="943"/>
      <c r="O59" s="943"/>
    </row>
    <row r="60" spans="1:15" s="691" customFormat="1">
      <c r="A60" s="692" t="s">
        <v>2761</v>
      </c>
      <c r="B60" s="261" t="e">
        <f t="shared" si="17"/>
        <v>#DIV/0!</v>
      </c>
      <c r="C60" s="199">
        <f t="shared" si="16"/>
        <v>0</v>
      </c>
      <c r="D60" s="1164">
        <v>0.25</v>
      </c>
      <c r="E60" s="693"/>
      <c r="F60" s="1103" t="e">
        <f t="shared" si="15"/>
        <v>#DIV/0!</v>
      </c>
      <c r="G60" s="3280"/>
      <c r="H60" s="1104">
        <f>项目基本情况!B37</f>
        <v>0</v>
      </c>
      <c r="I60" s="1108">
        <f>SUMIF(修正!A45:A56,H60,修正!E45:E56)</f>
        <v>0</v>
      </c>
      <c r="J60" s="1112"/>
      <c r="K60" s="1145"/>
      <c r="L60" s="943"/>
      <c r="M60" s="943"/>
      <c r="N60" s="943"/>
      <c r="O60" s="943"/>
    </row>
    <row r="61" spans="1:15" s="691" customFormat="1">
      <c r="A61" s="692" t="s">
        <v>2762</v>
      </c>
      <c r="B61" s="261" t="e">
        <f t="shared" si="17"/>
        <v>#DIV/0!</v>
      </c>
      <c r="C61" s="199">
        <f t="shared" si="16"/>
        <v>0.3</v>
      </c>
      <c r="D61" s="1164">
        <v>0.25</v>
      </c>
      <c r="E61" s="260">
        <f>'数据-汇总表'!E11</f>
        <v>0</v>
      </c>
      <c r="F61" s="1103" t="e">
        <f t="shared" si="15"/>
        <v>#DIV/0!</v>
      </c>
      <c r="G61" s="2708" t="s">
        <v>2763</v>
      </c>
      <c r="H61" s="1104" t="str">
        <f>项目基本情况!C37</f>
        <v>二级</v>
      </c>
      <c r="I61" s="1108">
        <f>SUMIF(修正!A45:A56,H61,修正!F45:F56)</f>
        <v>0.3</v>
      </c>
      <c r="J61" s="1112"/>
      <c r="K61" s="1144"/>
      <c r="L61" s="943"/>
      <c r="M61" s="943"/>
      <c r="N61" s="943"/>
      <c r="O61" s="943"/>
    </row>
    <row r="62" spans="1:15" s="691" customFormat="1">
      <c r="A62" s="692" t="s">
        <v>2764</v>
      </c>
      <c r="B62" s="261" t="e">
        <f t="shared" si="17"/>
        <v>#DIV/0!</v>
      </c>
      <c r="C62" s="199">
        <f t="shared" si="16"/>
        <v>0.3</v>
      </c>
      <c r="D62" s="1164">
        <v>0.25</v>
      </c>
      <c r="E62" s="260">
        <f>'数据-汇总表'!E12</f>
        <v>0</v>
      </c>
      <c r="F62" s="1103" t="e">
        <f t="shared" si="15"/>
        <v>#DIV/0!</v>
      </c>
      <c r="G62" s="1109" t="s">
        <v>2765</v>
      </c>
      <c r="H62" s="1104" t="str">
        <f>IF(G62="商业",项目基本情况!B37,IF(G62="办公",项目基本情况!C37,IF(G62="住宅",项目基本情况!D37,项目基本情况!E37)))</f>
        <v>二级</v>
      </c>
      <c r="I62" s="1108">
        <f>SUMIF(修正!A45:A56,H62,修正!G45:G56)</f>
        <v>0.3</v>
      </c>
      <c r="J62" s="1112"/>
      <c r="K62" s="1145"/>
      <c r="L62" s="943"/>
      <c r="M62" s="943"/>
      <c r="N62" s="943"/>
      <c r="O62" s="943"/>
    </row>
    <row r="63" spans="1:15" s="691" customFormat="1">
      <c r="A63" s="692" t="s">
        <v>2766</v>
      </c>
      <c r="B63" s="261" t="e">
        <f t="shared" si="17"/>
        <v>#DIV/0!</v>
      </c>
      <c r="C63" s="199">
        <f t="shared" si="16"/>
        <v>0</v>
      </c>
      <c r="D63" s="1164">
        <v>0.25</v>
      </c>
      <c r="E63" s="260">
        <f>'数据-汇总表'!E13</f>
        <v>0</v>
      </c>
      <c r="F63" s="1103" t="e">
        <f t="shared" si="15"/>
        <v>#DIV/0!</v>
      </c>
      <c r="G63" s="1109" t="s">
        <v>2767</v>
      </c>
      <c r="H63" s="1104">
        <f>IF(G63="商业",项目基本情况!B37,IF(G63="办公",项目基本情况!C37,IF(G63="住宅",项目基本情况!D37,项目基本情况!E37)))</f>
        <v>0</v>
      </c>
      <c r="I63" s="1108">
        <f>SUMIF(修正!A45:A56,H63,修正!H45:H56)</f>
        <v>0</v>
      </c>
      <c r="J63" s="1112"/>
      <c r="K63" s="1144"/>
      <c r="L63" s="943"/>
      <c r="M63" s="943"/>
      <c r="N63" s="943"/>
      <c r="O63" s="943"/>
    </row>
    <row r="64" spans="1:15" s="691" customFormat="1">
      <c r="A64" s="692" t="s">
        <v>2768</v>
      </c>
      <c r="B64" s="261" t="e">
        <f t="shared" si="17"/>
        <v>#DIV/0!</v>
      </c>
      <c r="C64" s="199">
        <f t="shared" si="16"/>
        <v>0</v>
      </c>
      <c r="D64" s="1164">
        <v>0.25</v>
      </c>
      <c r="E64" s="260">
        <f>'数据-汇总表'!E14</f>
        <v>0</v>
      </c>
      <c r="F64" s="1103" t="e">
        <f t="shared" si="15"/>
        <v>#DIV/0!</v>
      </c>
      <c r="G64" s="2708" t="s">
        <v>2758</v>
      </c>
      <c r="H64" s="1104">
        <f>项目基本情况!B37</f>
        <v>0</v>
      </c>
      <c r="I64" s="1108">
        <f>SUMIF(修正!A45:A56,H64,修正!H45:H56)</f>
        <v>0</v>
      </c>
      <c r="J64" s="1112"/>
      <c r="K64" s="1145"/>
      <c r="L64" s="943"/>
      <c r="M64" s="943"/>
      <c r="N64" s="943"/>
      <c r="O64" s="943"/>
    </row>
    <row r="65" spans="1:17" s="691" customFormat="1" ht="15" thickBot="1">
      <c r="A65" s="692" t="s">
        <v>2769</v>
      </c>
      <c r="B65" s="261" t="e">
        <f t="shared" si="17"/>
        <v>#DIV/0!</v>
      </c>
      <c r="C65" s="199">
        <f t="shared" si="16"/>
        <v>0.25</v>
      </c>
      <c r="D65" s="1164">
        <v>0.25</v>
      </c>
      <c r="E65" s="260">
        <f>'数据-汇总表'!E15</f>
        <v>0</v>
      </c>
      <c r="F65" s="1103" t="e">
        <f t="shared" si="15"/>
        <v>#DIV/0!</v>
      </c>
      <c r="G65" s="2709" t="s">
        <v>2763</v>
      </c>
      <c r="H65" s="1114" t="str">
        <f>项目基本情况!C37</f>
        <v>二级</v>
      </c>
      <c r="I65" s="1110">
        <f>SUMIF(修正!A45:A56,H65,修正!H45:H56)</f>
        <v>0.25</v>
      </c>
      <c r="J65" s="1113"/>
      <c r="K65" s="1144"/>
      <c r="L65" s="943"/>
      <c r="M65" s="943"/>
      <c r="N65" s="943"/>
      <c r="O65" s="943"/>
    </row>
    <row r="66" spans="1:17" s="691" customFormat="1" ht="13.5" thickBot="1">
      <c r="A66" s="694" t="s">
        <v>2770</v>
      </c>
      <c r="B66" s="695" t="s">
        <v>28</v>
      </c>
      <c r="C66" s="695" t="s">
        <v>29</v>
      </c>
      <c r="D66" s="695" t="s">
        <v>1029</v>
      </c>
      <c r="E66" s="695">
        <f>IF(B46="楼面地价",SUM(E56:E65),'数据-汇总表'!D3)</f>
        <v>8276.64</v>
      </c>
      <c r="F66" s="696" t="e">
        <f>IF(B46="楼面地价",SUM(F56:F65),ROUND(C48*E66/10000,0))</f>
        <v>#DIV/0!</v>
      </c>
      <c r="G66" s="786"/>
      <c r="H66" s="786"/>
      <c r="I66" s="786"/>
      <c r="J66" s="786"/>
      <c r="K66" s="1158"/>
      <c r="L66" s="943"/>
      <c r="M66" s="943"/>
      <c r="N66" s="943"/>
      <c r="O66" s="943"/>
    </row>
    <row r="67" spans="1:17">
      <c r="A67" s="758"/>
      <c r="B67" s="760"/>
      <c r="C67" s="761"/>
      <c r="D67" s="758"/>
      <c r="E67" s="758"/>
      <c r="F67" s="758"/>
      <c r="G67" s="758"/>
      <c r="H67" s="758"/>
      <c r="I67" s="758"/>
      <c r="J67" s="1144"/>
      <c r="K67" s="1105"/>
      <c r="L67" s="1106"/>
      <c r="M67" s="1144"/>
      <c r="N67" s="1144"/>
      <c r="O67" s="1144"/>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2663</v>
      </c>
      <c r="B69" s="758"/>
      <c r="C69" s="763"/>
      <c r="D69" s="763"/>
      <c r="E69" s="763"/>
      <c r="F69" s="764"/>
      <c r="G69" s="764"/>
      <c r="H69" s="763"/>
      <c r="I69" s="763"/>
      <c r="J69" s="1159"/>
      <c r="K69" s="1160"/>
      <c r="L69" s="1161"/>
      <c r="M69" s="1159"/>
      <c r="N69" s="1159"/>
      <c r="O69" s="1159"/>
      <c r="P69" s="502"/>
      <c r="Q69" s="503"/>
    </row>
    <row r="70" spans="1:17" s="507" customFormat="1" ht="15">
      <c r="A70" s="2710" t="s">
        <v>2771</v>
      </c>
      <c r="B70" s="1359"/>
      <c r="C70" s="1570" t="str">
        <f>YEAR(C68)&amp;"-"&amp;ROUNDUP(MONTH(C68)/3,0)</f>
        <v>2018-4</v>
      </c>
      <c r="D70" s="1570" t="str">
        <f>YEAR(D68)&amp;"-"&amp;ROUNDUP(MONTH(D68)/3,0)</f>
        <v>2018-3</v>
      </c>
      <c r="E70" s="1570" t="str">
        <f t="shared" ref="E70:O70" si="19">YEAR(E68)&amp;"-"&amp;ROUNDUP(MONTH(E68)/3,0)</f>
        <v>2018-2</v>
      </c>
      <c r="F70" s="1570" t="str">
        <f t="shared" si="19"/>
        <v>2018-1</v>
      </c>
      <c r="G70" s="1570" t="str">
        <f t="shared" si="19"/>
        <v>2017-4</v>
      </c>
      <c r="H70" s="1570" t="str">
        <f t="shared" si="19"/>
        <v>2017-3</v>
      </c>
      <c r="I70" s="1570" t="str">
        <f t="shared" si="19"/>
        <v>2017-2</v>
      </c>
      <c r="J70" s="1570" t="str">
        <f t="shared" si="19"/>
        <v>2017-1</v>
      </c>
      <c r="K70" s="1570" t="str">
        <f t="shared" si="19"/>
        <v>2016-4</v>
      </c>
      <c r="L70" s="1570" t="str">
        <f t="shared" si="19"/>
        <v>2016-3</v>
      </c>
      <c r="M70" s="1570" t="str">
        <f t="shared" si="19"/>
        <v>2016-2</v>
      </c>
      <c r="N70" s="1570" t="str">
        <f t="shared" si="19"/>
        <v>2016-1</v>
      </c>
      <c r="O70" s="1570" t="str">
        <f t="shared" si="19"/>
        <v>2015-4</v>
      </c>
      <c r="P70" s="506"/>
    </row>
    <row r="71" spans="1:17" s="116" customFormat="1" ht="30" customHeight="1">
      <c r="A71" s="2711" t="s">
        <v>2772</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5"/>
      <c r="N71" s="594"/>
      <c r="O71" s="1566"/>
      <c r="P71" s="503"/>
    </row>
    <row r="72" spans="1:17" s="116" customFormat="1" ht="15.75" thickBot="1">
      <c r="A72" s="514" t="s">
        <v>2574</v>
      </c>
      <c r="B72" s="515"/>
      <c r="C72" s="516"/>
      <c r="D72" s="517"/>
      <c r="E72" s="517"/>
      <c r="F72" s="517"/>
      <c r="G72" s="517"/>
      <c r="H72" s="517"/>
      <c r="I72" s="517"/>
      <c r="J72" s="517"/>
      <c r="K72" s="517"/>
      <c r="L72" s="517"/>
      <c r="M72" s="518"/>
      <c r="N72" s="517"/>
      <c r="O72" s="1162"/>
      <c r="P72" s="503"/>
      <c r="Q72" s="503"/>
    </row>
    <row r="73" spans="1:17" s="116" customFormat="1" ht="15">
      <c r="A73" s="520" t="s">
        <v>2539</v>
      </c>
      <c r="B73" s="509"/>
      <c r="C73" s="521" t="s">
        <v>2641</v>
      </c>
      <c r="D73" s="522"/>
      <c r="E73" s="522"/>
      <c r="F73" s="522"/>
      <c r="G73" s="522"/>
      <c r="H73" s="522"/>
      <c r="I73" s="522"/>
      <c r="J73" s="522"/>
      <c r="K73" s="522"/>
      <c r="L73" s="523"/>
      <c r="M73" s="524"/>
      <c r="N73" s="1151"/>
      <c r="O73" s="1151"/>
      <c r="P73" s="525"/>
      <c r="Q73" s="503"/>
    </row>
    <row r="74" spans="1:17" s="116" customFormat="1" ht="15.75" thickBot="1">
      <c r="A74" s="520"/>
      <c r="B74" s="509"/>
      <c r="C74" s="638">
        <v>100</v>
      </c>
      <c r="D74" s="511"/>
      <c r="E74" s="511"/>
      <c r="F74" s="511"/>
      <c r="G74" s="511"/>
      <c r="H74" s="511"/>
      <c r="I74" s="511"/>
      <c r="J74" s="511"/>
      <c r="K74" s="511"/>
      <c r="L74" s="511"/>
      <c r="M74" s="513"/>
      <c r="N74" s="1151"/>
      <c r="O74" s="1151"/>
      <c r="P74" s="503"/>
      <c r="Q74" s="503"/>
    </row>
    <row r="75" spans="1:17">
      <c r="A75" s="526" t="s">
        <v>2577</v>
      </c>
      <c r="B75" s="527" t="s">
        <v>2543</v>
      </c>
      <c r="C75" s="529"/>
      <c r="D75" s="529"/>
      <c r="E75" s="529"/>
      <c r="F75" s="529"/>
      <c r="G75" s="529"/>
      <c r="H75" s="529"/>
      <c r="I75" s="529"/>
      <c r="J75" s="529"/>
      <c r="K75" s="530"/>
      <c r="L75" s="531"/>
      <c r="M75" s="532"/>
      <c r="N75" s="1152"/>
      <c r="O75" s="1152"/>
      <c r="P75" s="44"/>
      <c r="Q75" s="503"/>
    </row>
    <row r="76" spans="1:17" ht="15.75" thickBot="1">
      <c r="A76" s="533"/>
      <c r="B76" s="534"/>
      <c r="C76" s="535"/>
      <c r="D76" s="535"/>
      <c r="E76" s="535"/>
      <c r="F76" s="535"/>
      <c r="G76" s="535"/>
      <c r="H76" s="535"/>
      <c r="I76" s="535"/>
      <c r="J76" s="535"/>
      <c r="K76" s="535"/>
      <c r="L76" s="535"/>
      <c r="M76" s="536"/>
      <c r="N76" s="1153"/>
      <c r="O76" s="1153"/>
      <c r="P76" s="44"/>
      <c r="Q76" s="503"/>
    </row>
    <row r="77" spans="1:17" ht="27.75" thickTop="1">
      <c r="A77" s="533"/>
      <c r="B77" s="537" t="s">
        <v>2546</v>
      </c>
      <c r="C77" s="538"/>
      <c r="D77" s="538"/>
      <c r="E77" s="538"/>
      <c r="F77" s="538"/>
      <c r="G77" s="538"/>
      <c r="H77" s="538"/>
      <c r="I77" s="538"/>
      <c r="J77" s="538"/>
      <c r="K77" s="539"/>
      <c r="L77" s="540"/>
      <c r="M77" s="541"/>
      <c r="N77" s="1152"/>
      <c r="O77" s="1152"/>
      <c r="P77" s="44"/>
      <c r="Q77" s="503"/>
    </row>
    <row r="78" spans="1:17" ht="15.75" thickBot="1">
      <c r="A78" s="533"/>
      <c r="B78" s="542"/>
      <c r="C78" s="543"/>
      <c r="D78" s="543"/>
      <c r="E78" s="543"/>
      <c r="F78" s="543"/>
      <c r="G78" s="543"/>
      <c r="H78" s="543"/>
      <c r="I78" s="543"/>
      <c r="J78" s="543"/>
      <c r="K78" s="543"/>
      <c r="L78" s="543"/>
      <c r="M78" s="544"/>
      <c r="N78" s="1153"/>
      <c r="O78" s="1153"/>
      <c r="P78" s="44"/>
      <c r="Q78" s="503"/>
    </row>
    <row r="79" spans="1:17" ht="15.75" thickTop="1">
      <c r="A79" s="533"/>
      <c r="B79" s="545" t="s">
        <v>2547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3"/>
      <c r="O79" s="1153"/>
      <c r="P79" s="44"/>
      <c r="Q79" s="503"/>
    </row>
    <row r="80" spans="1:17" ht="15">
      <c r="A80" s="533"/>
      <c r="B80" s="547"/>
      <c r="C80" s="548"/>
      <c r="D80" s="548"/>
      <c r="E80" s="548"/>
      <c r="F80" s="548"/>
      <c r="G80" s="548"/>
      <c r="H80" s="548"/>
      <c r="I80" s="548"/>
      <c r="J80" s="548"/>
      <c r="K80" s="549"/>
      <c r="L80" s="550"/>
      <c r="M80" s="551"/>
      <c r="N80" s="1152"/>
      <c r="O80" s="1152"/>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3"/>
      <c r="O81" s="1153"/>
      <c r="P81" s="44"/>
      <c r="Q81" s="503"/>
    </row>
    <row r="82" spans="1:17" s="470" customFormat="1" ht="15.75" thickTop="1">
      <c r="A82" s="552"/>
      <c r="B82" s="537" t="str">
        <f>B12</f>
        <v>配建</v>
      </c>
      <c r="C82" s="553"/>
      <c r="D82" s="553"/>
      <c r="E82" s="553"/>
      <c r="F82" s="553"/>
      <c r="G82" s="553"/>
      <c r="H82" s="554"/>
      <c r="I82" s="554"/>
      <c r="J82" s="554"/>
      <c r="K82" s="554"/>
      <c r="L82" s="555"/>
      <c r="M82" s="556"/>
      <c r="N82" s="1154"/>
      <c r="O82" s="1154"/>
      <c r="P82" s="557"/>
      <c r="Q82" s="558"/>
    </row>
    <row r="83" spans="1:17" s="470" customFormat="1" ht="15.75" thickBot="1">
      <c r="A83" s="552"/>
      <c r="B83" s="542"/>
      <c r="C83" s="559"/>
      <c r="D83" s="535"/>
      <c r="E83" s="535"/>
      <c r="F83" s="535"/>
      <c r="G83" s="535"/>
      <c r="H83" s="535"/>
      <c r="I83" s="535"/>
      <c r="J83" s="535"/>
      <c r="K83" s="535"/>
      <c r="L83" s="535"/>
      <c r="M83" s="536"/>
      <c r="N83" s="1153"/>
      <c r="O83" s="1153"/>
      <c r="P83" s="557"/>
      <c r="Q83" s="558"/>
    </row>
    <row r="84" spans="1:17" s="470" customFormat="1" ht="15.75" thickTop="1">
      <c r="A84" s="552"/>
      <c r="B84" s="537">
        <f>B13</f>
        <v>111</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111</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2548</v>
      </c>
      <c r="B88" s="527" t="s">
        <v>2585</v>
      </c>
      <c r="C88" s="572" t="s">
        <v>2586</v>
      </c>
      <c r="D88" s="572" t="s">
        <v>2587</v>
      </c>
      <c r="E88" s="572" t="s">
        <v>2588</v>
      </c>
      <c r="F88" s="572" t="s">
        <v>2589</v>
      </c>
      <c r="G88" s="572" t="s">
        <v>2590</v>
      </c>
      <c r="H88" s="528"/>
      <c r="I88" s="528"/>
      <c r="J88" s="528"/>
      <c r="K88" s="573"/>
      <c r="L88" s="574"/>
      <c r="M88" s="575"/>
      <c r="N88" s="1152"/>
      <c r="O88" s="1152"/>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3"/>
      <c r="O89" s="1153"/>
      <c r="P89" s="44"/>
      <c r="Q89" s="503"/>
    </row>
    <row r="90" spans="1:17" ht="15.75" thickTop="1">
      <c r="A90" s="533"/>
      <c r="B90" s="537" t="s">
        <v>2773</v>
      </c>
      <c r="C90" s="577" t="s">
        <v>2586</v>
      </c>
      <c r="D90" s="577" t="s">
        <v>2587</v>
      </c>
      <c r="E90" s="577" t="s">
        <v>2588</v>
      </c>
      <c r="F90" s="577" t="s">
        <v>2589</v>
      </c>
      <c r="G90" s="577" t="s">
        <v>2590</v>
      </c>
      <c r="H90" s="538"/>
      <c r="I90" s="538"/>
      <c r="J90" s="538"/>
      <c r="K90" s="539"/>
      <c r="L90" s="540"/>
      <c r="M90" s="541"/>
      <c r="N90" s="1152"/>
      <c r="O90" s="1152"/>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3"/>
      <c r="O91" s="1153"/>
      <c r="P91" s="44"/>
      <c r="Q91" s="503"/>
    </row>
    <row r="92" spans="1:17" ht="15.75" thickTop="1">
      <c r="A92" s="533"/>
      <c r="B92" s="537" t="s">
        <v>2686</v>
      </c>
      <c r="C92" s="577" t="s">
        <v>2586</v>
      </c>
      <c r="D92" s="577" t="s">
        <v>2587</v>
      </c>
      <c r="E92" s="577" t="s">
        <v>2588</v>
      </c>
      <c r="F92" s="577" t="s">
        <v>2589</v>
      </c>
      <c r="G92" s="577" t="s">
        <v>2590</v>
      </c>
      <c r="H92" s="538"/>
      <c r="I92" s="538"/>
      <c r="J92" s="538"/>
      <c r="K92" s="539"/>
      <c r="L92" s="540"/>
      <c r="M92" s="541"/>
      <c r="N92" s="1152"/>
      <c r="O92" s="1152"/>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4"/>
      <c r="Q93" s="503"/>
    </row>
    <row r="94" spans="1:17" ht="15.75" thickTop="1">
      <c r="A94" s="533"/>
      <c r="B94" s="537" t="s">
        <v>2591</v>
      </c>
      <c r="C94" s="577" t="s">
        <v>2586</v>
      </c>
      <c r="D94" s="577" t="s">
        <v>2587</v>
      </c>
      <c r="E94" s="577" t="s">
        <v>2588</v>
      </c>
      <c r="F94" s="577" t="s">
        <v>2589</v>
      </c>
      <c r="G94" s="577" t="s">
        <v>2590</v>
      </c>
      <c r="H94" s="538"/>
      <c r="I94" s="538"/>
      <c r="J94" s="538"/>
      <c r="K94" s="539"/>
      <c r="L94" s="540"/>
      <c r="M94" s="541"/>
      <c r="N94" s="1152"/>
      <c r="O94" s="1152"/>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3"/>
      <c r="O95" s="1153"/>
      <c r="P95" s="44"/>
      <c r="Q95" s="503"/>
    </row>
    <row r="96" spans="1:17" s="116" customFormat="1" ht="15.75" thickTop="1">
      <c r="A96" s="578"/>
      <c r="B96" s="537" t="s">
        <v>2774</v>
      </c>
      <c r="C96" s="577" t="s">
        <v>2586</v>
      </c>
      <c r="D96" s="577" t="s">
        <v>2587</v>
      </c>
      <c r="E96" s="577" t="s">
        <v>2588</v>
      </c>
      <c r="F96" s="577" t="s">
        <v>2589</v>
      </c>
      <c r="G96" s="577" t="s">
        <v>2590</v>
      </c>
      <c r="H96" s="577"/>
      <c r="I96" s="577"/>
      <c r="J96" s="577"/>
      <c r="K96" s="577"/>
      <c r="L96" s="697"/>
      <c r="M96" s="621"/>
      <c r="N96" s="1151"/>
      <c r="O96" s="1151"/>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3"/>
      <c r="O97" s="1153"/>
      <c r="P97" s="44"/>
      <c r="Q97" s="503"/>
    </row>
    <row r="98" spans="1:17" s="116" customFormat="1" ht="27.75" thickTop="1">
      <c r="A98" s="578"/>
      <c r="B98" s="537" t="s">
        <v>2775</v>
      </c>
      <c r="C98" s="572" t="s">
        <v>2586</v>
      </c>
      <c r="D98" s="572" t="s">
        <v>2587</v>
      </c>
      <c r="E98" s="572" t="s">
        <v>2588</v>
      </c>
      <c r="F98" s="572" t="s">
        <v>2589</v>
      </c>
      <c r="G98" s="572" t="s">
        <v>2590</v>
      </c>
      <c r="H98" s="577"/>
      <c r="I98" s="577"/>
      <c r="J98" s="577"/>
      <c r="K98" s="577"/>
      <c r="L98" s="577"/>
      <c r="M98" s="621"/>
      <c r="N98" s="1151"/>
      <c r="O98" s="1151"/>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3"/>
      <c r="O99" s="1153"/>
      <c r="P99" s="44"/>
      <c r="Q99" s="503"/>
    </row>
    <row r="100" spans="1:17" s="470" customFormat="1" ht="15.75" thickTop="1">
      <c r="A100" s="552"/>
      <c r="B100" s="537" t="s">
        <v>2643</v>
      </c>
      <c r="C100" s="572" t="s">
        <v>2586</v>
      </c>
      <c r="D100" s="572" t="s">
        <v>2587</v>
      </c>
      <c r="E100" s="572" t="s">
        <v>2588</v>
      </c>
      <c r="F100" s="572" t="s">
        <v>2589</v>
      </c>
      <c r="G100" s="572" t="s">
        <v>2590</v>
      </c>
      <c r="H100" s="599"/>
      <c r="I100" s="599"/>
      <c r="J100" s="599"/>
      <c r="K100" s="599"/>
      <c r="L100" s="600"/>
      <c r="M100" s="601"/>
      <c r="N100" s="1154"/>
      <c r="O100" s="1154"/>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4"/>
      <c r="O101" s="1154"/>
      <c r="P101" s="557"/>
      <c r="Q101" s="558"/>
    </row>
    <row r="102" spans="1:17" s="470" customFormat="1" ht="15.75" thickTop="1">
      <c r="A102" s="552"/>
      <c r="B102" s="545" t="s">
        <v>2644</v>
      </c>
      <c r="C102" s="659" t="s">
        <v>2664</v>
      </c>
      <c r="D102" s="659" t="s">
        <v>2665</v>
      </c>
      <c r="E102" s="659" t="s">
        <v>2666</v>
      </c>
      <c r="F102" s="659" t="s">
        <v>2667</v>
      </c>
      <c r="G102" s="659" t="s">
        <v>2668</v>
      </c>
      <c r="H102" s="599"/>
      <c r="I102" s="599"/>
      <c r="J102" s="599"/>
      <c r="K102" s="599"/>
      <c r="L102" s="599"/>
      <c r="M102" s="1385"/>
      <c r="N102" s="1154"/>
      <c r="O102" s="1154"/>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5"/>
      <c r="N103" s="1154"/>
      <c r="O103" s="1154"/>
      <c r="P103" s="557"/>
      <c r="Q103" s="558"/>
    </row>
    <row r="104" spans="1:17" ht="15.75" thickTop="1">
      <c r="A104" s="533"/>
      <c r="B104" s="537" t="str">
        <f>B31</f>
        <v>临街状况</v>
      </c>
      <c r="C104" s="538" t="s">
        <v>2776</v>
      </c>
      <c r="D104" s="538" t="s">
        <v>2777</v>
      </c>
      <c r="E104" s="538" t="s">
        <v>2778</v>
      </c>
      <c r="F104" s="538" t="s">
        <v>2779</v>
      </c>
      <c r="G104" s="538"/>
      <c r="H104" s="538"/>
      <c r="I104" s="538"/>
      <c r="J104" s="538"/>
      <c r="K104" s="539"/>
      <c r="L104" s="540"/>
      <c r="M104" s="541"/>
      <c r="N104" s="1152"/>
      <c r="O104" s="1152"/>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3"/>
      <c r="O105" s="1153"/>
      <c r="P105" s="44"/>
      <c r="Q105" s="503"/>
    </row>
    <row r="106" spans="1:17" ht="27.75" thickTop="1">
      <c r="A106" s="533"/>
      <c r="B106" s="537" t="s">
        <v>2680</v>
      </c>
      <c r="C106" s="553"/>
      <c r="D106" s="553"/>
      <c r="E106" s="553"/>
      <c r="F106" s="553"/>
      <c r="G106" s="553"/>
      <c r="H106" s="582"/>
      <c r="I106" s="582"/>
      <c r="J106" s="582"/>
      <c r="K106" s="583"/>
      <c r="L106" s="584"/>
      <c r="M106" s="585"/>
      <c r="N106" s="1152"/>
      <c r="O106" s="1152"/>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3"/>
      <c r="O107" s="1153"/>
      <c r="P107" s="44"/>
      <c r="Q107" s="503"/>
    </row>
    <row r="108" spans="1:17" ht="15.75" thickTop="1">
      <c r="A108" s="533"/>
      <c r="B108" s="537" t="s">
        <v>2739</v>
      </c>
      <c r="C108" s="582"/>
      <c r="D108" s="582"/>
      <c r="E108" s="582"/>
      <c r="F108" s="582"/>
      <c r="G108" s="582"/>
      <c r="H108" s="582"/>
      <c r="I108" s="582"/>
      <c r="J108" s="582"/>
      <c r="K108" s="583"/>
      <c r="L108" s="584"/>
      <c r="M108" s="585"/>
      <c r="N108" s="1152"/>
      <c r="O108" s="1152"/>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4"/>
      <c r="Q109" s="503"/>
    </row>
    <row r="110" spans="1:17" ht="15.75" thickTop="1">
      <c r="A110" s="533"/>
      <c r="B110" s="545">
        <f>B35</f>
        <v>111</v>
      </c>
      <c r="C110" s="553"/>
      <c r="D110" s="553"/>
      <c r="E110" s="553"/>
      <c r="F110" s="553"/>
      <c r="G110" s="586"/>
      <c r="H110" s="586"/>
      <c r="I110" s="586"/>
      <c r="J110" s="586"/>
      <c r="K110" s="587"/>
      <c r="L110" s="588"/>
      <c r="M110" s="589"/>
      <c r="N110" s="1152"/>
      <c r="O110" s="1152"/>
      <c r="P110" s="44"/>
      <c r="Q110" s="503"/>
    </row>
    <row r="111" spans="1:17" ht="15.75" thickBot="1">
      <c r="A111" s="533"/>
      <c r="B111" s="568"/>
      <c r="C111" s="559"/>
      <c r="D111" s="559"/>
      <c r="E111" s="559"/>
      <c r="F111" s="559"/>
      <c r="G111" s="590"/>
      <c r="H111" s="590"/>
      <c r="I111" s="590"/>
      <c r="J111" s="590"/>
      <c r="K111" s="590"/>
      <c r="L111" s="590"/>
      <c r="M111" s="591"/>
      <c r="N111" s="1153"/>
      <c r="O111" s="1153"/>
      <c r="P111" s="44"/>
      <c r="Q111" s="503"/>
    </row>
    <row r="112" spans="1:17" ht="15" thickTop="1">
      <c r="A112" s="674"/>
      <c r="B112" s="537">
        <f>B36</f>
        <v>111</v>
      </c>
      <c r="C112" s="522"/>
      <c r="D112" s="522"/>
      <c r="E112" s="522"/>
      <c r="F112" s="522"/>
      <c r="G112" s="582"/>
      <c r="H112" s="582"/>
      <c r="I112" s="582"/>
      <c r="J112" s="582"/>
      <c r="K112" s="583"/>
      <c r="L112" s="584"/>
      <c r="M112" s="585"/>
      <c r="N112" s="1152"/>
      <c r="O112" s="1152"/>
      <c r="P112" s="44"/>
      <c r="Q112" s="503"/>
    </row>
    <row r="113" spans="1:17" ht="15.75" thickBot="1">
      <c r="A113" s="533"/>
      <c r="B113" s="542"/>
      <c r="C113" s="569"/>
      <c r="D113" s="569"/>
      <c r="E113" s="569"/>
      <c r="F113" s="569"/>
      <c r="G113" s="535"/>
      <c r="H113" s="535"/>
      <c r="I113" s="535"/>
      <c r="J113" s="535"/>
      <c r="K113" s="535"/>
      <c r="L113" s="535"/>
      <c r="M113" s="536"/>
      <c r="N113" s="1153"/>
      <c r="O113" s="1153"/>
      <c r="P113" s="44"/>
      <c r="Q113" s="503"/>
    </row>
    <row r="114" spans="1:17" s="470" customFormat="1" ht="15" thickTop="1">
      <c r="A114" s="592"/>
      <c r="B114" s="593">
        <f>B37</f>
        <v>111</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6"/>
      <c r="E115" s="676"/>
      <c r="F115" s="676"/>
      <c r="G115" s="676"/>
      <c r="H115" s="676"/>
      <c r="I115" s="676"/>
      <c r="J115" s="676"/>
      <c r="K115" s="676"/>
      <c r="L115" s="676"/>
      <c r="M115" s="698"/>
      <c r="N115" s="1153"/>
      <c r="O115" s="1153"/>
      <c r="P115" s="557"/>
      <c r="Q115" s="558"/>
    </row>
    <row r="116" spans="1:17">
      <c r="A116" s="526" t="s">
        <v>2552</v>
      </c>
      <c r="B116" s="527" t="s">
        <v>2780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2"/>
      <c r="O116" s="1152"/>
      <c r="P116" s="44"/>
      <c r="Q116" s="503"/>
    </row>
    <row r="117" spans="1:17" ht="15">
      <c r="A117" s="533"/>
      <c r="B117" s="545"/>
      <c r="C117" s="594"/>
      <c r="D117" s="594"/>
      <c r="E117" s="594"/>
      <c r="F117" s="594"/>
      <c r="G117" s="594"/>
      <c r="H117" s="594"/>
      <c r="I117" s="594"/>
      <c r="J117" s="595"/>
      <c r="K117" s="595"/>
      <c r="L117" s="596"/>
      <c r="M117" s="597"/>
      <c r="N117" s="1152"/>
      <c r="O117" s="1152"/>
      <c r="P117" s="44"/>
      <c r="Q117" s="503"/>
    </row>
    <row r="118" spans="1:17" ht="15.75" thickBot="1">
      <c r="A118" s="533"/>
      <c r="B118" s="542"/>
      <c r="C118" s="569"/>
      <c r="D118" s="590"/>
      <c r="E118" s="590"/>
      <c r="F118" s="590"/>
      <c r="G118" s="590"/>
      <c r="H118" s="590"/>
      <c r="I118" s="590"/>
      <c r="J118" s="590"/>
      <c r="K118" s="590"/>
      <c r="L118" s="590"/>
      <c r="M118" s="591"/>
      <c r="N118" s="1153"/>
      <c r="O118" s="1153"/>
      <c r="P118" s="44"/>
      <c r="Q118" s="503"/>
    </row>
    <row r="119" spans="1:17" ht="15" thickTop="1">
      <c r="A119" s="598"/>
      <c r="B119" s="537" t="s">
        <v>2781</v>
      </c>
      <c r="C119" s="582"/>
      <c r="D119" s="582"/>
      <c r="E119" s="582"/>
      <c r="F119" s="582"/>
      <c r="G119" s="582"/>
      <c r="H119" s="582"/>
      <c r="I119" s="582"/>
      <c r="J119" s="582"/>
      <c r="K119" s="583"/>
      <c r="L119" s="584"/>
      <c r="M119" s="585"/>
      <c r="N119" s="1152"/>
      <c r="O119" s="1152"/>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3"/>
      <c r="O120" s="1153"/>
      <c r="P120" s="44"/>
      <c r="Q120" s="503"/>
    </row>
    <row r="121" spans="1:17" ht="15" thickTop="1">
      <c r="A121" s="598"/>
      <c r="B121" s="537" t="s">
        <v>2782</v>
      </c>
      <c r="C121" s="553"/>
      <c r="D121" s="553"/>
      <c r="E121" s="553"/>
      <c r="F121" s="582"/>
      <c r="G121" s="582"/>
      <c r="H121" s="582"/>
      <c r="I121" s="582"/>
      <c r="J121" s="582"/>
      <c r="K121" s="583"/>
      <c r="L121" s="584"/>
      <c r="M121" s="585"/>
      <c r="N121" s="1152"/>
      <c r="O121" s="1152"/>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3"/>
      <c r="O122" s="1153"/>
      <c r="P122" s="44"/>
      <c r="Q122" s="503"/>
    </row>
    <row r="123" spans="1:17" s="470" customFormat="1" ht="15" thickTop="1">
      <c r="A123" s="592"/>
      <c r="B123" s="537" t="s">
        <v>2783</v>
      </c>
      <c r="C123" s="553"/>
      <c r="D123" s="553"/>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4"/>
      <c r="O124" s="1154"/>
      <c r="P124" s="557"/>
      <c r="Q124" s="558"/>
    </row>
    <row r="125" spans="1:17" ht="15" thickTop="1">
      <c r="A125" s="598"/>
      <c r="B125" s="537" t="s">
        <v>2784</v>
      </c>
      <c r="C125" s="553"/>
      <c r="D125" s="553"/>
      <c r="E125" s="582"/>
      <c r="F125" s="582"/>
      <c r="G125" s="582"/>
      <c r="H125" s="582"/>
      <c r="I125" s="582"/>
      <c r="J125" s="582"/>
      <c r="K125" s="583"/>
      <c r="L125" s="584"/>
      <c r="M125" s="585"/>
      <c r="N125" s="1152"/>
      <c r="O125" s="1152"/>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3"/>
      <c r="O126" s="1153"/>
      <c r="P126" s="44"/>
      <c r="Q126" s="503"/>
    </row>
    <row r="127" spans="1:17" ht="15" thickTop="1">
      <c r="A127" s="598"/>
      <c r="B127" s="537">
        <f>B43</f>
        <v>111</v>
      </c>
      <c r="C127" s="553"/>
      <c r="D127" s="553"/>
      <c r="E127" s="553"/>
      <c r="F127" s="553"/>
      <c r="G127" s="553"/>
      <c r="H127" s="582"/>
      <c r="I127" s="582"/>
      <c r="J127" s="582"/>
      <c r="K127" s="583"/>
      <c r="L127" s="584"/>
      <c r="M127" s="585"/>
      <c r="N127" s="1152"/>
      <c r="O127" s="1152"/>
      <c r="P127" s="44"/>
      <c r="Q127" s="503"/>
    </row>
    <row r="128" spans="1:17" ht="15.75" thickBot="1">
      <c r="A128" s="533"/>
      <c r="B128" s="542"/>
      <c r="C128" s="559"/>
      <c r="D128" s="559"/>
      <c r="E128" s="559"/>
      <c r="F128" s="559"/>
      <c r="G128" s="535"/>
      <c r="H128" s="535"/>
      <c r="I128" s="535"/>
      <c r="J128" s="535"/>
      <c r="K128" s="535"/>
      <c r="L128" s="535"/>
      <c r="M128" s="536"/>
      <c r="N128" s="1153"/>
      <c r="O128" s="1153"/>
      <c r="P128" s="44"/>
      <c r="Q128" s="503"/>
    </row>
    <row r="129" spans="1:17" ht="15" thickTop="1">
      <c r="A129" s="598"/>
      <c r="B129" s="537">
        <f>B44</f>
        <v>111</v>
      </c>
      <c r="C129" s="522"/>
      <c r="D129" s="522"/>
      <c r="E129" s="522"/>
      <c r="F129" s="522"/>
      <c r="G129" s="582"/>
      <c r="H129" s="582"/>
      <c r="I129" s="582"/>
      <c r="J129" s="582"/>
      <c r="K129" s="583"/>
      <c r="L129" s="584"/>
      <c r="M129" s="585"/>
      <c r="N129" s="1152"/>
      <c r="O129" s="1152"/>
      <c r="P129" s="44"/>
      <c r="Q129" s="503"/>
    </row>
    <row r="130" spans="1:17" ht="15.75" thickBot="1">
      <c r="A130" s="533"/>
      <c r="B130" s="542"/>
      <c r="C130" s="569"/>
      <c r="D130" s="569"/>
      <c r="E130" s="569"/>
      <c r="F130" s="569"/>
      <c r="G130" s="535"/>
      <c r="H130" s="535"/>
      <c r="I130" s="535"/>
      <c r="J130" s="535"/>
      <c r="K130" s="535"/>
      <c r="L130" s="535"/>
      <c r="M130" s="536"/>
      <c r="N130" s="1153"/>
      <c r="O130" s="1153"/>
      <c r="P130" s="44"/>
      <c r="Q130" s="503"/>
    </row>
    <row r="131" spans="1:17" s="470" customFormat="1" ht="15" thickTop="1">
      <c r="A131" s="592"/>
      <c r="B131" s="537">
        <f>B45</f>
        <v>111</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9"/>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4" stopIfTrue="1" operator="containsText" text="超过">
      <formula>NOT(ISERROR(SEARCH("超过",F51)))</formula>
    </cfRule>
  </conditionalFormatting>
  <conditionalFormatting sqref="J53">
    <cfRule type="containsText" dxfId="42" priority="13" stopIfTrue="1" operator="containsText" text="超过">
      <formula>NOT(ISERROR(SEARCH("超过",J53)))</formula>
    </cfRule>
  </conditionalFormatting>
  <conditionalFormatting sqref="H53">
    <cfRule type="containsText" dxfId="41" priority="12" stopIfTrue="1" operator="containsText" text="超过">
      <formula>NOT(ISERROR(SEARCH("超过",H53)))</formula>
    </cfRule>
  </conditionalFormatting>
  <conditionalFormatting sqref="F53">
    <cfRule type="containsText" dxfId="40" priority="11" stopIfTrue="1" operator="containsText" text="超过">
      <formula>NOT(ISERROR(SEARCH("超过",F53)))</formula>
    </cfRule>
  </conditionalFormatting>
  <conditionalFormatting sqref="F52 H52 J52">
    <cfRule type="containsText" dxfId="39" priority="10" stopIfTrue="1" operator="containsText" text="超过">
      <formula>NOT(ISERROR(SEARCH("超过",F52)))</formula>
    </cfRule>
  </conditionalFormatting>
  <conditionalFormatting sqref="E51">
    <cfRule type="expression" dxfId="38" priority="9" stopIfTrue="1">
      <formula>$F$51="超过30%"</formula>
    </cfRule>
  </conditionalFormatting>
  <conditionalFormatting sqref="G53">
    <cfRule type="expression" dxfId="37" priority="8" stopIfTrue="1">
      <formula>$H$53="超过30%"</formula>
    </cfRule>
  </conditionalFormatting>
  <conditionalFormatting sqref="E52">
    <cfRule type="expression" dxfId="36" priority="7" stopIfTrue="1">
      <formula>$F$52="超过20%"</formula>
    </cfRule>
  </conditionalFormatting>
  <conditionalFormatting sqref="E53">
    <cfRule type="expression" dxfId="35" priority="6" stopIfTrue="1">
      <formula>$F$53="超过30%"</formula>
    </cfRule>
  </conditionalFormatting>
  <conditionalFormatting sqref="G51">
    <cfRule type="expression" dxfId="34" priority="5" stopIfTrue="1">
      <formula>$H$53+$H$51="超过30%"</formula>
    </cfRule>
  </conditionalFormatting>
  <conditionalFormatting sqref="G52">
    <cfRule type="expression" dxfId="33" priority="4" stopIfTrue="1">
      <formula>$H$52="超过20%"</formula>
    </cfRule>
  </conditionalFormatting>
  <conditionalFormatting sqref="I51">
    <cfRule type="expression" dxfId="32" priority="3" stopIfTrue="1">
      <formula>$J$51="超过30%"</formula>
    </cfRule>
  </conditionalFormatting>
  <conditionalFormatting sqref="I52">
    <cfRule type="expression" dxfId="31" priority="2" stopIfTrue="1">
      <formula>$J$52="超过20%"</formula>
    </cfRule>
  </conditionalFormatting>
  <conditionalFormatting sqref="I53">
    <cfRule type="expression" dxfId="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5" sqref="C5:C10"/>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2733</v>
      </c>
      <c r="B1" s="394"/>
      <c r="C1" s="395"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2318</v>
      </c>
      <c r="B3" s="608" t="e">
        <f>ROUND(IF(D3="",B2*10000/'数据-汇总表'!E3,B2*10000/D3),0)</f>
        <v>#DIV/0!</v>
      </c>
      <c r="C3" s="246" t="s">
        <v>2735</v>
      </c>
      <c r="D3" s="1581"/>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0" t="s">
        <v>2634</v>
      </c>
      <c r="B4" s="401"/>
      <c r="C4" s="3232" t="s">
        <v>2635</v>
      </c>
      <c r="D4" s="3233"/>
      <c r="E4" s="3234" t="s">
        <v>2636</v>
      </c>
      <c r="F4" s="3235"/>
      <c r="G4" s="3232" t="s">
        <v>2637</v>
      </c>
      <c r="H4" s="3233"/>
      <c r="I4" s="3232" t="s">
        <v>2638</v>
      </c>
      <c r="J4" s="3233"/>
      <c r="K4" s="609" t="s">
        <v>2639</v>
      </c>
      <c r="L4" s="1130"/>
      <c r="M4" s="1131"/>
      <c r="N4" s="1131"/>
      <c r="O4" s="1131"/>
      <c r="P4" s="3236" t="s">
        <v>2640</v>
      </c>
      <c r="Q4" s="3237"/>
      <c r="R4" s="3219" t="s">
        <v>2636</v>
      </c>
      <c r="S4" s="3220"/>
      <c r="T4" s="3219" t="s">
        <v>2637</v>
      </c>
      <c r="U4" s="3220"/>
      <c r="V4" s="3244" t="s">
        <v>2638</v>
      </c>
      <c r="W4" s="3244"/>
      <c r="X4" s="1811"/>
      <c r="Y4" s="3219" t="s">
        <v>2640</v>
      </c>
      <c r="Z4" s="3220"/>
      <c r="AA4" s="3214" t="s">
        <v>2636</v>
      </c>
      <c r="AB4" s="3215" t="s">
        <v>2637</v>
      </c>
      <c r="AC4" s="3214" t="s">
        <v>2638</v>
      </c>
    </row>
    <row r="5" spans="1:29" ht="15">
      <c r="A5" s="403"/>
      <c r="B5" s="404"/>
      <c r="C5" s="3225" t="s">
        <v>2531</v>
      </c>
      <c r="D5" s="3226"/>
      <c r="E5" s="3223" t="s">
        <v>2532</v>
      </c>
      <c r="F5" s="3224"/>
      <c r="G5" s="3225" t="s">
        <v>2533</v>
      </c>
      <c r="H5" s="3226"/>
      <c r="I5" s="3225" t="s">
        <v>2534</v>
      </c>
      <c r="J5" s="3226"/>
      <c r="K5" s="609"/>
      <c r="L5" s="1130"/>
      <c r="M5" s="1131"/>
      <c r="N5" s="1131"/>
      <c r="O5" s="1131"/>
      <c r="P5" s="3238"/>
      <c r="Q5" s="3239"/>
      <c r="R5" s="3221"/>
      <c r="S5" s="3222"/>
      <c r="T5" s="3221"/>
      <c r="U5" s="3222"/>
      <c r="V5" s="3244"/>
      <c r="W5" s="3244"/>
      <c r="X5" s="1811"/>
      <c r="Y5" s="3221"/>
      <c r="Z5" s="3222"/>
      <c r="AA5" s="3215"/>
      <c r="AB5" s="3215"/>
      <c r="AC5" s="3215"/>
    </row>
    <row r="6" spans="1:29" ht="15.75" thickBot="1">
      <c r="A6" s="405"/>
      <c r="B6" s="406"/>
      <c r="C6" s="3281" t="s">
        <v>2786</v>
      </c>
      <c r="D6" s="3282"/>
      <c r="E6" s="3283" t="s">
        <v>2786</v>
      </c>
      <c r="F6" s="3284"/>
      <c r="G6" s="3281" t="s">
        <v>2786</v>
      </c>
      <c r="H6" s="3282"/>
      <c r="I6" s="3281" t="s">
        <v>2786</v>
      </c>
      <c r="J6" s="3282"/>
      <c r="K6" s="609" t="s">
        <v>2536</v>
      </c>
      <c r="L6" s="1130"/>
      <c r="M6" s="1131"/>
      <c r="N6" s="1131"/>
      <c r="O6" s="1131"/>
      <c r="P6" s="3240"/>
      <c r="Q6" s="3241"/>
      <c r="R6" s="3221"/>
      <c r="S6" s="3222"/>
      <c r="T6" s="3242"/>
      <c r="U6" s="3243"/>
      <c r="V6" s="3244"/>
      <c r="W6" s="3244"/>
      <c r="X6" s="1811"/>
      <c r="Y6" s="3242"/>
      <c r="Z6" s="3243"/>
      <c r="AA6" s="3216"/>
      <c r="AB6" s="3216"/>
      <c r="AC6" s="3216"/>
    </row>
    <row r="7" spans="1:29" s="116" customFormat="1" ht="15.75" thickBot="1">
      <c r="A7" s="407" t="s">
        <v>2537</v>
      </c>
      <c r="B7" s="408"/>
      <c r="C7" s="409">
        <f>'数据-取费表'!B2</f>
        <v>43452</v>
      </c>
      <c r="D7" s="410">
        <v>100</v>
      </c>
      <c r="E7" s="411"/>
      <c r="F7" s="412">
        <f>SUMIF(65:65,YEAR(E7)&amp;"-"&amp;INT((MONTH(E7)+2)/3),66:66)</f>
        <v>0</v>
      </c>
      <c r="G7" s="2695"/>
      <c r="H7" s="410">
        <f>SUMIF(65:65,YEAR(G7)&amp;"-"&amp;INT((MONTH(G7)+2)/3),66:66)</f>
        <v>0</v>
      </c>
      <c r="I7" s="2695"/>
      <c r="J7" s="410">
        <f>SUMIF(65:65,YEAR(I7)&amp;"-"&amp;INT((MONTH(I7)+2)/3),66:66)</f>
        <v>0</v>
      </c>
      <c r="K7" s="610"/>
      <c r="L7" s="1132"/>
      <c r="M7" s="1133"/>
      <c r="N7" s="1133"/>
      <c r="O7" s="1133"/>
      <c r="P7" s="3217" t="s">
        <v>2538</v>
      </c>
      <c r="Q7" s="3245"/>
      <c r="R7" s="769" t="s">
        <v>17</v>
      </c>
      <c r="S7" s="770">
        <f t="shared" ref="S7:S15" si="0">F7</f>
        <v>0</v>
      </c>
      <c r="T7" s="769" t="s">
        <v>17</v>
      </c>
      <c r="U7" s="770">
        <f t="shared" ref="U7:U15" si="1">H7</f>
        <v>0</v>
      </c>
      <c r="V7" s="769" t="s">
        <v>17</v>
      </c>
      <c r="W7" s="770">
        <f t="shared" ref="W7:W15" si="2">J7</f>
        <v>0</v>
      </c>
      <c r="X7" s="771"/>
      <c r="Y7" s="3217" t="s">
        <v>2538</v>
      </c>
      <c r="Z7" s="3218"/>
      <c r="AA7" s="772" t="e">
        <f>D7/F7</f>
        <v>#DIV/0!</v>
      </c>
      <c r="AB7" s="772" t="e">
        <f>D7/H7</f>
        <v>#DIV/0!</v>
      </c>
      <c r="AC7" s="772" t="e">
        <f>D7/J7</f>
        <v>#DIV/0!</v>
      </c>
    </row>
    <row r="8" spans="1:29" s="116" customFormat="1" ht="15.7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32"/>
      <c r="M8" s="1133"/>
      <c r="N8" s="1133"/>
      <c r="O8" s="1133"/>
      <c r="P8" s="3217" t="s">
        <v>2541</v>
      </c>
      <c r="Q8" s="3218"/>
      <c r="R8" s="769" t="s">
        <v>17</v>
      </c>
      <c r="S8" s="770">
        <f t="shared" si="0"/>
        <v>0</v>
      </c>
      <c r="T8" s="769" t="s">
        <v>17</v>
      </c>
      <c r="U8" s="770">
        <f t="shared" si="1"/>
        <v>0</v>
      </c>
      <c r="V8" s="769" t="s">
        <v>17</v>
      </c>
      <c r="W8" s="770">
        <f t="shared" si="2"/>
        <v>0</v>
      </c>
      <c r="X8" s="771"/>
      <c r="Y8" s="3217" t="s">
        <v>2541</v>
      </c>
      <c r="Z8" s="3218"/>
      <c r="AA8" s="772" t="e">
        <f t="shared" ref="AA8:AA40" si="3">D8/F8</f>
        <v>#DIV/0!</v>
      </c>
      <c r="AB8" s="772" t="e">
        <f t="shared" ref="AB8:AB40" si="4">D8/H8</f>
        <v>#DIV/0!</v>
      </c>
      <c r="AC8" s="772" t="e">
        <f t="shared" ref="AC8:AC40" si="5">D8/J8</f>
        <v>#DIV/0!</v>
      </c>
    </row>
    <row r="9" spans="1:29" s="116" customFormat="1">
      <c r="A9" s="414" t="s">
        <v>2542</v>
      </c>
      <c r="B9" s="70" t="s">
        <v>2543</v>
      </c>
      <c r="C9" s="2698"/>
      <c r="D9" s="134">
        <v>100</v>
      </c>
      <c r="E9" s="2698"/>
      <c r="F9" s="134">
        <f>SUMIF(70:70,E9,71:71)-SUMIF(70:70,C9,71:71)+100</f>
        <v>100</v>
      </c>
      <c r="G9" s="2698"/>
      <c r="H9" s="134">
        <f>SUMIF(70:70,G9,71:71)-SUMIF(70:70,C9,71:71)+100</f>
        <v>100</v>
      </c>
      <c r="I9" s="2698"/>
      <c r="J9" s="134">
        <f>SUMIF(70:70,I9,71:71)-SUMIF(70:70,C9,71:71)+100</f>
        <v>100</v>
      </c>
      <c r="K9" s="610"/>
      <c r="L9" s="1132"/>
      <c r="M9" s="1133"/>
      <c r="N9" s="1133"/>
      <c r="O9" s="1134"/>
      <c r="P9" s="3249" t="s">
        <v>2544</v>
      </c>
      <c r="Q9" s="1793" t="str">
        <f t="shared" ref="Q9:Q15" si="6">B9</f>
        <v>用途</v>
      </c>
      <c r="R9" s="769" t="s">
        <v>17</v>
      </c>
      <c r="S9" s="770">
        <f t="shared" si="0"/>
        <v>100</v>
      </c>
      <c r="T9" s="769" t="s">
        <v>17</v>
      </c>
      <c r="U9" s="770">
        <f t="shared" si="1"/>
        <v>100</v>
      </c>
      <c r="V9" s="769" t="s">
        <v>17</v>
      </c>
      <c r="W9" s="770">
        <f t="shared" si="2"/>
        <v>100</v>
      </c>
      <c r="X9" s="771"/>
      <c r="Y9" s="3044" t="s">
        <v>2545</v>
      </c>
      <c r="Z9" s="54" t="str">
        <f t="shared" ref="Z9:Z15" si="7">Q9</f>
        <v>用途</v>
      </c>
      <c r="AA9" s="772">
        <f t="shared" si="3"/>
        <v>1</v>
      </c>
      <c r="AB9" s="772">
        <f t="shared" si="4"/>
        <v>1</v>
      </c>
      <c r="AC9" s="772">
        <f t="shared" si="5"/>
        <v>1</v>
      </c>
    </row>
    <row r="10" spans="1:29" s="426" customFormat="1" ht="27">
      <c r="A10" s="420"/>
      <c r="B10" s="421" t="s">
        <v>2546</v>
      </c>
      <c r="C10" s="431"/>
      <c r="D10" s="135">
        <v>100</v>
      </c>
      <c r="E10" s="431"/>
      <c r="F10" s="135">
        <f>ROUND(100/'数据-取费表'!G16,0)</f>
        <v>115</v>
      </c>
      <c r="G10" s="431"/>
      <c r="H10" s="135">
        <f>ROUND(100/'数据-取费表'!G16,0)</f>
        <v>115</v>
      </c>
      <c r="I10" s="431"/>
      <c r="J10" s="135">
        <f>ROUND(100/'数据-取费表'!G16,0)</f>
        <v>115</v>
      </c>
      <c r="K10" s="671"/>
      <c r="L10" s="1135"/>
      <c r="M10" s="1136"/>
      <c r="N10" s="1136"/>
      <c r="O10" s="1137"/>
      <c r="P10" s="3249"/>
      <c r="Q10" s="1793" t="str">
        <f t="shared" si="6"/>
        <v>土地使用年限（年）</v>
      </c>
      <c r="R10" s="769" t="s">
        <v>17</v>
      </c>
      <c r="S10" s="770">
        <f t="shared" si="0"/>
        <v>115</v>
      </c>
      <c r="T10" s="769" t="s">
        <v>17</v>
      </c>
      <c r="U10" s="770">
        <f t="shared" si="1"/>
        <v>115</v>
      </c>
      <c r="V10" s="769" t="s">
        <v>17</v>
      </c>
      <c r="W10" s="770">
        <f t="shared" si="2"/>
        <v>115</v>
      </c>
      <c r="X10" s="771"/>
      <c r="Y10" s="3044"/>
      <c r="Z10" s="54" t="str">
        <f t="shared" si="7"/>
        <v>土地使用年限（年）</v>
      </c>
      <c r="AA10" s="772">
        <f t="shared" si="3"/>
        <v>0.86956521739130432</v>
      </c>
      <c r="AB10" s="772">
        <f t="shared" si="4"/>
        <v>0.86956521739130432</v>
      </c>
      <c r="AC10" s="772">
        <f t="shared" si="5"/>
        <v>0.86956521739130432</v>
      </c>
    </row>
    <row r="11" spans="1:29" ht="15">
      <c r="A11" s="427"/>
      <c r="B11" s="421" t="s">
        <v>2547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8"/>
      <c r="M11" s="1131"/>
      <c r="N11" s="1131"/>
      <c r="O11" s="1139"/>
      <c r="P11" s="3249"/>
      <c r="Q11" s="1793" t="str">
        <f t="shared" si="6"/>
        <v>容积率</v>
      </c>
      <c r="R11" s="769" t="s">
        <v>17</v>
      </c>
      <c r="S11" s="770" t="e">
        <f t="shared" si="0"/>
        <v>#N/A</v>
      </c>
      <c r="T11" s="769" t="s">
        <v>17</v>
      </c>
      <c r="U11" s="770" t="e">
        <f t="shared" si="1"/>
        <v>#N/A</v>
      </c>
      <c r="V11" s="769" t="s">
        <v>17</v>
      </c>
      <c r="W11" s="770" t="e">
        <f t="shared" si="2"/>
        <v>#N/A</v>
      </c>
      <c r="X11" s="771"/>
      <c r="Y11" s="3044"/>
      <c r="Z11" s="54" t="str">
        <f t="shared" si="7"/>
        <v>容积率</v>
      </c>
      <c r="AA11" s="772" t="e">
        <f t="shared" si="3"/>
        <v>#N/A</v>
      </c>
      <c r="AB11" s="772" t="e">
        <f t="shared" si="4"/>
        <v>#N/A</v>
      </c>
      <c r="AC11" s="772"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2"/>
      <c r="M12" s="1133"/>
      <c r="N12" s="1133"/>
      <c r="O12" s="1134"/>
      <c r="P12" s="3249"/>
      <c r="Q12" s="1793">
        <f t="shared" si="6"/>
        <v>111</v>
      </c>
      <c r="R12" s="769" t="s">
        <v>17</v>
      </c>
      <c r="S12" s="770">
        <f t="shared" si="0"/>
        <v>100</v>
      </c>
      <c r="T12" s="769" t="s">
        <v>17</v>
      </c>
      <c r="U12" s="770">
        <f t="shared" si="1"/>
        <v>100</v>
      </c>
      <c r="V12" s="769" t="s">
        <v>17</v>
      </c>
      <c r="W12" s="770">
        <f t="shared" si="2"/>
        <v>100</v>
      </c>
      <c r="X12" s="771"/>
      <c r="Y12" s="3044"/>
      <c r="Z12" s="54">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0"/>
      <c r="M13" s="1131"/>
      <c r="N13" s="1131"/>
      <c r="O13" s="1139"/>
      <c r="P13" s="3249"/>
      <c r="Q13" s="1793">
        <f t="shared" si="6"/>
        <v>111</v>
      </c>
      <c r="R13" s="769" t="s">
        <v>17</v>
      </c>
      <c r="S13" s="770">
        <f t="shared" si="0"/>
        <v>100</v>
      </c>
      <c r="T13" s="769" t="s">
        <v>17</v>
      </c>
      <c r="U13" s="770">
        <f t="shared" si="1"/>
        <v>100</v>
      </c>
      <c r="V13" s="769" t="s">
        <v>17</v>
      </c>
      <c r="W13" s="770">
        <f t="shared" si="2"/>
        <v>100</v>
      </c>
      <c r="X13" s="771"/>
      <c r="Y13" s="3044"/>
      <c r="Z13" s="54">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0"/>
      <c r="M14" s="1131"/>
      <c r="N14" s="1131"/>
      <c r="O14" s="1139"/>
      <c r="P14" s="3249"/>
      <c r="Q14" s="1793">
        <f t="shared" si="6"/>
        <v>111</v>
      </c>
      <c r="R14" s="769" t="s">
        <v>17</v>
      </c>
      <c r="S14" s="770">
        <f t="shared" si="0"/>
        <v>100</v>
      </c>
      <c r="T14" s="769" t="s">
        <v>17</v>
      </c>
      <c r="U14" s="770">
        <f t="shared" si="1"/>
        <v>100</v>
      </c>
      <c r="V14" s="769" t="s">
        <v>17</v>
      </c>
      <c r="W14" s="770">
        <f t="shared" si="2"/>
        <v>100</v>
      </c>
      <c r="X14" s="771"/>
      <c r="Y14" s="3044"/>
      <c r="Z14" s="54">
        <f t="shared" si="7"/>
        <v>111</v>
      </c>
      <c r="AA14" s="772">
        <f t="shared" si="3"/>
        <v>1</v>
      </c>
      <c r="AB14" s="772">
        <f t="shared" si="4"/>
        <v>1</v>
      </c>
      <c r="AC14" s="772">
        <f t="shared" si="5"/>
        <v>1</v>
      </c>
    </row>
    <row r="15" spans="1:29" ht="15">
      <c r="A15" s="439" t="s">
        <v>2548</v>
      </c>
      <c r="B15" s="628" t="s">
        <v>2787</v>
      </c>
      <c r="C15" s="2692">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0"/>
      <c r="M15" s="1131"/>
      <c r="N15" s="1131"/>
      <c r="O15" s="1139"/>
      <c r="P15" s="3251" t="s">
        <v>2549</v>
      </c>
      <c r="Q15" s="1808" t="str">
        <f t="shared" si="6"/>
        <v>产业集聚程度</v>
      </c>
      <c r="R15" s="773" t="s">
        <v>17</v>
      </c>
      <c r="S15" s="774">
        <f t="shared" si="0"/>
        <v>100</v>
      </c>
      <c r="T15" s="773" t="s">
        <v>17</v>
      </c>
      <c r="U15" s="774">
        <f t="shared" si="1"/>
        <v>100</v>
      </c>
      <c r="V15" s="773" t="s">
        <v>17</v>
      </c>
      <c r="W15" s="774">
        <f t="shared" si="2"/>
        <v>100</v>
      </c>
      <c r="X15" s="1811"/>
      <c r="Y15" s="3251" t="s">
        <v>2549</v>
      </c>
      <c r="Z15" s="1812" t="str">
        <f t="shared" si="7"/>
        <v>产业集聚程度</v>
      </c>
      <c r="AA15" s="1809">
        <f t="shared" si="3"/>
        <v>1</v>
      </c>
      <c r="AB15" s="1809">
        <f t="shared" si="4"/>
        <v>1</v>
      </c>
      <c r="AC15" s="1809">
        <f t="shared" si="5"/>
        <v>1</v>
      </c>
    </row>
    <row r="16" spans="1:29" ht="15">
      <c r="A16" s="427"/>
      <c r="B16" s="629"/>
      <c r="C16" s="446"/>
      <c r="D16" s="447"/>
      <c r="E16" s="2610"/>
      <c r="F16" s="447"/>
      <c r="G16" s="2610"/>
      <c r="H16" s="449"/>
      <c r="I16" s="2610"/>
      <c r="J16" s="447"/>
      <c r="K16" s="671"/>
      <c r="L16" s="1140"/>
      <c r="M16" s="1131"/>
      <c r="N16" s="1131"/>
      <c r="O16" s="1139"/>
      <c r="P16" s="3252"/>
      <c r="Q16" s="1808"/>
      <c r="R16" s="773"/>
      <c r="S16" s="774"/>
      <c r="T16" s="773"/>
      <c r="U16" s="774"/>
      <c r="V16" s="773"/>
      <c r="W16" s="774"/>
      <c r="X16" s="1811"/>
      <c r="Y16" s="3252"/>
      <c r="Z16" s="1812"/>
      <c r="AA16" s="1809">
        <v>1</v>
      </c>
      <c r="AB16" s="1809">
        <v>1</v>
      </c>
      <c r="AC16" s="1809">
        <v>1</v>
      </c>
    </row>
    <row r="17" spans="1:29" ht="15">
      <c r="A17" s="427"/>
      <c r="B17" s="630" t="s">
        <v>2698</v>
      </c>
      <c r="C17" s="2606">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0"/>
      <c r="M17" s="1131"/>
      <c r="N17" s="1131"/>
      <c r="O17" s="1139"/>
      <c r="P17" s="3252"/>
      <c r="Q17" s="1808" t="str">
        <f>B17</f>
        <v>交通便捷度</v>
      </c>
      <c r="R17" s="773" t="s">
        <v>17</v>
      </c>
      <c r="S17" s="774">
        <f>F17</f>
        <v>100</v>
      </c>
      <c r="T17" s="773" t="s">
        <v>17</v>
      </c>
      <c r="U17" s="774">
        <f>H17</f>
        <v>100</v>
      </c>
      <c r="V17" s="773" t="s">
        <v>17</v>
      </c>
      <c r="W17" s="774">
        <f>J17</f>
        <v>100</v>
      </c>
      <c r="X17" s="1811"/>
      <c r="Y17" s="3252"/>
      <c r="Z17" s="1812" t="str">
        <f>Q17</f>
        <v>交通便捷度</v>
      </c>
      <c r="AA17" s="1809">
        <f t="shared" si="3"/>
        <v>1</v>
      </c>
      <c r="AB17" s="1809">
        <f t="shared" si="4"/>
        <v>1</v>
      </c>
      <c r="AC17" s="1809">
        <f t="shared" si="5"/>
        <v>1</v>
      </c>
    </row>
    <row r="18" spans="1:29" ht="15">
      <c r="A18" s="427"/>
      <c r="B18" s="631"/>
      <c r="C18" s="446"/>
      <c r="D18" s="447"/>
      <c r="E18" s="2604"/>
      <c r="F18" s="447"/>
      <c r="G18" s="2604"/>
      <c r="H18" s="447"/>
      <c r="I18" s="2603"/>
      <c r="J18" s="447"/>
      <c r="K18" s="671"/>
      <c r="L18" s="1140"/>
      <c r="M18" s="1131"/>
      <c r="N18" s="1131"/>
      <c r="O18" s="1139"/>
      <c r="P18" s="3252"/>
      <c r="Q18" s="1808"/>
      <c r="R18" s="773"/>
      <c r="S18" s="774"/>
      <c r="T18" s="773"/>
      <c r="U18" s="774"/>
      <c r="V18" s="773"/>
      <c r="W18" s="774"/>
      <c r="X18" s="1811"/>
      <c r="Y18" s="3252"/>
      <c r="Z18" s="1812"/>
      <c r="AA18" s="1809">
        <v>1</v>
      </c>
      <c r="AB18" s="1809">
        <v>1</v>
      </c>
      <c r="AC18" s="1809">
        <v>1</v>
      </c>
    </row>
    <row r="19" spans="1:29" ht="15">
      <c r="A19" s="427"/>
      <c r="B19" s="630" t="s">
        <v>2737</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0"/>
      <c r="M19" s="1131"/>
      <c r="N19" s="1131"/>
      <c r="O19" s="1139"/>
      <c r="P19" s="3252"/>
      <c r="Q19" s="1808" t="str">
        <f t="shared" ref="Q19:Q33" si="8">B19</f>
        <v>区域土地利用方向</v>
      </c>
      <c r="R19" s="773" t="s">
        <v>17</v>
      </c>
      <c r="S19" s="774">
        <f>F19</f>
        <v>100</v>
      </c>
      <c r="T19" s="773" t="s">
        <v>17</v>
      </c>
      <c r="U19" s="774">
        <f>H19</f>
        <v>100</v>
      </c>
      <c r="V19" s="773" t="s">
        <v>17</v>
      </c>
      <c r="W19" s="774">
        <f>J19</f>
        <v>100</v>
      </c>
      <c r="X19" s="1811"/>
      <c r="Y19" s="3252"/>
      <c r="Z19" s="1812" t="str">
        <f>Q19</f>
        <v>区域土地利用方向</v>
      </c>
      <c r="AA19" s="1809">
        <f t="shared" si="3"/>
        <v>1</v>
      </c>
      <c r="AB19" s="1809">
        <f t="shared" si="4"/>
        <v>1</v>
      </c>
      <c r="AC19" s="1809">
        <f t="shared" si="5"/>
        <v>1</v>
      </c>
    </row>
    <row r="20" spans="1:29" ht="15">
      <c r="A20" s="403"/>
      <c r="B20" s="631"/>
      <c r="C20" s="446"/>
      <c r="D20" s="447"/>
      <c r="E20" s="2604"/>
      <c r="F20" s="447"/>
      <c r="G20" s="2604"/>
      <c r="H20" s="447"/>
      <c r="I20" s="2604"/>
      <c r="J20" s="447"/>
      <c r="K20" s="811"/>
      <c r="L20" s="1140"/>
      <c r="M20" s="1131"/>
      <c r="N20" s="1131"/>
      <c r="O20" s="1139"/>
      <c r="P20" s="3252"/>
      <c r="Q20" s="1808"/>
      <c r="R20" s="773"/>
      <c r="S20" s="774"/>
      <c r="T20" s="773"/>
      <c r="U20" s="774"/>
      <c r="V20" s="773"/>
      <c r="W20" s="774"/>
      <c r="X20" s="1811"/>
      <c r="Y20" s="3252"/>
      <c r="Z20" s="1812"/>
      <c r="AA20" s="1809"/>
      <c r="AB20" s="1809"/>
      <c r="AC20" s="1809"/>
    </row>
    <row r="21" spans="1:29" ht="15">
      <c r="A21" s="403"/>
      <c r="B21" s="630" t="s">
        <v>2788</v>
      </c>
      <c r="C21" s="2606">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0"/>
      <c r="M21" s="1131"/>
      <c r="N21" s="1131"/>
      <c r="O21" s="1139"/>
      <c r="P21" s="3252"/>
      <c r="Q21" s="1808" t="str">
        <f t="shared" si="8"/>
        <v>环境状况</v>
      </c>
      <c r="R21" s="773" t="s">
        <v>17</v>
      </c>
      <c r="S21" s="774">
        <f>F21</f>
        <v>100</v>
      </c>
      <c r="T21" s="773" t="s">
        <v>17</v>
      </c>
      <c r="U21" s="774">
        <f>H21</f>
        <v>100</v>
      </c>
      <c r="V21" s="773" t="s">
        <v>17</v>
      </c>
      <c r="W21" s="774">
        <f>J21</f>
        <v>100</v>
      </c>
      <c r="X21" s="1811"/>
      <c r="Y21" s="3252"/>
      <c r="Z21" s="1812" t="str">
        <f>Q21</f>
        <v>环境状况</v>
      </c>
      <c r="AA21" s="1809">
        <f t="shared" si="3"/>
        <v>1</v>
      </c>
      <c r="AB21" s="1809">
        <f t="shared" si="4"/>
        <v>1</v>
      </c>
      <c r="AC21" s="1809">
        <f t="shared" si="5"/>
        <v>1</v>
      </c>
    </row>
    <row r="22" spans="1:29" ht="15">
      <c r="A22" s="403"/>
      <c r="B22" s="631"/>
      <c r="C22" s="446"/>
      <c r="D22" s="447"/>
      <c r="E22" s="2610"/>
      <c r="F22" s="447"/>
      <c r="G22" s="2610"/>
      <c r="H22" s="447"/>
      <c r="I22" s="446"/>
      <c r="J22" s="447"/>
      <c r="K22" s="671"/>
      <c r="L22" s="1140"/>
      <c r="M22" s="1131"/>
      <c r="N22" s="1131"/>
      <c r="O22" s="1139"/>
      <c r="P22" s="3252"/>
      <c r="Q22" s="1808"/>
      <c r="R22" s="773"/>
      <c r="S22" s="774"/>
      <c r="T22" s="773"/>
      <c r="U22" s="774"/>
      <c r="V22" s="773"/>
      <c r="W22" s="774"/>
      <c r="X22" s="1811"/>
      <c r="Y22" s="3252"/>
      <c r="Z22" s="1812"/>
      <c r="AA22" s="1809">
        <v>1</v>
      </c>
      <c r="AB22" s="1809">
        <v>1</v>
      </c>
      <c r="AC22" s="1809">
        <v>1</v>
      </c>
    </row>
    <row r="23" spans="1:29" s="116" customFormat="1" ht="15">
      <c r="A23" s="648"/>
      <c r="B23" s="632" t="s">
        <v>2643</v>
      </c>
      <c r="C23" s="2606">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2"/>
      <c r="M23" s="1133"/>
      <c r="N23" s="1133"/>
      <c r="O23" s="1134"/>
      <c r="P23" s="3252"/>
      <c r="Q23" s="1793" t="str">
        <f t="shared" si="8"/>
        <v>公共配套设施</v>
      </c>
      <c r="R23" s="769" t="s">
        <v>17</v>
      </c>
      <c r="S23" s="770">
        <f>F23</f>
        <v>100</v>
      </c>
      <c r="T23" s="769" t="s">
        <v>17</v>
      </c>
      <c r="U23" s="770">
        <f>H23</f>
        <v>100</v>
      </c>
      <c r="V23" s="769" t="s">
        <v>17</v>
      </c>
      <c r="W23" s="770">
        <f>J23</f>
        <v>100</v>
      </c>
      <c r="X23" s="771"/>
      <c r="Y23" s="3252"/>
      <c r="Z23" s="54" t="str">
        <f>Q23</f>
        <v>公共配套设施</v>
      </c>
      <c r="AA23" s="1809">
        <f>D23/F23</f>
        <v>1</v>
      </c>
      <c r="AB23" s="1809">
        <f>D23/H23</f>
        <v>1</v>
      </c>
      <c r="AC23" s="1809">
        <f>D23/J23</f>
        <v>1</v>
      </c>
    </row>
    <row r="24" spans="1:29" s="116" customFormat="1" ht="15">
      <c r="A24" s="648"/>
      <c r="B24" s="631"/>
      <c r="C24" s="2699"/>
      <c r="D24" s="447"/>
      <c r="E24" s="2610"/>
      <c r="F24" s="447"/>
      <c r="G24" s="2610"/>
      <c r="H24" s="447"/>
      <c r="I24" s="446"/>
      <c r="J24" s="447"/>
      <c r="K24" s="671"/>
      <c r="L24" s="1132"/>
      <c r="M24" s="1133"/>
      <c r="N24" s="1133"/>
      <c r="O24" s="1134"/>
      <c r="P24" s="3252"/>
      <c r="Q24" s="1793"/>
      <c r="R24" s="769"/>
      <c r="S24" s="770"/>
      <c r="T24" s="769"/>
      <c r="U24" s="770"/>
      <c r="V24" s="769"/>
      <c r="W24" s="770"/>
      <c r="X24" s="771"/>
      <c r="Y24" s="3252"/>
      <c r="Z24" s="54"/>
      <c r="AA24" s="772">
        <v>1</v>
      </c>
      <c r="AB24" s="772">
        <v>1</v>
      </c>
      <c r="AC24" s="772">
        <v>1</v>
      </c>
    </row>
    <row r="25" spans="1:29" s="116" customFormat="1" ht="15">
      <c r="A25" s="648"/>
      <c r="B25" s="632" t="s">
        <v>2644</v>
      </c>
      <c r="C25" s="2606">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2"/>
      <c r="M25" s="1133"/>
      <c r="N25" s="1133"/>
      <c r="O25" s="1134"/>
      <c r="P25" s="3252"/>
      <c r="Q25" s="1793" t="str">
        <f t="shared" ref="Q25" si="9">B25</f>
        <v>基础设施水平</v>
      </c>
      <c r="R25" s="769" t="s">
        <v>17</v>
      </c>
      <c r="S25" s="770">
        <f>F25</f>
        <v>100</v>
      </c>
      <c r="T25" s="769" t="s">
        <v>17</v>
      </c>
      <c r="U25" s="770">
        <f>H25</f>
        <v>100</v>
      </c>
      <c r="V25" s="769" t="s">
        <v>17</v>
      </c>
      <c r="W25" s="770">
        <f>J25</f>
        <v>100</v>
      </c>
      <c r="X25" s="771"/>
      <c r="Y25" s="3252"/>
      <c r="Z25" s="54" t="str">
        <f>Q25</f>
        <v>基础设施水平</v>
      </c>
      <c r="AA25" s="1809">
        <f>D25/F25</f>
        <v>1</v>
      </c>
      <c r="AB25" s="1809">
        <f>D25/H25</f>
        <v>1</v>
      </c>
      <c r="AC25" s="1809">
        <f>D25/J25</f>
        <v>1</v>
      </c>
    </row>
    <row r="26" spans="1:29" s="116" customFormat="1" ht="15">
      <c r="A26" s="648"/>
      <c r="B26" s="631"/>
      <c r="C26" s="2699"/>
      <c r="D26" s="447"/>
      <c r="E26" s="2700"/>
      <c r="F26" s="447"/>
      <c r="G26" s="2700"/>
      <c r="H26" s="447"/>
      <c r="I26" s="2700"/>
      <c r="J26" s="447"/>
      <c r="K26" s="671"/>
      <c r="L26" s="1132"/>
      <c r="M26" s="1133"/>
      <c r="N26" s="1133"/>
      <c r="O26" s="1134"/>
      <c r="P26" s="3252"/>
      <c r="Q26" s="1793"/>
      <c r="R26" s="769"/>
      <c r="S26" s="770"/>
      <c r="T26" s="769"/>
      <c r="U26" s="770"/>
      <c r="V26" s="769"/>
      <c r="W26" s="770"/>
      <c r="X26" s="771"/>
      <c r="Y26" s="3252"/>
      <c r="Z26" s="54"/>
      <c r="AA26" s="772">
        <v>1</v>
      </c>
      <c r="AB26" s="772">
        <v>1</v>
      </c>
      <c r="AC26" s="772">
        <v>1</v>
      </c>
    </row>
    <row r="27" spans="1:29" ht="15">
      <c r="A27" s="427"/>
      <c r="B27" s="631" t="s">
        <v>2645</v>
      </c>
      <c r="C27" s="615"/>
      <c r="D27" s="434">
        <v>100</v>
      </c>
      <c r="E27" s="633"/>
      <c r="F27" s="434">
        <f>SUMIF(95:95,E27,96:96)-SUMIF(95:95,C27,96:96)+100</f>
        <v>100</v>
      </c>
      <c r="G27" s="633"/>
      <c r="H27" s="434">
        <f>SUMIF(95:95,G27,96:96)-SUMIF(95:95,C27,96:96)+100</f>
        <v>100</v>
      </c>
      <c r="I27" s="633"/>
      <c r="J27" s="434">
        <f>SUMIF(95:95,I27,96:96)-SUMIF(95:95,C27,96:96)+100</f>
        <v>100</v>
      </c>
      <c r="K27" s="672"/>
      <c r="L27" s="1140"/>
      <c r="M27" s="1131"/>
      <c r="N27" s="1131"/>
      <c r="O27" s="1139"/>
      <c r="P27" s="325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52"/>
      <c r="Z27" s="1812" t="str">
        <f t="shared" ref="Z27:Z40" si="13">Q27</f>
        <v>临街状况</v>
      </c>
      <c r="AA27" s="1809">
        <f t="shared" si="3"/>
        <v>1</v>
      </c>
      <c r="AB27" s="1809">
        <f t="shared" si="4"/>
        <v>1</v>
      </c>
      <c r="AC27" s="1809">
        <f t="shared" si="5"/>
        <v>1</v>
      </c>
    </row>
    <row r="28" spans="1:29" ht="27">
      <c r="A28" s="427"/>
      <c r="B28" s="632" t="s">
        <v>2680</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0"/>
      <c r="M28" s="1131"/>
      <c r="N28" s="1131"/>
      <c r="O28" s="1139"/>
      <c r="P28" s="3252"/>
      <c r="Q28" s="1808" t="str">
        <f t="shared" si="8"/>
        <v>毗邻道路的类型与等级</v>
      </c>
      <c r="R28" s="773" t="s">
        <v>17</v>
      </c>
      <c r="S28" s="774">
        <f t="shared" si="10"/>
        <v>100</v>
      </c>
      <c r="T28" s="773" t="s">
        <v>17</v>
      </c>
      <c r="U28" s="774">
        <f t="shared" si="11"/>
        <v>100</v>
      </c>
      <c r="V28" s="773" t="s">
        <v>17</v>
      </c>
      <c r="W28" s="774">
        <f t="shared" si="12"/>
        <v>100</v>
      </c>
      <c r="X28" s="1811"/>
      <c r="Y28" s="3252"/>
      <c r="Z28" s="1812" t="str">
        <f t="shared" si="13"/>
        <v>毗邻道路的类型与等级</v>
      </c>
      <c r="AA28" s="1809">
        <f t="shared" si="3"/>
        <v>1</v>
      </c>
      <c r="AB28" s="1809">
        <f t="shared" si="4"/>
        <v>1</v>
      </c>
      <c r="AC28" s="1809">
        <f t="shared" si="5"/>
        <v>1</v>
      </c>
    </row>
    <row r="29" spans="1:29" ht="15">
      <c r="A29" s="427"/>
      <c r="B29" s="631"/>
      <c r="C29" s="446"/>
      <c r="D29" s="447"/>
      <c r="E29" s="2610"/>
      <c r="F29" s="447"/>
      <c r="G29" s="2610"/>
      <c r="H29" s="447"/>
      <c r="I29" s="2610"/>
      <c r="J29" s="447"/>
      <c r="K29" s="612"/>
      <c r="L29" s="1140"/>
      <c r="M29" s="1131"/>
      <c r="N29" s="1131"/>
      <c r="O29" s="1139"/>
      <c r="P29" s="3252"/>
      <c r="Q29" s="1808"/>
      <c r="R29" s="773"/>
      <c r="S29" s="774"/>
      <c r="T29" s="773"/>
      <c r="U29" s="774"/>
      <c r="V29" s="773"/>
      <c r="W29" s="774"/>
      <c r="X29" s="1811"/>
      <c r="Y29" s="3252"/>
      <c r="Z29" s="1812"/>
      <c r="AA29" s="1809">
        <v>1</v>
      </c>
      <c r="AB29" s="1809">
        <v>1</v>
      </c>
      <c r="AC29" s="1809">
        <v>1</v>
      </c>
    </row>
    <row r="30" spans="1:29" ht="15">
      <c r="A30" s="427"/>
      <c r="B30" s="653" t="s">
        <v>2739</v>
      </c>
      <c r="C30" s="1389">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0"/>
      <c r="M30" s="1131"/>
      <c r="N30" s="1131"/>
      <c r="O30" s="1139"/>
      <c r="P30" s="3252"/>
      <c r="Q30" s="1808" t="str">
        <f t="shared" si="8"/>
        <v>土地级别</v>
      </c>
      <c r="R30" s="773" t="s">
        <v>17</v>
      </c>
      <c r="S30" s="774">
        <f t="shared" si="10"/>
        <v>100</v>
      </c>
      <c r="T30" s="773" t="s">
        <v>17</v>
      </c>
      <c r="U30" s="774">
        <f t="shared" si="11"/>
        <v>100</v>
      </c>
      <c r="V30" s="773" t="s">
        <v>17</v>
      </c>
      <c r="W30" s="774">
        <f t="shared" si="12"/>
        <v>100</v>
      </c>
      <c r="X30" s="1811"/>
      <c r="Y30" s="3252"/>
      <c r="Z30" s="1812" t="str">
        <f t="shared" si="13"/>
        <v>土地级别</v>
      </c>
      <c r="AA30" s="1809">
        <f t="shared" si="3"/>
        <v>1</v>
      </c>
      <c r="AB30" s="1809">
        <f t="shared" si="4"/>
        <v>1</v>
      </c>
      <c r="AC30" s="1809">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252"/>
      <c r="Q31" s="1808">
        <f t="shared" si="8"/>
        <v>111</v>
      </c>
      <c r="R31" s="773" t="s">
        <v>17</v>
      </c>
      <c r="S31" s="774">
        <f t="shared" si="10"/>
        <v>100</v>
      </c>
      <c r="T31" s="773" t="s">
        <v>17</v>
      </c>
      <c r="U31" s="774">
        <f t="shared" si="11"/>
        <v>100</v>
      </c>
      <c r="V31" s="773" t="s">
        <v>17</v>
      </c>
      <c r="W31" s="774">
        <f t="shared" si="12"/>
        <v>100</v>
      </c>
      <c r="X31" s="1811"/>
      <c r="Y31" s="3252"/>
      <c r="Z31" s="1812">
        <f t="shared" si="13"/>
        <v>111</v>
      </c>
      <c r="AA31" s="1809">
        <f t="shared" si="3"/>
        <v>1</v>
      </c>
      <c r="AB31" s="1809">
        <f t="shared" si="4"/>
        <v>1</v>
      </c>
      <c r="AC31" s="1809">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0"/>
      <c r="M32" s="1131"/>
      <c r="N32" s="1131"/>
      <c r="O32" s="1139"/>
      <c r="P32" s="3276" t="s">
        <v>2554</v>
      </c>
      <c r="Q32" s="1808">
        <f t="shared" si="8"/>
        <v>111</v>
      </c>
      <c r="R32" s="773" t="s">
        <v>17</v>
      </c>
      <c r="S32" s="774">
        <f t="shared" si="10"/>
        <v>100</v>
      </c>
      <c r="T32" s="773" t="s">
        <v>17</v>
      </c>
      <c r="U32" s="774">
        <f t="shared" si="11"/>
        <v>100</v>
      </c>
      <c r="V32" s="773" t="s">
        <v>17</v>
      </c>
      <c r="W32" s="774">
        <f t="shared" si="12"/>
        <v>100</v>
      </c>
      <c r="X32" s="1811"/>
      <c r="Y32" s="3256" t="s">
        <v>2554</v>
      </c>
      <c r="Z32" s="1812">
        <f t="shared" si="13"/>
        <v>111</v>
      </c>
      <c r="AA32" s="1809">
        <f t="shared" si="3"/>
        <v>1</v>
      </c>
      <c r="AB32" s="1809">
        <f t="shared" si="4"/>
        <v>1</v>
      </c>
      <c r="AC32" s="1809">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8"/>
      <c r="M33" s="1141"/>
      <c r="N33" s="1141"/>
      <c r="O33" s="1142"/>
      <c r="P33" s="3256"/>
      <c r="Q33" s="1808">
        <f t="shared" si="8"/>
        <v>111</v>
      </c>
      <c r="R33" s="776" t="s">
        <v>17</v>
      </c>
      <c r="S33" s="777">
        <f t="shared" si="10"/>
        <v>100</v>
      </c>
      <c r="T33" s="776" t="s">
        <v>17</v>
      </c>
      <c r="U33" s="777">
        <f t="shared" si="11"/>
        <v>100</v>
      </c>
      <c r="V33" s="776" t="s">
        <v>17</v>
      </c>
      <c r="W33" s="777">
        <f t="shared" si="12"/>
        <v>100</v>
      </c>
      <c r="X33" s="778"/>
      <c r="Y33" s="3256"/>
      <c r="Z33" s="779">
        <f t="shared" si="13"/>
        <v>111</v>
      </c>
      <c r="AA33" s="1809">
        <f t="shared" si="3"/>
        <v>1</v>
      </c>
      <c r="AB33" s="1809">
        <f t="shared" si="4"/>
        <v>1</v>
      </c>
      <c r="AC33" s="1809">
        <f t="shared" si="5"/>
        <v>1</v>
      </c>
    </row>
    <row r="34" spans="1:29" ht="15">
      <c r="A34" s="439" t="s">
        <v>2552</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0"/>
      <c r="M34" s="1131"/>
      <c r="N34" s="1131"/>
      <c r="O34" s="1139"/>
      <c r="P34" s="3256"/>
      <c r="Q34" s="1808" t="str">
        <f>B34</f>
        <v>宗地面积</v>
      </c>
      <c r="R34" s="773" t="s">
        <v>17</v>
      </c>
      <c r="S34" s="774" t="e">
        <f t="shared" si="10"/>
        <v>#N/A</v>
      </c>
      <c r="T34" s="773" t="s">
        <v>17</v>
      </c>
      <c r="U34" s="774" t="e">
        <f t="shared" si="11"/>
        <v>#N/A</v>
      </c>
      <c r="V34" s="773" t="s">
        <v>17</v>
      </c>
      <c r="W34" s="774" t="e">
        <f t="shared" si="12"/>
        <v>#N/A</v>
      </c>
      <c r="X34" s="1811"/>
      <c r="Y34" s="3256"/>
      <c r="Z34" s="1812" t="str">
        <f t="shared" si="13"/>
        <v>宗地面积</v>
      </c>
      <c r="AA34" s="1809" t="e">
        <f t="shared" si="3"/>
        <v>#N/A</v>
      </c>
      <c r="AB34" s="1809" t="e">
        <f t="shared" si="4"/>
        <v>#N/A</v>
      </c>
      <c r="AC34" s="1809" t="e">
        <f t="shared" si="5"/>
        <v>#N/A</v>
      </c>
    </row>
    <row r="35" spans="1:29" ht="15">
      <c r="A35" s="471"/>
      <c r="B35" s="421" t="s">
        <v>2741</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0"/>
      <c r="M35" s="1131"/>
      <c r="N35" s="1131"/>
      <c r="O35" s="1139"/>
      <c r="P35" s="3256"/>
      <c r="Q35" s="1808" t="str">
        <f t="shared" ref="Q35:Q40" si="14">B35</f>
        <v>宗地形状</v>
      </c>
      <c r="R35" s="773" t="s">
        <v>17</v>
      </c>
      <c r="S35" s="774">
        <f t="shared" si="10"/>
        <v>100</v>
      </c>
      <c r="T35" s="773" t="s">
        <v>17</v>
      </c>
      <c r="U35" s="774">
        <f t="shared" si="11"/>
        <v>100</v>
      </c>
      <c r="V35" s="773" t="s">
        <v>17</v>
      </c>
      <c r="W35" s="774">
        <f t="shared" si="12"/>
        <v>100</v>
      </c>
      <c r="X35" s="1811"/>
      <c r="Y35" s="3256"/>
      <c r="Z35" s="1812" t="str">
        <f t="shared" si="13"/>
        <v>宗地形状</v>
      </c>
      <c r="AA35" s="1809">
        <f t="shared" si="3"/>
        <v>1</v>
      </c>
      <c r="AB35" s="1809">
        <f t="shared" si="4"/>
        <v>1</v>
      </c>
      <c r="AC35" s="1809">
        <f t="shared" si="5"/>
        <v>1</v>
      </c>
    </row>
    <row r="36" spans="1:29" s="116" customFormat="1" ht="15">
      <c r="A36" s="472"/>
      <c r="B36" s="421" t="s">
        <v>2743</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2"/>
      <c r="M36" s="1133"/>
      <c r="N36" s="1133"/>
      <c r="O36" s="1134"/>
      <c r="P36" s="3256"/>
      <c r="Q36" s="1808" t="str">
        <f t="shared" si="14"/>
        <v>宗地开发程度</v>
      </c>
      <c r="R36" s="769" t="s">
        <v>17</v>
      </c>
      <c r="S36" s="770">
        <f t="shared" si="10"/>
        <v>100</v>
      </c>
      <c r="T36" s="769" t="s">
        <v>17</v>
      </c>
      <c r="U36" s="770">
        <f t="shared" si="11"/>
        <v>100</v>
      </c>
      <c r="V36" s="769" t="s">
        <v>17</v>
      </c>
      <c r="W36" s="770">
        <f t="shared" si="12"/>
        <v>100</v>
      </c>
      <c r="X36" s="771"/>
      <c r="Y36" s="3256"/>
      <c r="Z36" s="54" t="str">
        <f t="shared" si="13"/>
        <v>宗地开发程度</v>
      </c>
      <c r="AA36" s="772">
        <f t="shared" si="3"/>
        <v>1</v>
      </c>
      <c r="AB36" s="772">
        <f t="shared" si="4"/>
        <v>1</v>
      </c>
      <c r="AC36" s="772">
        <f t="shared" si="5"/>
        <v>1</v>
      </c>
    </row>
    <row r="37" spans="1:29" ht="15">
      <c r="A37" s="471"/>
      <c r="B37" s="421" t="s">
        <v>2744</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0"/>
      <c r="M37" s="1131"/>
      <c r="N37" s="1131"/>
      <c r="O37" s="1139"/>
      <c r="P37" s="3256" t="s">
        <v>2554</v>
      </c>
      <c r="Q37" s="1808" t="str">
        <f t="shared" si="14"/>
        <v>工程地质条件</v>
      </c>
      <c r="R37" s="773" t="s">
        <v>17</v>
      </c>
      <c r="S37" s="774">
        <f t="shared" si="10"/>
        <v>100</v>
      </c>
      <c r="T37" s="773" t="s">
        <v>17</v>
      </c>
      <c r="U37" s="774">
        <f t="shared" si="11"/>
        <v>100</v>
      </c>
      <c r="V37" s="773" t="s">
        <v>17</v>
      </c>
      <c r="W37" s="774">
        <f t="shared" si="12"/>
        <v>100</v>
      </c>
      <c r="X37" s="1811"/>
      <c r="Y37" s="3256" t="s">
        <v>2554</v>
      </c>
      <c r="Z37" s="1812" t="str">
        <f t="shared" si="13"/>
        <v>工程地质条件</v>
      </c>
      <c r="AA37" s="1809">
        <f t="shared" si="3"/>
        <v>1</v>
      </c>
      <c r="AB37" s="1809">
        <f t="shared" si="4"/>
        <v>1</v>
      </c>
      <c r="AC37" s="1809">
        <f t="shared" si="5"/>
        <v>1</v>
      </c>
    </row>
    <row r="38" spans="1:29" ht="15">
      <c r="A38" s="471"/>
      <c r="B38" s="1387">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0"/>
      <c r="M38" s="1131"/>
      <c r="N38" s="1131"/>
      <c r="O38" s="1139"/>
      <c r="P38" s="3256"/>
      <c r="Q38" s="1808">
        <f t="shared" si="14"/>
        <v>111</v>
      </c>
      <c r="R38" s="773" t="s">
        <v>17</v>
      </c>
      <c r="S38" s="774">
        <f t="shared" si="10"/>
        <v>100</v>
      </c>
      <c r="T38" s="773" t="s">
        <v>17</v>
      </c>
      <c r="U38" s="774">
        <f t="shared" si="11"/>
        <v>100</v>
      </c>
      <c r="V38" s="773" t="s">
        <v>17</v>
      </c>
      <c r="W38" s="774">
        <f t="shared" si="12"/>
        <v>100</v>
      </c>
      <c r="X38" s="1811"/>
      <c r="Y38" s="3256"/>
      <c r="Z38" s="1812">
        <f t="shared" si="13"/>
        <v>111</v>
      </c>
      <c r="AA38" s="1809">
        <f t="shared" si="3"/>
        <v>1</v>
      </c>
      <c r="AB38" s="1809">
        <f t="shared" si="4"/>
        <v>1</v>
      </c>
      <c r="AC38" s="1809">
        <f t="shared" si="5"/>
        <v>1</v>
      </c>
    </row>
    <row r="39" spans="1:29" ht="15">
      <c r="A39" s="471"/>
      <c r="B39" s="1387">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0"/>
      <c r="M39" s="1131"/>
      <c r="N39" s="1131"/>
      <c r="O39" s="1139"/>
      <c r="P39" s="3256"/>
      <c r="Q39" s="1808">
        <f t="shared" si="14"/>
        <v>111</v>
      </c>
      <c r="R39" s="773" t="s">
        <v>17</v>
      </c>
      <c r="S39" s="774">
        <f t="shared" si="10"/>
        <v>100</v>
      </c>
      <c r="T39" s="773" t="s">
        <v>17</v>
      </c>
      <c r="U39" s="774">
        <f t="shared" si="11"/>
        <v>100</v>
      </c>
      <c r="V39" s="773" t="s">
        <v>17</v>
      </c>
      <c r="W39" s="774">
        <f t="shared" si="12"/>
        <v>100</v>
      </c>
      <c r="X39" s="1811"/>
      <c r="Y39" s="3256"/>
      <c r="Z39" s="1812">
        <f t="shared" si="13"/>
        <v>111</v>
      </c>
      <c r="AA39" s="1809">
        <f t="shared" si="3"/>
        <v>1</v>
      </c>
      <c r="AB39" s="1809">
        <f t="shared" si="4"/>
        <v>1</v>
      </c>
      <c r="AC39" s="1809">
        <f t="shared" si="5"/>
        <v>1</v>
      </c>
    </row>
    <row r="40" spans="1:29" s="470" customFormat="1" ht="15.75" thickBot="1">
      <c r="A40" s="467"/>
      <c r="B40" s="1387">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8"/>
      <c r="M40" s="1141"/>
      <c r="N40" s="1141"/>
      <c r="O40" s="1142"/>
      <c r="P40" s="3256"/>
      <c r="Q40" s="1808">
        <f t="shared" si="14"/>
        <v>111</v>
      </c>
      <c r="R40" s="776" t="s">
        <v>17</v>
      </c>
      <c r="S40" s="777">
        <f t="shared" si="10"/>
        <v>100</v>
      </c>
      <c r="T40" s="776" t="s">
        <v>17</v>
      </c>
      <c r="U40" s="777">
        <f t="shared" si="11"/>
        <v>100</v>
      </c>
      <c r="V40" s="776" t="s">
        <v>17</v>
      </c>
      <c r="W40" s="777">
        <f t="shared" si="12"/>
        <v>100</v>
      </c>
      <c r="X40" s="778"/>
      <c r="Y40" s="3256"/>
      <c r="Z40" s="779">
        <f t="shared" si="13"/>
        <v>111</v>
      </c>
      <c r="AA40" s="1809">
        <f t="shared" si="3"/>
        <v>1</v>
      </c>
      <c r="AB40" s="1809">
        <f t="shared" si="4"/>
        <v>1</v>
      </c>
      <c r="AC40" s="1809">
        <f t="shared" si="5"/>
        <v>1</v>
      </c>
    </row>
    <row r="41" spans="1:29" ht="15">
      <c r="A41" s="478" t="s">
        <v>2709</v>
      </c>
      <c r="B41" s="2703" t="s">
        <v>2789</v>
      </c>
      <c r="C41" s="681" t="s">
        <v>1</v>
      </c>
      <c r="D41" s="480"/>
      <c r="E41" s="481"/>
      <c r="F41" s="482"/>
      <c r="G41" s="483"/>
      <c r="H41" s="484"/>
      <c r="I41" s="481"/>
      <c r="J41" s="484"/>
      <c r="K41" s="782"/>
      <c r="L41" s="1143"/>
      <c r="M41" s="1131"/>
      <c r="N41" s="1131"/>
      <c r="O41" s="1144"/>
      <c r="P41" s="3249" t="str">
        <f>A41</f>
        <v>成交单价</v>
      </c>
      <c r="Q41" s="3249"/>
      <c r="R41" s="3244">
        <f>E41</f>
        <v>0</v>
      </c>
      <c r="S41" s="3244"/>
      <c r="T41" s="3244">
        <f>G41</f>
        <v>0</v>
      </c>
      <c r="U41" s="3244"/>
      <c r="V41" s="3244">
        <f>I41</f>
        <v>0</v>
      </c>
      <c r="W41" s="3244"/>
      <c r="X41" s="758"/>
      <c r="Y41" s="780"/>
      <c r="Z41" s="758"/>
      <c r="AA41" s="758"/>
      <c r="AB41" s="758"/>
      <c r="AC41" s="758"/>
    </row>
    <row r="42" spans="1:29" ht="15.75" thickBot="1">
      <c r="A42" s="485" t="s">
        <v>2658</v>
      </c>
      <c r="B42" s="682"/>
      <c r="C42" s="489" t="e">
        <f>R43</f>
        <v>#DIV/0!</v>
      </c>
      <c r="D42" s="488"/>
      <c r="E42" s="489" t="e">
        <f>R42</f>
        <v>#DIV/0!</v>
      </c>
      <c r="F42" s="490"/>
      <c r="G42" s="487" t="e">
        <f>T42</f>
        <v>#DIV/0!</v>
      </c>
      <c r="H42" s="488"/>
      <c r="I42" s="489" t="e">
        <f>V42</f>
        <v>#DIV/0!</v>
      </c>
      <c r="J42" s="488"/>
      <c r="K42" s="783"/>
      <c r="L42" s="1143"/>
      <c r="M42" s="1131"/>
      <c r="N42" s="1131"/>
      <c r="O42" s="1144"/>
      <c r="P42" s="3249" t="str">
        <f>A42</f>
        <v>比较价值（元/平方米）</v>
      </c>
      <c r="Q42" s="3249"/>
      <c r="R42" s="3277" t="e">
        <f>ROUND(PRODUCT(R41,AA7:AA40),0)</f>
        <v>#DIV/0!</v>
      </c>
      <c r="S42" s="3277"/>
      <c r="T42" s="3277" t="e">
        <f>ROUND(PRODUCT(T41,AB7:AB40),0)</f>
        <v>#DIV/0!</v>
      </c>
      <c r="U42" s="3277"/>
      <c r="V42" s="3277" t="e">
        <f>ROUND(PRODUCT(V41,AC7:AC40),0)</f>
        <v>#DIV/0!</v>
      </c>
      <c r="W42" s="3277"/>
      <c r="X42" s="758"/>
      <c r="Y42" s="758"/>
      <c r="Z42" s="758"/>
      <c r="AA42" s="758"/>
      <c r="AB42" s="758"/>
      <c r="AC42" s="758"/>
    </row>
    <row r="43" spans="1:29" ht="15.75" thickBot="1">
      <c r="A43" s="491" t="s">
        <v>2659</v>
      </c>
      <c r="B43" s="492"/>
      <c r="C43" s="493" t="e">
        <f>R43</f>
        <v>#DIV/0!</v>
      </c>
      <c r="D43" s="493"/>
      <c r="E43" s="493"/>
      <c r="F43" s="493"/>
      <c r="G43" s="493"/>
      <c r="H43" s="493"/>
      <c r="I43" s="493"/>
      <c r="J43" s="493"/>
      <c r="K43" s="784"/>
      <c r="L43" s="1143"/>
      <c r="M43" s="1131"/>
      <c r="N43" s="1131"/>
      <c r="O43" s="1144"/>
      <c r="P43" s="3246" t="str">
        <f>A43</f>
        <v>估价对象XX用房的比较价值（楼面单价，元/平方米）</v>
      </c>
      <c r="Q43" s="3247"/>
      <c r="R43" s="3278" t="e">
        <f>ROUND(AVERAGE(R42:V42),0)</f>
        <v>#DIV/0!</v>
      </c>
      <c r="S43" s="3278"/>
      <c r="T43" s="3278"/>
      <c r="U43" s="3278"/>
      <c r="V43" s="3278"/>
      <c r="W43" s="3278"/>
      <c r="X43" s="758"/>
      <c r="Y43" s="758"/>
      <c r="Z43" s="758"/>
      <c r="AA43" s="758"/>
      <c r="AB43" s="758"/>
      <c r="AC43" s="758"/>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1"/>
      <c r="D49" s="759"/>
      <c r="E49" s="759"/>
      <c r="F49" s="759"/>
      <c r="G49" s="759"/>
      <c r="H49" s="759"/>
      <c r="I49" s="759"/>
      <c r="J49" s="759"/>
      <c r="K49" s="1148"/>
      <c r="L49" s="1149"/>
      <c r="M49" s="1145"/>
      <c r="N49" s="1145"/>
      <c r="O49" s="1145"/>
    </row>
    <row r="50" spans="1:17" ht="27">
      <c r="A50" s="683" t="s">
        <v>2747</v>
      </c>
      <c r="B50" s="684" t="s">
        <v>2748</v>
      </c>
      <c r="C50" s="2704" t="s">
        <v>2749</v>
      </c>
      <c r="D50" s="2705" t="s">
        <v>2750</v>
      </c>
      <c r="E50" s="685" t="s">
        <v>2751</v>
      </c>
      <c r="F50" s="686" t="s">
        <v>2752</v>
      </c>
      <c r="G50" s="3232" t="s">
        <v>2753</v>
      </c>
      <c r="H50" s="3279"/>
      <c r="I50" s="1812" t="s">
        <v>2790</v>
      </c>
      <c r="J50" s="1812">
        <f>项目基本情况!F35</f>
        <v>0</v>
      </c>
      <c r="K50" s="2707" t="s">
        <v>2755</v>
      </c>
      <c r="L50" s="1106"/>
      <c r="M50" s="1144"/>
      <c r="N50" s="1144"/>
      <c r="O50" s="1144"/>
    </row>
    <row r="51" spans="1:17" s="691" customFormat="1">
      <c r="A51" s="687" t="s">
        <v>2756</v>
      </c>
      <c r="B51" s="688" t="e">
        <f>C43</f>
        <v>#DIV/0!</v>
      </c>
      <c r="C51" s="689">
        <v>1</v>
      </c>
      <c r="D51" s="1163">
        <v>1</v>
      </c>
      <c r="E51" s="689">
        <f>'数据-汇总表'!E8+'数据-汇总表'!E9</f>
        <v>8276.64</v>
      </c>
      <c r="F51" s="690" t="e">
        <f t="shared" ref="F51:F60" si="15">ROUND(B51*E51/10000,0)</f>
        <v>#DIV/0!</v>
      </c>
      <c r="G51" s="3231"/>
      <c r="H51" s="3249"/>
      <c r="I51" s="944">
        <v>1</v>
      </c>
      <c r="J51" s="944">
        <v>1</v>
      </c>
      <c r="K51" s="1145"/>
      <c r="L51" s="943"/>
      <c r="M51" s="943"/>
      <c r="N51" s="943"/>
      <c r="O51" s="943"/>
    </row>
    <row r="52" spans="1:17" s="691" customFormat="1">
      <c r="A52" s="692" t="s">
        <v>2757</v>
      </c>
      <c r="B52" s="261" t="e">
        <f>ROUND($C$43*C52*D52,0)</f>
        <v>#DIV/0!</v>
      </c>
      <c r="C52" s="199">
        <f t="shared" ref="C52:C60" si="16">IF($C$50="北京市系数",I52,J52)</f>
        <v>0</v>
      </c>
      <c r="D52" s="1164">
        <v>0.25</v>
      </c>
      <c r="E52" s="693"/>
      <c r="F52" s="690" t="e">
        <f t="shared" si="15"/>
        <v>#DIV/0!</v>
      </c>
      <c r="G52" s="3280" t="s">
        <v>2758</v>
      </c>
      <c r="H52" s="1104">
        <f>项目基本情况!B37</f>
        <v>0</v>
      </c>
      <c r="I52" s="944">
        <f>SUMIF(修正!A45:A56,H52,修正!B45:B56)</f>
        <v>0</v>
      </c>
      <c r="J52" s="945"/>
      <c r="K52" s="1144"/>
      <c r="L52" s="943"/>
      <c r="M52" s="943"/>
      <c r="N52" s="943"/>
      <c r="O52" s="943"/>
    </row>
    <row r="53" spans="1:17" s="691" customFormat="1">
      <c r="A53" s="692" t="s">
        <v>2759</v>
      </c>
      <c r="B53" s="261" t="e">
        <f t="shared" ref="B53:B60" si="17">ROUND($C$43*C53*D53,0)</f>
        <v>#DIV/0!</v>
      </c>
      <c r="C53" s="199">
        <f t="shared" si="16"/>
        <v>0</v>
      </c>
      <c r="D53" s="1164">
        <v>0.25</v>
      </c>
      <c r="E53" s="693"/>
      <c r="F53" s="690" t="e">
        <f t="shared" si="15"/>
        <v>#DIV/0!</v>
      </c>
      <c r="G53" s="3280"/>
      <c r="H53" s="1104">
        <f>项目基本情况!B37</f>
        <v>0</v>
      </c>
      <c r="I53" s="944">
        <f>SUMIF(修正!A45:A56,H53,修正!C45:C56)</f>
        <v>0</v>
      </c>
      <c r="J53" s="945"/>
      <c r="K53" s="1145"/>
      <c r="L53" s="943"/>
      <c r="M53" s="943"/>
      <c r="N53" s="943"/>
      <c r="O53" s="943"/>
    </row>
    <row r="54" spans="1:17" s="691" customFormat="1">
      <c r="A54" s="692" t="s">
        <v>2760</v>
      </c>
      <c r="B54" s="261" t="e">
        <f t="shared" si="17"/>
        <v>#DIV/0!</v>
      </c>
      <c r="C54" s="199">
        <f t="shared" si="16"/>
        <v>0</v>
      </c>
      <c r="D54" s="1164">
        <v>0.25</v>
      </c>
      <c r="E54" s="693"/>
      <c r="F54" s="690" t="e">
        <f t="shared" si="15"/>
        <v>#DIV/0!</v>
      </c>
      <c r="G54" s="3280"/>
      <c r="H54" s="1104">
        <f>项目基本情况!B37</f>
        <v>0</v>
      </c>
      <c r="I54" s="944">
        <f>SUMIF(修正!A45:A56,H54,修正!D45:D56)</f>
        <v>0</v>
      </c>
      <c r="J54" s="945"/>
      <c r="K54" s="1144"/>
      <c r="L54" s="943"/>
      <c r="M54" s="943"/>
      <c r="N54" s="943"/>
      <c r="O54" s="943"/>
    </row>
    <row r="55" spans="1:17" s="691" customFormat="1">
      <c r="A55" s="692" t="s">
        <v>2761</v>
      </c>
      <c r="B55" s="261" t="e">
        <f t="shared" si="17"/>
        <v>#DIV/0!</v>
      </c>
      <c r="C55" s="199">
        <f t="shared" si="16"/>
        <v>0</v>
      </c>
      <c r="D55" s="1164">
        <v>0.25</v>
      </c>
      <c r="E55" s="693"/>
      <c r="F55" s="690" t="e">
        <f t="shared" si="15"/>
        <v>#DIV/0!</v>
      </c>
      <c r="G55" s="3280"/>
      <c r="H55" s="1104">
        <f>项目基本情况!B37</f>
        <v>0</v>
      </c>
      <c r="I55" s="944">
        <f>SUMIF(修正!A45:A56,H55,修正!E45:E56)</f>
        <v>0</v>
      </c>
      <c r="J55" s="945"/>
      <c r="K55" s="1145"/>
      <c r="L55" s="943"/>
      <c r="M55" s="943"/>
      <c r="N55" s="943"/>
      <c r="O55" s="943"/>
    </row>
    <row r="56" spans="1:17" s="691" customFormat="1">
      <c r="A56" s="692" t="s">
        <v>2762</v>
      </c>
      <c r="B56" s="261" t="e">
        <f t="shared" si="17"/>
        <v>#DIV/0!</v>
      </c>
      <c r="C56" s="199">
        <f t="shared" si="16"/>
        <v>0.3</v>
      </c>
      <c r="D56" s="1164">
        <v>0.25</v>
      </c>
      <c r="E56" s="260">
        <f>'数据-汇总表'!E11</f>
        <v>0</v>
      </c>
      <c r="F56" s="690" t="e">
        <f t="shared" si="15"/>
        <v>#DIV/0!</v>
      </c>
      <c r="G56" s="2708" t="s">
        <v>2763</v>
      </c>
      <c r="H56" s="1104" t="str">
        <f>项目基本情况!C37</f>
        <v>二级</v>
      </c>
      <c r="I56" s="944">
        <f>SUMIF(修正!A45:A56,H56,修正!F45:F56)</f>
        <v>0.3</v>
      </c>
      <c r="J56" s="945"/>
      <c r="K56" s="1144"/>
      <c r="L56" s="943"/>
      <c r="M56" s="943"/>
      <c r="N56" s="943"/>
      <c r="O56" s="943"/>
    </row>
    <row r="57" spans="1:17" s="691" customFormat="1">
      <c r="A57" s="692" t="s">
        <v>2764</v>
      </c>
      <c r="B57" s="261" t="e">
        <f t="shared" si="17"/>
        <v>#DIV/0!</v>
      </c>
      <c r="C57" s="199">
        <f t="shared" si="16"/>
        <v>0.3</v>
      </c>
      <c r="D57" s="1164">
        <v>0.25</v>
      </c>
      <c r="E57" s="260">
        <f>'数据-汇总表'!E12</f>
        <v>0</v>
      </c>
      <c r="F57" s="690" t="e">
        <f t="shared" si="15"/>
        <v>#DIV/0!</v>
      </c>
      <c r="G57" s="1109" t="s">
        <v>2765</v>
      </c>
      <c r="H57" s="1104" t="str">
        <f>IF(G57="商业",项目基本情况!B37,IF(G57="办公",项目基本情况!C37,IF(G57="住宅",项目基本情况!D37,项目基本情况!E37)))</f>
        <v>二级</v>
      </c>
      <c r="I57" s="944">
        <f>SUMIF(修正!A45:A56,H57,修正!G45:G56)</f>
        <v>0.3</v>
      </c>
      <c r="J57" s="945"/>
      <c r="K57" s="1145"/>
      <c r="L57" s="943"/>
      <c r="M57" s="943"/>
      <c r="N57" s="943"/>
      <c r="O57" s="943"/>
    </row>
    <row r="58" spans="1:17" s="691" customFormat="1">
      <c r="A58" s="692" t="s">
        <v>2766</v>
      </c>
      <c r="B58" s="261" t="e">
        <f t="shared" si="17"/>
        <v>#DIV/0!</v>
      </c>
      <c r="C58" s="199">
        <f t="shared" si="16"/>
        <v>0</v>
      </c>
      <c r="D58" s="1164">
        <v>0.25</v>
      </c>
      <c r="E58" s="260">
        <f>'数据-汇总表'!E13</f>
        <v>0</v>
      </c>
      <c r="F58" s="690" t="e">
        <f t="shared" si="15"/>
        <v>#DIV/0!</v>
      </c>
      <c r="G58" s="1109" t="s">
        <v>2767</v>
      </c>
      <c r="H58" s="1104">
        <f>IF(G58="商业",项目基本情况!B37,IF(G58="办公",项目基本情况!C37,IF(G58="住宅",项目基本情况!D37,项目基本情况!E37)))</f>
        <v>0</v>
      </c>
      <c r="I58" s="944">
        <f>SUMIF(修正!A45:A56,H58,修正!H45:H56)</f>
        <v>0</v>
      </c>
      <c r="J58" s="945"/>
      <c r="K58" s="1144"/>
      <c r="L58" s="943"/>
      <c r="M58" s="943"/>
      <c r="N58" s="943"/>
      <c r="O58" s="943"/>
    </row>
    <row r="59" spans="1:17" s="691" customFormat="1">
      <c r="A59" s="692" t="s">
        <v>2768</v>
      </c>
      <c r="B59" s="261" t="e">
        <f t="shared" si="17"/>
        <v>#DIV/0!</v>
      </c>
      <c r="C59" s="199">
        <f t="shared" si="16"/>
        <v>0</v>
      </c>
      <c r="D59" s="1164">
        <v>0.25</v>
      </c>
      <c r="E59" s="260">
        <f>'数据-汇总表'!E14</f>
        <v>0</v>
      </c>
      <c r="F59" s="690" t="e">
        <f t="shared" si="15"/>
        <v>#DIV/0!</v>
      </c>
      <c r="G59" s="2708" t="s">
        <v>2758</v>
      </c>
      <c r="H59" s="1104">
        <f>项目基本情况!B37</f>
        <v>0</v>
      </c>
      <c r="I59" s="944">
        <f>SUMIF(修正!A45:A56,H59,修正!H45:H56)</f>
        <v>0</v>
      </c>
      <c r="J59" s="945"/>
      <c r="K59" s="1145"/>
      <c r="L59" s="943"/>
      <c r="M59" s="943"/>
      <c r="N59" s="943"/>
      <c r="O59" s="943"/>
    </row>
    <row r="60" spans="1:17" s="691" customFormat="1" ht="15" thickBot="1">
      <c r="A60" s="692" t="s">
        <v>2769</v>
      </c>
      <c r="B60" s="261" t="e">
        <f t="shared" si="17"/>
        <v>#DIV/0!</v>
      </c>
      <c r="C60" s="199">
        <f t="shared" si="16"/>
        <v>0.25</v>
      </c>
      <c r="D60" s="1164">
        <v>0.25</v>
      </c>
      <c r="E60" s="260">
        <f>'数据-汇总表'!E15</f>
        <v>0</v>
      </c>
      <c r="F60" s="690" t="e">
        <f t="shared" si="15"/>
        <v>#DIV/0!</v>
      </c>
      <c r="G60" s="2709" t="s">
        <v>2763</v>
      </c>
      <c r="H60" s="1114" t="str">
        <f>项目基本情况!C37</f>
        <v>二级</v>
      </c>
      <c r="I60" s="944">
        <f>SUMIF(修正!A45:A56,H60,修正!H45:H56)</f>
        <v>0.25</v>
      </c>
      <c r="J60" s="945"/>
      <c r="K60" s="1144"/>
      <c r="L60" s="943"/>
      <c r="M60" s="943"/>
      <c r="N60" s="943"/>
      <c r="O60" s="943"/>
    </row>
    <row r="61" spans="1:17" s="691" customFormat="1" ht="15" thickBot="1">
      <c r="A61" s="694" t="s">
        <v>2770</v>
      </c>
      <c r="B61" s="695" t="s">
        <v>28</v>
      </c>
      <c r="C61" s="695" t="s">
        <v>29</v>
      </c>
      <c r="D61" s="695" t="s">
        <v>1029</v>
      </c>
      <c r="E61" s="695">
        <f>IF(B41="楼面地价",SUM(E51:E60),'数据-汇总表'!D3)</f>
        <v>927.85</v>
      </c>
      <c r="F61" s="696" t="e">
        <f>IF(B41="楼面地价",SUM(F51:F60),ROUND(C43*E61/10000,0))</f>
        <v>#DIV/0!</v>
      </c>
      <c r="G61" s="1158"/>
      <c r="H61" s="1158"/>
      <c r="I61" s="1158"/>
      <c r="J61" s="1158"/>
      <c r="K61" s="1105"/>
      <c r="L61" s="943"/>
      <c r="M61" s="943"/>
      <c r="N61" s="943"/>
      <c r="O61" s="943"/>
    </row>
    <row r="62" spans="1:17">
      <c r="A62" s="1144"/>
      <c r="B62" s="1146"/>
      <c r="C62" s="1150"/>
      <c r="D62" s="1144"/>
      <c r="E62" s="1144"/>
      <c r="F62" s="1144"/>
      <c r="G62" s="1144"/>
      <c r="H62" s="1144"/>
      <c r="I62" s="1144"/>
      <c r="J62" s="1144"/>
      <c r="K62" s="1105"/>
      <c r="L62" s="1106"/>
      <c r="M62" s="1144"/>
      <c r="N62" s="1144"/>
      <c r="O62" s="1144"/>
    </row>
    <row r="63" spans="1:17">
      <c r="A63" s="1144"/>
      <c r="B63" s="1146"/>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2663</v>
      </c>
      <c r="B64" s="758"/>
      <c r="C64" s="763"/>
      <c r="D64" s="763"/>
      <c r="E64" s="763"/>
      <c r="F64" s="764"/>
      <c r="G64" s="764"/>
      <c r="H64" s="763"/>
      <c r="I64" s="763"/>
      <c r="J64" s="763"/>
      <c r="K64" s="765"/>
      <c r="L64" s="766"/>
      <c r="M64" s="763"/>
      <c r="N64" s="763"/>
      <c r="O64" s="1159"/>
      <c r="P64" s="502"/>
      <c r="Q64" s="503"/>
    </row>
    <row r="65" spans="1:17" s="507" customFormat="1" ht="15">
      <c r="A65" s="2710" t="s">
        <v>2771</v>
      </c>
      <c r="B65" s="1359"/>
      <c r="C65" s="1570" t="str">
        <f>YEAR(C63)&amp;"-"&amp;ROUNDUP(MONTH(C63)/3,0)</f>
        <v>2018-4</v>
      </c>
      <c r="D65" s="1570" t="str">
        <f t="shared" ref="D65:O65" si="19">YEAR(D63)&amp;"-"&amp;ROUNDUP(MONTH(D63)/3,0)</f>
        <v>2018-3</v>
      </c>
      <c r="E65" s="1570" t="str">
        <f t="shared" si="19"/>
        <v>2018-2</v>
      </c>
      <c r="F65" s="1570" t="str">
        <f t="shared" si="19"/>
        <v>2018-1</v>
      </c>
      <c r="G65" s="1570" t="str">
        <f t="shared" si="19"/>
        <v>2017-4</v>
      </c>
      <c r="H65" s="1570" t="str">
        <f t="shared" si="19"/>
        <v>2017-3</v>
      </c>
      <c r="I65" s="1570" t="str">
        <f t="shared" si="19"/>
        <v>2017-2</v>
      </c>
      <c r="J65" s="1570" t="str">
        <f t="shared" si="19"/>
        <v>2017-1</v>
      </c>
      <c r="K65" s="1570" t="str">
        <f t="shared" si="19"/>
        <v>2016-4</v>
      </c>
      <c r="L65" s="1570" t="str">
        <f t="shared" si="19"/>
        <v>2016-3</v>
      </c>
      <c r="M65" s="1570" t="str">
        <f t="shared" si="19"/>
        <v>2016-2</v>
      </c>
      <c r="N65" s="1570" t="str">
        <f t="shared" si="19"/>
        <v>2016-1</v>
      </c>
      <c r="O65" s="1570" t="str">
        <f t="shared" si="19"/>
        <v>2015-4</v>
      </c>
      <c r="P65" s="506"/>
    </row>
    <row r="66" spans="1:17" s="116" customFormat="1" ht="30.75" customHeight="1">
      <c r="A66" s="2715" t="s">
        <v>2791</v>
      </c>
      <c r="B66" s="331" t="str">
        <f>"北京市平均增长率"&amp;TEXT(基准地价修正!P24,"0.00%")</f>
        <v>北京市平均增长率1.42%</v>
      </c>
      <c r="C66" s="602">
        <v>100</v>
      </c>
      <c r="D66" s="594"/>
      <c r="E66" s="594"/>
      <c r="F66" s="594"/>
      <c r="G66" s="594"/>
      <c r="H66" s="594"/>
      <c r="I66" s="594"/>
      <c r="J66" s="594"/>
      <c r="K66" s="594"/>
      <c r="L66" s="594"/>
      <c r="M66" s="1565"/>
      <c r="N66" s="1565"/>
      <c r="O66" s="1567"/>
      <c r="P66" s="503"/>
    </row>
    <row r="67" spans="1:17" s="116" customFormat="1" ht="15.75" thickBot="1">
      <c r="A67" s="514" t="s">
        <v>2574</v>
      </c>
      <c r="B67" s="515"/>
      <c r="C67" s="516"/>
      <c r="D67" s="517"/>
      <c r="E67" s="517"/>
      <c r="F67" s="517"/>
      <c r="G67" s="517"/>
      <c r="H67" s="517"/>
      <c r="I67" s="517"/>
      <c r="J67" s="517"/>
      <c r="K67" s="517"/>
      <c r="L67" s="517"/>
      <c r="M67" s="518"/>
      <c r="N67" s="518"/>
      <c r="O67" s="519"/>
      <c r="P67" s="503"/>
      <c r="Q67" s="503"/>
    </row>
    <row r="68" spans="1:17" s="116" customFormat="1" ht="15">
      <c r="A68" s="520" t="s">
        <v>2539</v>
      </c>
      <c r="B68" s="509"/>
      <c r="C68" s="521" t="s">
        <v>2641</v>
      </c>
      <c r="D68" s="522"/>
      <c r="E68" s="522"/>
      <c r="F68" s="522"/>
      <c r="G68" s="522"/>
      <c r="H68" s="522"/>
      <c r="I68" s="522"/>
      <c r="J68" s="522"/>
      <c r="K68" s="522"/>
      <c r="L68" s="523"/>
      <c r="M68" s="524"/>
      <c r="N68" s="1151"/>
      <c r="O68" s="1151"/>
      <c r="P68" s="525"/>
      <c r="Q68" s="503"/>
    </row>
    <row r="69" spans="1:17" s="116" customFormat="1" ht="15.75" thickBot="1">
      <c r="A69" s="520"/>
      <c r="B69" s="509"/>
      <c r="C69" s="638">
        <v>100</v>
      </c>
      <c r="D69" s="511"/>
      <c r="E69" s="511"/>
      <c r="F69" s="511"/>
      <c r="G69" s="511"/>
      <c r="H69" s="511"/>
      <c r="I69" s="511"/>
      <c r="J69" s="511"/>
      <c r="K69" s="511"/>
      <c r="L69" s="511"/>
      <c r="M69" s="513"/>
      <c r="N69" s="1151"/>
      <c r="O69" s="1151"/>
      <c r="P69" s="503"/>
      <c r="Q69" s="503"/>
    </row>
    <row r="70" spans="1:17">
      <c r="A70" s="526" t="s">
        <v>2577</v>
      </c>
      <c r="B70" s="527" t="s">
        <v>2543</v>
      </c>
      <c r="C70" s="529"/>
      <c r="D70" s="529"/>
      <c r="E70" s="529"/>
      <c r="F70" s="529"/>
      <c r="G70" s="529"/>
      <c r="H70" s="529"/>
      <c r="I70" s="529"/>
      <c r="J70" s="529"/>
      <c r="K70" s="530"/>
      <c r="L70" s="531"/>
      <c r="M70" s="532"/>
      <c r="N70" s="1152"/>
      <c r="O70" s="1152"/>
      <c r="P70" s="44"/>
      <c r="Q70" s="503"/>
    </row>
    <row r="71" spans="1:17" ht="15.75" thickBot="1">
      <c r="A71" s="533"/>
      <c r="B71" s="534"/>
      <c r="C71" s="535"/>
      <c r="D71" s="535"/>
      <c r="E71" s="535"/>
      <c r="F71" s="535"/>
      <c r="G71" s="535"/>
      <c r="H71" s="535"/>
      <c r="I71" s="535"/>
      <c r="J71" s="535"/>
      <c r="K71" s="535"/>
      <c r="L71" s="535"/>
      <c r="M71" s="536"/>
      <c r="N71" s="1153"/>
      <c r="O71" s="1153"/>
      <c r="P71" s="44"/>
      <c r="Q71" s="503"/>
    </row>
    <row r="72" spans="1:17" ht="27.75" thickTop="1">
      <c r="A72" s="533"/>
      <c r="B72" s="537" t="s">
        <v>2546</v>
      </c>
      <c r="C72" s="538"/>
      <c r="D72" s="538"/>
      <c r="E72" s="538"/>
      <c r="F72" s="538"/>
      <c r="G72" s="538"/>
      <c r="H72" s="538"/>
      <c r="I72" s="538"/>
      <c r="J72" s="538"/>
      <c r="K72" s="539"/>
      <c r="L72" s="540"/>
      <c r="M72" s="541"/>
      <c r="N72" s="1152"/>
      <c r="O72" s="1152"/>
      <c r="P72" s="44"/>
      <c r="Q72" s="503"/>
    </row>
    <row r="73" spans="1:17" ht="15.75" thickBot="1">
      <c r="A73" s="533"/>
      <c r="B73" s="542"/>
      <c r="C73" s="543"/>
      <c r="D73" s="543"/>
      <c r="E73" s="543"/>
      <c r="F73" s="543"/>
      <c r="G73" s="543"/>
      <c r="H73" s="543"/>
      <c r="I73" s="543"/>
      <c r="J73" s="543"/>
      <c r="K73" s="543"/>
      <c r="L73" s="543"/>
      <c r="M73" s="544"/>
      <c r="N73" s="1153"/>
      <c r="O73" s="1153"/>
      <c r="P73" s="44"/>
      <c r="Q73" s="503"/>
    </row>
    <row r="74" spans="1:17" ht="15.7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4"/>
      <c r="Q74" s="503"/>
    </row>
    <row r="75" spans="1:17" ht="15">
      <c r="A75" s="533"/>
      <c r="B75" s="547"/>
      <c r="C75" s="548"/>
      <c r="D75" s="548"/>
      <c r="E75" s="548"/>
      <c r="F75" s="548"/>
      <c r="G75" s="548"/>
      <c r="H75" s="548"/>
      <c r="I75" s="548"/>
      <c r="J75" s="548"/>
      <c r="K75" s="549"/>
      <c r="L75" s="550"/>
      <c r="M75" s="551"/>
      <c r="N75" s="1152"/>
      <c r="O75" s="1152"/>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4"/>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2548</v>
      </c>
      <c r="B83" s="527" t="s">
        <v>2694</v>
      </c>
      <c r="C83" s="572" t="s">
        <v>2586</v>
      </c>
      <c r="D83" s="572" t="s">
        <v>2587</v>
      </c>
      <c r="E83" s="572" t="s">
        <v>2588</v>
      </c>
      <c r="F83" s="572" t="s">
        <v>2589</v>
      </c>
      <c r="G83" s="572" t="s">
        <v>2590</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4"/>
      <c r="Q84" s="503"/>
    </row>
    <row r="85" spans="1:17" ht="15.75" thickTop="1">
      <c r="A85" s="533"/>
      <c r="B85" s="537" t="s">
        <v>2591</v>
      </c>
      <c r="C85" s="577" t="s">
        <v>2586</v>
      </c>
      <c r="D85" s="577" t="s">
        <v>2587</v>
      </c>
      <c r="E85" s="577" t="s">
        <v>2588</v>
      </c>
      <c r="F85" s="577" t="s">
        <v>2589</v>
      </c>
      <c r="G85" s="577" t="s">
        <v>2590</v>
      </c>
      <c r="H85" s="538"/>
      <c r="I85" s="538"/>
      <c r="J85" s="538"/>
      <c r="K85" s="539"/>
      <c r="L85" s="540"/>
      <c r="M85" s="541"/>
      <c r="N85" s="1152"/>
      <c r="O85" s="1152"/>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4"/>
      <c r="Q86" s="503"/>
    </row>
    <row r="87" spans="1:17" s="116" customFormat="1" ht="15.75" thickTop="1">
      <c r="A87" s="578"/>
      <c r="B87" s="537" t="s">
        <v>2774</v>
      </c>
      <c r="C87" s="572" t="s">
        <v>2586</v>
      </c>
      <c r="D87" s="572" t="s">
        <v>2587</v>
      </c>
      <c r="E87" s="572" t="s">
        <v>2588</v>
      </c>
      <c r="F87" s="572" t="s">
        <v>2589</v>
      </c>
      <c r="G87" s="572" t="s">
        <v>2590</v>
      </c>
      <c r="H87" s="577"/>
      <c r="I87" s="577"/>
      <c r="J87" s="577"/>
      <c r="K87" s="577"/>
      <c r="L87" s="697"/>
      <c r="M87" s="621"/>
      <c r="N87" s="1151"/>
      <c r="O87" s="1151"/>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4"/>
      <c r="Q88" s="503"/>
    </row>
    <row r="89" spans="1:17" s="116" customFormat="1" ht="27.75" thickTop="1">
      <c r="A89" s="578"/>
      <c r="B89" s="537" t="s">
        <v>2775</v>
      </c>
      <c r="C89" s="572" t="s">
        <v>2586</v>
      </c>
      <c r="D89" s="572" t="s">
        <v>2587</v>
      </c>
      <c r="E89" s="572" t="s">
        <v>2588</v>
      </c>
      <c r="F89" s="572" t="s">
        <v>2589</v>
      </c>
      <c r="G89" s="572" t="s">
        <v>2590</v>
      </c>
      <c r="H89" s="577"/>
      <c r="I89" s="577"/>
      <c r="J89" s="577"/>
      <c r="K89" s="577"/>
      <c r="L89" s="577"/>
      <c r="M89" s="621"/>
      <c r="N89" s="1151"/>
      <c r="O89" s="1151"/>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4"/>
      <c r="Q90" s="503"/>
    </row>
    <row r="91" spans="1:17" s="470" customFormat="1" ht="15.75" thickTop="1">
      <c r="A91" s="552"/>
      <c r="B91" s="537" t="s">
        <v>2643</v>
      </c>
      <c r="C91" s="572" t="s">
        <v>2586</v>
      </c>
      <c r="D91" s="572" t="s">
        <v>2587</v>
      </c>
      <c r="E91" s="572" t="s">
        <v>2588</v>
      </c>
      <c r="F91" s="572" t="s">
        <v>2589</v>
      </c>
      <c r="G91" s="572" t="s">
        <v>2590</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2792</v>
      </c>
      <c r="C93" s="659" t="s">
        <v>2664</v>
      </c>
      <c r="D93" s="659" t="s">
        <v>2665</v>
      </c>
      <c r="E93" s="659" t="s">
        <v>2666</v>
      </c>
      <c r="F93" s="659" t="s">
        <v>2667</v>
      </c>
      <c r="G93" s="659" t="s">
        <v>2668</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2776</v>
      </c>
      <c r="D95" s="538" t="s">
        <v>2777</v>
      </c>
      <c r="E95" s="538" t="s">
        <v>2778</v>
      </c>
      <c r="F95" s="538" t="s">
        <v>2779</v>
      </c>
      <c r="G95" s="538"/>
      <c r="H95" s="538"/>
      <c r="I95" s="538"/>
      <c r="J95" s="538"/>
      <c r="K95" s="539"/>
      <c r="L95" s="540"/>
      <c r="M95" s="541"/>
      <c r="N95" s="1152"/>
      <c r="O95" s="1152"/>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4"/>
      <c r="Q96" s="503"/>
    </row>
    <row r="97" spans="1:17" ht="27.75" thickTop="1">
      <c r="A97" s="533"/>
      <c r="B97" s="537" t="s">
        <v>2680</v>
      </c>
      <c r="C97" s="553"/>
      <c r="D97" s="553"/>
      <c r="E97" s="553"/>
      <c r="F97" s="553"/>
      <c r="G97" s="553"/>
      <c r="H97" s="582"/>
      <c r="I97" s="582"/>
      <c r="J97" s="582"/>
      <c r="K97" s="583"/>
      <c r="L97" s="584"/>
      <c r="M97" s="585"/>
      <c r="N97" s="1152"/>
      <c r="O97" s="1152"/>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4"/>
      <c r="Q98" s="503"/>
    </row>
    <row r="99" spans="1:17" ht="15.75" thickTop="1">
      <c r="A99" s="533"/>
      <c r="B99" s="537" t="s">
        <v>2739</v>
      </c>
      <c r="C99" s="582"/>
      <c r="D99" s="582"/>
      <c r="E99" s="582"/>
      <c r="F99" s="582"/>
      <c r="G99" s="582"/>
      <c r="H99" s="582"/>
      <c r="I99" s="582"/>
      <c r="J99" s="582"/>
      <c r="K99" s="583"/>
      <c r="L99" s="584"/>
      <c r="M99" s="585"/>
      <c r="N99" s="1152"/>
      <c r="O99" s="1152"/>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4"/>
      <c r="Q100" s="503"/>
    </row>
    <row r="101" spans="1:17" ht="15.75" thickTop="1">
      <c r="A101" s="533"/>
      <c r="B101" s="545">
        <f>B31</f>
        <v>111</v>
      </c>
      <c r="C101" s="553"/>
      <c r="D101" s="553"/>
      <c r="E101" s="553"/>
      <c r="F101" s="553"/>
      <c r="G101" s="586"/>
      <c r="H101" s="586"/>
      <c r="I101" s="586"/>
      <c r="J101" s="586"/>
      <c r="K101" s="587"/>
      <c r="L101" s="588"/>
      <c r="M101" s="589"/>
      <c r="N101" s="1152"/>
      <c r="O101" s="1152"/>
      <c r="P101" s="44"/>
      <c r="Q101" s="503"/>
    </row>
    <row r="102" spans="1:17" ht="15.75" thickBot="1">
      <c r="A102" s="533"/>
      <c r="B102" s="568"/>
      <c r="C102" s="559"/>
      <c r="D102" s="535"/>
      <c r="E102" s="535"/>
      <c r="F102" s="535"/>
      <c r="G102" s="590"/>
      <c r="H102" s="590"/>
      <c r="I102" s="590"/>
      <c r="J102" s="590"/>
      <c r="K102" s="590"/>
      <c r="L102" s="590"/>
      <c r="M102" s="591"/>
      <c r="N102" s="1153"/>
      <c r="O102" s="1153"/>
      <c r="P102" s="44"/>
      <c r="Q102" s="503"/>
    </row>
    <row r="103" spans="1:17" ht="15" thickTop="1">
      <c r="A103" s="674"/>
      <c r="B103" s="537">
        <f>B32</f>
        <v>111</v>
      </c>
      <c r="C103" s="553"/>
      <c r="D103" s="553"/>
      <c r="E103" s="553"/>
      <c r="F103" s="553"/>
      <c r="G103" s="582"/>
      <c r="H103" s="582"/>
      <c r="I103" s="582"/>
      <c r="J103" s="582"/>
      <c r="K103" s="583"/>
      <c r="L103" s="584"/>
      <c r="M103" s="585"/>
      <c r="N103" s="1152"/>
      <c r="O103" s="1152"/>
      <c r="P103" s="44"/>
      <c r="Q103" s="503"/>
    </row>
    <row r="104" spans="1:17" ht="15.75" thickBot="1">
      <c r="A104" s="533"/>
      <c r="B104" s="542"/>
      <c r="C104" s="559"/>
      <c r="D104" s="559"/>
      <c r="E104" s="559"/>
      <c r="F104" s="559"/>
      <c r="G104" s="535"/>
      <c r="H104" s="535"/>
      <c r="I104" s="535"/>
      <c r="J104" s="535"/>
      <c r="K104" s="535"/>
      <c r="L104" s="535"/>
      <c r="M104" s="536"/>
      <c r="N104" s="1153"/>
      <c r="O104" s="1153"/>
      <c r="P104" s="44"/>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6"/>
      <c r="H106" s="676"/>
      <c r="I106" s="676"/>
      <c r="J106" s="676"/>
      <c r="K106" s="676"/>
      <c r="L106" s="676"/>
      <c r="M106" s="698"/>
      <c r="N106" s="1153"/>
      <c r="O106" s="1153"/>
      <c r="P106" s="557"/>
      <c r="Q106" s="558"/>
    </row>
    <row r="107" spans="1:17">
      <c r="A107" s="526" t="s">
        <v>2552</v>
      </c>
      <c r="B107" s="527" t="s">
        <v>2780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2"/>
      <c r="O107" s="1152"/>
      <c r="P107" s="44"/>
      <c r="Q107" s="503"/>
    </row>
    <row r="108" spans="1:17" ht="15">
      <c r="A108" s="533"/>
      <c r="B108" s="545"/>
      <c r="C108" s="594"/>
      <c r="D108" s="594"/>
      <c r="E108" s="594"/>
      <c r="F108" s="594"/>
      <c r="G108" s="594"/>
      <c r="H108" s="594"/>
      <c r="I108" s="594"/>
      <c r="J108" s="595"/>
      <c r="K108" s="595"/>
      <c r="L108" s="596"/>
      <c r="M108" s="597"/>
      <c r="N108" s="1152"/>
      <c r="O108" s="1152"/>
      <c r="P108" s="44"/>
      <c r="Q108" s="503"/>
    </row>
    <row r="109" spans="1:17" ht="15.75" thickBot="1">
      <c r="A109" s="533"/>
      <c r="B109" s="542"/>
      <c r="C109" s="569"/>
      <c r="D109" s="590"/>
      <c r="E109" s="590"/>
      <c r="F109" s="590"/>
      <c r="G109" s="590"/>
      <c r="H109" s="590"/>
      <c r="I109" s="590"/>
      <c r="J109" s="590"/>
      <c r="K109" s="590"/>
      <c r="L109" s="590"/>
      <c r="M109" s="591"/>
      <c r="N109" s="1153"/>
      <c r="O109" s="1153"/>
      <c r="P109" s="44"/>
      <c r="Q109" s="503"/>
    </row>
    <row r="110" spans="1:17" ht="15" thickTop="1">
      <c r="A110" s="598"/>
      <c r="B110" s="537" t="s">
        <v>2781</v>
      </c>
      <c r="C110" s="582"/>
      <c r="D110" s="582"/>
      <c r="E110" s="582"/>
      <c r="F110" s="582"/>
      <c r="G110" s="582"/>
      <c r="H110" s="582"/>
      <c r="I110" s="582"/>
      <c r="J110" s="582"/>
      <c r="K110" s="583"/>
      <c r="L110" s="584"/>
      <c r="M110" s="585"/>
      <c r="N110" s="1152"/>
      <c r="O110" s="1152"/>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4"/>
      <c r="Q111" s="503"/>
    </row>
    <row r="112" spans="1:17" s="470" customFormat="1" ht="15" thickTop="1">
      <c r="A112" s="592"/>
      <c r="B112" s="537" t="s">
        <v>2783</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2784</v>
      </c>
      <c r="C114" s="553"/>
      <c r="D114" s="553"/>
      <c r="E114" s="582"/>
      <c r="F114" s="582"/>
      <c r="G114" s="582"/>
      <c r="H114" s="582"/>
      <c r="I114" s="582"/>
      <c r="J114" s="582"/>
      <c r="K114" s="583"/>
      <c r="L114" s="584"/>
      <c r="M114" s="585"/>
      <c r="N114" s="1152"/>
      <c r="O114" s="1152"/>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4"/>
      <c r="Q115" s="503"/>
    </row>
    <row r="116" spans="1:17" ht="15" thickTop="1">
      <c r="A116" s="598"/>
      <c r="B116" s="537">
        <f>B38</f>
        <v>111</v>
      </c>
      <c r="C116" s="553"/>
      <c r="D116" s="553"/>
      <c r="E116" s="553"/>
      <c r="F116" s="553"/>
      <c r="G116" s="553"/>
      <c r="H116" s="582"/>
      <c r="I116" s="582"/>
      <c r="J116" s="582"/>
      <c r="K116" s="583"/>
      <c r="L116" s="584"/>
      <c r="M116" s="585"/>
      <c r="N116" s="1152"/>
      <c r="O116" s="1152"/>
      <c r="P116" s="44"/>
      <c r="Q116" s="503"/>
    </row>
    <row r="117" spans="1:17" ht="15.75" thickBot="1">
      <c r="A117" s="533"/>
      <c r="B117" s="542"/>
      <c r="C117" s="559"/>
      <c r="D117" s="535"/>
      <c r="E117" s="535"/>
      <c r="F117" s="535"/>
      <c r="G117" s="535"/>
      <c r="H117" s="535"/>
      <c r="I117" s="535"/>
      <c r="J117" s="535"/>
      <c r="K117" s="535"/>
      <c r="L117" s="535"/>
      <c r="M117" s="536"/>
      <c r="N117" s="1153"/>
      <c r="O117" s="1153"/>
      <c r="P117" s="44"/>
      <c r="Q117" s="503"/>
    </row>
    <row r="118" spans="1:17" ht="15" thickTop="1">
      <c r="A118" s="598"/>
      <c r="B118" s="537">
        <f>B39</f>
        <v>111</v>
      </c>
      <c r="C118" s="553"/>
      <c r="D118" s="553"/>
      <c r="E118" s="553"/>
      <c r="F118" s="553"/>
      <c r="G118" s="582"/>
      <c r="H118" s="582"/>
      <c r="I118" s="582"/>
      <c r="J118" s="582"/>
      <c r="K118" s="583"/>
      <c r="L118" s="584"/>
      <c r="M118" s="585"/>
      <c r="N118" s="1152"/>
      <c r="O118" s="1152"/>
      <c r="P118" s="44"/>
      <c r="Q118" s="503"/>
    </row>
    <row r="119" spans="1:17" ht="15.75" thickBot="1">
      <c r="A119" s="533"/>
      <c r="B119" s="542"/>
      <c r="C119" s="559"/>
      <c r="D119" s="559"/>
      <c r="E119" s="559"/>
      <c r="F119" s="559"/>
      <c r="G119" s="535"/>
      <c r="H119" s="535"/>
      <c r="I119" s="535"/>
      <c r="J119" s="535"/>
      <c r="K119" s="535"/>
      <c r="L119" s="535"/>
      <c r="M119" s="536"/>
      <c r="N119" s="1153"/>
      <c r="O119" s="1153"/>
      <c r="P119" s="44"/>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9"/>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9" priority="14" stopIfTrue="1" operator="containsText" text="超过">
      <formula>NOT(ISERROR(SEARCH("超过",F46)))</formula>
    </cfRule>
  </conditionalFormatting>
  <conditionalFormatting sqref="J48">
    <cfRule type="containsText" dxfId="28" priority="13" stopIfTrue="1" operator="containsText" text="超过">
      <formula>NOT(ISERROR(SEARCH("超过",J48)))</formula>
    </cfRule>
  </conditionalFormatting>
  <conditionalFormatting sqref="H48">
    <cfRule type="containsText" dxfId="27" priority="12" stopIfTrue="1" operator="containsText" text="超过">
      <formula>NOT(ISERROR(SEARCH("超过",H48)))</formula>
    </cfRule>
  </conditionalFormatting>
  <conditionalFormatting sqref="F48">
    <cfRule type="containsText" dxfId="26" priority="11" stopIfTrue="1" operator="containsText" text="超过">
      <formula>NOT(ISERROR(SEARCH("超过",F48)))</formula>
    </cfRule>
  </conditionalFormatting>
  <conditionalFormatting sqref="F47 H47 J47">
    <cfRule type="containsText" dxfId="25" priority="10" stopIfTrue="1" operator="containsText" text="超过">
      <formula>NOT(ISERROR(SEARCH("超过",F47)))</formula>
    </cfRule>
  </conditionalFormatting>
  <conditionalFormatting sqref="E46">
    <cfRule type="expression" dxfId="24" priority="9" stopIfTrue="1">
      <formula>$F$46="超过30%"</formula>
    </cfRule>
  </conditionalFormatting>
  <conditionalFormatting sqref="G48">
    <cfRule type="expression" dxfId="23" priority="8" stopIfTrue="1">
      <formula>$H$48="超过30%"</formula>
    </cfRule>
  </conditionalFormatting>
  <conditionalFormatting sqref="E48">
    <cfRule type="expression" dxfId="22" priority="6" stopIfTrue="1">
      <formula>$F$48="超过30%"</formula>
    </cfRule>
  </conditionalFormatting>
  <conditionalFormatting sqref="G46">
    <cfRule type="expression" dxfId="21" priority="5" stopIfTrue="1">
      <formula>$H$46="超过30%"</formula>
    </cfRule>
  </conditionalFormatting>
  <conditionalFormatting sqref="G47">
    <cfRule type="expression" dxfId="20" priority="4" stopIfTrue="1">
      <formula>$H$47="超过20%"</formula>
    </cfRule>
  </conditionalFormatting>
  <conditionalFormatting sqref="I46">
    <cfRule type="expression" dxfId="19" priority="3" stopIfTrue="1">
      <formula>$J$46="超过30%"</formula>
    </cfRule>
  </conditionalFormatting>
  <conditionalFormatting sqref="I47">
    <cfRule type="expression" dxfId="18" priority="2" stopIfTrue="1">
      <formula>$J$47="超过20%"</formula>
    </cfRule>
  </conditionalFormatting>
  <conditionalFormatting sqref="I48">
    <cfRule type="expression" dxfId="17" priority="1" stopIfTrue="1">
      <formula>$J$48="超过30%"</formula>
    </cfRule>
  </conditionalFormatting>
  <conditionalFormatting sqref="E47">
    <cfRule type="expression" dxfId="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0.84279999999999999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5" sqref="C5:C10"/>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2991</v>
      </c>
    </row>
    <row r="2" spans="1:5" ht="15.75">
      <c r="A2" s="2909" t="s">
        <v>2983</v>
      </c>
      <c r="B2" s="2910">
        <f ca="1">SUMIF(B6:B13,"&lt;&gt;#ref!",B6:B13)</f>
        <v>19736</v>
      </c>
      <c r="C2" s="2909" t="s">
        <v>2984</v>
      </c>
      <c r="D2" s="2909" t="s">
        <v>2985</v>
      </c>
      <c r="E2" s="2910">
        <f ca="1">SUMIF(E6:E13,"&lt;&gt;#ref!",E6:E13)</f>
        <v>8276.64</v>
      </c>
    </row>
    <row r="3" spans="1:5" ht="15.75">
      <c r="A3" s="2909" t="s">
        <v>2986</v>
      </c>
      <c r="B3" s="2910">
        <f ca="1">ROUND(B2*10000/E2,0)</f>
        <v>23845</v>
      </c>
      <c r="C3" s="2909" t="s">
        <v>2992</v>
      </c>
      <c r="D3" s="2911"/>
      <c r="E3" s="2911"/>
    </row>
    <row r="4" spans="1:5" ht="15.75">
      <c r="A4" s="2912"/>
      <c r="B4" s="2911"/>
      <c r="C4" s="2911"/>
      <c r="D4" s="2911"/>
      <c r="E4" s="2911"/>
    </row>
    <row r="5" spans="1:5" ht="28.5">
      <c r="A5" s="2913" t="s">
        <v>2987</v>
      </c>
      <c r="B5" s="2909" t="s">
        <v>2988</v>
      </c>
      <c r="C5" s="2910"/>
      <c r="D5" s="2911"/>
      <c r="E5" s="2909" t="s">
        <v>2989</v>
      </c>
    </row>
    <row r="6" spans="1:5" ht="15.75">
      <c r="A6" s="2914" t="s">
        <v>2990</v>
      </c>
      <c r="B6" s="2910">
        <f ca="1">SUMIF(INDIRECT("'"&amp;A6&amp;"'"&amp;"!A:A"),"总价",INDIRECT("'"&amp;A6&amp;"'"&amp;"!B:B"))</f>
        <v>19736</v>
      </c>
      <c r="C6" s="2909" t="s">
        <v>2984</v>
      </c>
      <c r="D6" s="2911"/>
      <c r="E6" s="2574">
        <f ca="1">SUMIF(INDIRECT("'"&amp;A6&amp;"'"&amp;"!C:C"),"建筑面积",INDIRECT("'"&amp;A6&amp;"'"&amp;"!D:D"))</f>
        <v>8276.64</v>
      </c>
    </row>
    <row r="7" spans="1:5" ht="15.75">
      <c r="A7" s="2914"/>
      <c r="B7" s="2910" t="e">
        <f ca="1">SUMIF(INDIRECT("'"&amp;A7&amp;"'"&amp;"!A:A"),"总价",INDIRECT("'"&amp;A7&amp;"'"&amp;"!B:B"))</f>
        <v>#REF!</v>
      </c>
      <c r="C7" s="2909" t="s">
        <v>2984</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2984</v>
      </c>
      <c r="D8" s="2911"/>
      <c r="E8" s="2574" t="e">
        <f t="shared" ca="1" si="0"/>
        <v>#REF!</v>
      </c>
    </row>
    <row r="9" spans="1:5" ht="15.75">
      <c r="A9" s="2914"/>
      <c r="B9" s="2910" t="e">
        <f t="shared" ca="1" si="1"/>
        <v>#REF!</v>
      </c>
      <c r="C9" s="2909" t="s">
        <v>2984</v>
      </c>
      <c r="D9" s="2911"/>
      <c r="E9" s="2574" t="e">
        <f t="shared" ca="1" si="0"/>
        <v>#REF!</v>
      </c>
    </row>
    <row r="10" spans="1:5" ht="15.75">
      <c r="A10" s="2914"/>
      <c r="B10" s="2910" t="e">
        <f t="shared" ca="1" si="1"/>
        <v>#REF!</v>
      </c>
      <c r="C10" s="2909" t="s">
        <v>2984</v>
      </c>
      <c r="D10" s="2911"/>
      <c r="E10" s="2574" t="e">
        <f t="shared" ca="1" si="0"/>
        <v>#REF!</v>
      </c>
    </row>
    <row r="11" spans="1:5" ht="15.75">
      <c r="A11" s="2914"/>
      <c r="B11" s="2910" t="e">
        <f t="shared" ca="1" si="1"/>
        <v>#REF!</v>
      </c>
      <c r="C11" s="2909" t="s">
        <v>2984</v>
      </c>
      <c r="D11" s="2911"/>
      <c r="E11" s="2574" t="e">
        <f t="shared" ca="1" si="0"/>
        <v>#REF!</v>
      </c>
    </row>
    <row r="12" spans="1:5" ht="15.75">
      <c r="A12" s="2914"/>
      <c r="B12" s="2910" t="e">
        <f t="shared" ca="1" si="1"/>
        <v>#REF!</v>
      </c>
      <c r="C12" s="2909" t="s">
        <v>2984</v>
      </c>
      <c r="D12" s="2911"/>
      <c r="E12" s="2574" t="e">
        <f t="shared" ca="1" si="0"/>
        <v>#REF!</v>
      </c>
    </row>
    <row r="13" spans="1:5" ht="15.75">
      <c r="A13" s="2914"/>
      <c r="B13" s="2910" t="e">
        <f t="shared" ca="1" si="1"/>
        <v>#REF!</v>
      </c>
      <c r="C13" s="2909" t="s">
        <v>2984</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D1" zoomScale="80" zoomScaleNormal="80" workbookViewId="0">
      <selection activeCell="J6" sqref="J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1" t="s">
        <v>1150</v>
      </c>
      <c r="C1" s="3291"/>
      <c r="D1" s="3291"/>
      <c r="E1" s="3291"/>
      <c r="F1" s="3291"/>
      <c r="G1" s="3287" t="s">
        <v>1151</v>
      </c>
      <c r="H1" s="3287"/>
      <c r="I1" s="3287"/>
      <c r="J1" s="3287"/>
      <c r="K1" s="3287"/>
      <c r="L1" s="3287"/>
      <c r="N1" s="3287" t="s">
        <v>1152</v>
      </c>
      <c r="O1" s="3287"/>
      <c r="P1" s="3287"/>
      <c r="Q1" s="3287"/>
      <c r="R1" s="1444"/>
      <c r="S1" s="3287" t="s">
        <v>1153</v>
      </c>
      <c r="T1" s="3287"/>
      <c r="U1" s="3287"/>
      <c r="V1" s="3287"/>
      <c r="X1" s="3286" t="s">
        <v>1154</v>
      </c>
      <c r="Y1" s="3287"/>
      <c r="Z1" s="3287"/>
      <c r="AA1" s="3287"/>
      <c r="AB1" s="3287"/>
      <c r="AD1" s="3286" t="s">
        <v>1155</v>
      </c>
      <c r="AE1" s="3287"/>
      <c r="AF1" s="3287"/>
      <c r="AG1" s="3287"/>
      <c r="AH1" s="3287"/>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28" customFormat="1" ht="14.25">
      <c r="A3" s="2937" t="s">
        <v>3026</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1" customFormat="1" ht="14.25">
      <c r="B4" s="1452"/>
      <c r="C4" s="1452"/>
      <c r="D4" s="1453"/>
      <c r="E4" s="1453"/>
      <c r="F4" s="1452"/>
      <c r="G4" s="1454"/>
      <c r="H4" s="1455"/>
      <c r="I4" s="2922"/>
      <c r="J4" s="2922"/>
      <c r="K4" s="2922"/>
      <c r="L4" s="2922"/>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3034</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0">
        <v>2018</v>
      </c>
      <c r="H5" s="1728">
        <v>4</v>
      </c>
      <c r="I5" s="2923">
        <v>0</v>
      </c>
      <c r="J5" s="2923">
        <v>0</v>
      </c>
      <c r="K5" s="2923">
        <v>0</v>
      </c>
      <c r="L5" s="2923">
        <v>0</v>
      </c>
      <c r="N5" s="1465">
        <f>I5/100</f>
        <v>0</v>
      </c>
      <c r="O5" s="1465">
        <f t="shared" ref="O5" si="7">J5/100</f>
        <v>0</v>
      </c>
      <c r="P5" s="1465">
        <f t="shared" ref="P5" si="8">K5/100</f>
        <v>0</v>
      </c>
      <c r="Q5" s="1465">
        <f t="shared" ref="Q5" si="9">L5/100</f>
        <v>0</v>
      </c>
      <c r="R5" s="1730"/>
      <c r="S5" s="1731"/>
      <c r="T5" s="1730"/>
      <c r="U5" s="1730"/>
      <c r="V5" s="1730"/>
      <c r="W5" s="2927" t="s">
        <v>3027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6">
        <f>ROUND(AVERAGE(I5:I$24)/100,4)</f>
        <v>2.1899999999999999E-2</v>
      </c>
      <c r="AE5" s="1466">
        <f>ROUND(AVERAGE(J5:J$24)/100,4)</f>
        <v>1.5299999999999999E-2</v>
      </c>
      <c r="AF5" s="1466">
        <f t="shared" ref="AF5" si="11">AE5</f>
        <v>1.5299999999999999E-2</v>
      </c>
      <c r="AG5" s="1466">
        <f>ROUND(AVERAGE(K5:K$24)/100,4)</f>
        <v>2.41E-2</v>
      </c>
      <c r="AH5" s="1466">
        <f>ROUND(AVERAGE(L5:L$24)/100,4)</f>
        <v>1.4200000000000001E-2</v>
      </c>
    </row>
    <row r="6" spans="1:34" s="1464" customFormat="1" ht="13.5" thickBot="1">
      <c r="A6" s="1459" t="s">
        <v>3035</v>
      </c>
      <c r="B6" s="1475">
        <f t="shared" ref="B6" si="12">B7*(1+N6)</f>
        <v>459.95733971036987</v>
      </c>
      <c r="C6" s="1475">
        <f t="shared" ref="C6" si="13">C7*(1+O6)</f>
        <v>341.22221064422405</v>
      </c>
      <c r="D6" s="1475">
        <f t="shared" ref="D6" si="14">C6</f>
        <v>341.22221064422405</v>
      </c>
      <c r="E6" s="1475">
        <f t="shared" ref="E6" si="15">E7*(1+P6)</f>
        <v>657.19161663724799</v>
      </c>
      <c r="F6" s="1475">
        <f t="shared" ref="F6" si="16">F7*(1+Q6)</f>
        <v>300.87803644464805</v>
      </c>
      <c r="G6" s="2938"/>
      <c r="H6" s="1462">
        <v>3</v>
      </c>
      <c r="I6" s="1462">
        <v>1.51</v>
      </c>
      <c r="J6" s="3306">
        <v>1.41</v>
      </c>
      <c r="K6" s="1462">
        <v>1.52</v>
      </c>
      <c r="L6" s="1476">
        <v>1.74</v>
      </c>
      <c r="M6" s="1469"/>
      <c r="N6" s="1470">
        <f>I6/100</f>
        <v>1.5100000000000001E-2</v>
      </c>
      <c r="O6" s="1471">
        <f t="shared" ref="O6" si="17">J6/100</f>
        <v>1.41E-2</v>
      </c>
      <c r="P6" s="1471">
        <f t="shared" ref="P6" si="18">K6/100</f>
        <v>1.52E-2</v>
      </c>
      <c r="Q6" s="1471">
        <f t="shared" ref="Q6" si="19">L6/100</f>
        <v>1.7399999999999999E-2</v>
      </c>
      <c r="R6" s="1472"/>
      <c r="S6" s="1470"/>
      <c r="T6" s="1471"/>
      <c r="U6" s="1471"/>
      <c r="V6" s="1471"/>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4" customFormat="1" ht="13.5" thickBot="1">
      <c r="A7" s="1459" t="s">
        <v>3033</v>
      </c>
      <c r="B7" s="1475">
        <f t="shared" ref="B7" si="22">B8*(1+N7)</f>
        <v>453.11529869999993</v>
      </c>
      <c r="C7" s="1475">
        <f t="shared" ref="C7" si="23">C8*(1+O7)</f>
        <v>336.47787264000004</v>
      </c>
      <c r="D7" s="1475">
        <f t="shared" ref="D7" si="24">C7</f>
        <v>336.47787264000004</v>
      </c>
      <c r="E7" s="1475">
        <f t="shared" ref="E7" si="25">E8*(1+P7)</f>
        <v>647.35186823999993</v>
      </c>
      <c r="F7" s="1475">
        <f t="shared" ref="F7" si="26">F8*(1+Q7)</f>
        <v>295.73229452000004</v>
      </c>
      <c r="G7" s="2938"/>
      <c r="H7" s="1462">
        <v>2</v>
      </c>
      <c r="I7" s="1462">
        <v>1.49</v>
      </c>
      <c r="J7" s="3306">
        <v>0.96</v>
      </c>
      <c r="K7" s="1462">
        <v>1.58</v>
      </c>
      <c r="L7" s="1476">
        <v>2.44</v>
      </c>
      <c r="M7" s="1469"/>
      <c r="N7" s="1470">
        <f t="shared" ref="N7" si="27">I7/100</f>
        <v>1.49E-2</v>
      </c>
      <c r="O7" s="1471">
        <f t="shared" ref="O7" si="28">J7/100</f>
        <v>9.5999999999999992E-3</v>
      </c>
      <c r="P7" s="1471">
        <f t="shared" ref="P7" si="29">K7/100</f>
        <v>1.5800000000000002E-2</v>
      </c>
      <c r="Q7" s="1471">
        <f t="shared" ref="Q7" si="30">L7/100</f>
        <v>2.4399999999999998E-2</v>
      </c>
      <c r="R7" s="1472"/>
      <c r="S7" s="1470"/>
      <c r="T7" s="1471"/>
      <c r="U7" s="1471"/>
      <c r="V7" s="1471"/>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4" customFormat="1" ht="13.5" thickBot="1">
      <c r="A8" s="1459" t="s">
        <v>3025</v>
      </c>
      <c r="B8" s="1475">
        <f t="shared" ref="B8" si="33">B9*(1+N8)</f>
        <v>446.46299999999997</v>
      </c>
      <c r="C8" s="1475">
        <f t="shared" ref="C8" si="34">C9*(1+O8)</f>
        <v>333.27840000000003</v>
      </c>
      <c r="D8" s="1475">
        <f t="shared" ref="D8" si="35">C8</f>
        <v>333.27840000000003</v>
      </c>
      <c r="E8" s="1475">
        <f t="shared" ref="E8" si="36">E9*(1+P8)</f>
        <v>637.28279999999995</v>
      </c>
      <c r="F8" s="1475">
        <f t="shared" ref="F8" si="37">F9*(1+Q8)</f>
        <v>288.68830000000003</v>
      </c>
      <c r="G8" s="2938"/>
      <c r="H8" s="1462">
        <v>1</v>
      </c>
      <c r="I8" s="1462">
        <v>1.7</v>
      </c>
      <c r="J8" s="3306">
        <v>1.92</v>
      </c>
      <c r="K8" s="1462">
        <v>1.64</v>
      </c>
      <c r="L8" s="1476">
        <v>2.0099999999999998</v>
      </c>
      <c r="M8" s="1469"/>
      <c r="N8" s="1470">
        <f t="shared" ref="N8:N13" si="38">I8/100</f>
        <v>1.7000000000000001E-2</v>
      </c>
      <c r="O8" s="1471">
        <f t="shared" ref="O8" si="39">J8/100</f>
        <v>1.9199999999999998E-2</v>
      </c>
      <c r="P8" s="1471">
        <f t="shared" ref="P8" si="40">K8/100</f>
        <v>1.6399999999999998E-2</v>
      </c>
      <c r="Q8" s="1471">
        <f t="shared" ref="Q8" si="41">L8/100</f>
        <v>2.0099999999999996E-2</v>
      </c>
      <c r="R8" s="1472"/>
      <c r="S8" s="1470">
        <f>B8/B9-1</f>
        <v>1.6999999999999904E-2</v>
      </c>
      <c r="T8" s="1471">
        <f t="shared" ref="T8" si="42">C8/C9-1</f>
        <v>1.9200000000000106E-2</v>
      </c>
      <c r="U8" s="1471">
        <f t="shared" ref="U8" si="43">D8/D9-1</f>
        <v>1.9200000000000106E-2</v>
      </c>
      <c r="V8" s="1471">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59" t="s">
        <v>3022</v>
      </c>
      <c r="B9" s="1467">
        <v>439</v>
      </c>
      <c r="C9" s="1467">
        <v>327</v>
      </c>
      <c r="D9" s="1467">
        <f>C9</f>
        <v>327</v>
      </c>
      <c r="E9" s="1467">
        <v>627</v>
      </c>
      <c r="F9" s="1468">
        <v>283</v>
      </c>
      <c r="G9" s="2925">
        <v>2017</v>
      </c>
      <c r="H9" s="1460">
        <v>4</v>
      </c>
      <c r="I9" s="1460">
        <v>1.71</v>
      </c>
      <c r="J9" s="3307">
        <v>1.78</v>
      </c>
      <c r="K9" s="1460">
        <v>1.71</v>
      </c>
      <c r="L9" s="1461">
        <v>1.43</v>
      </c>
      <c r="N9" s="1470">
        <f t="shared" si="38"/>
        <v>1.7100000000000001E-2</v>
      </c>
      <c r="O9" s="1471">
        <f t="shared" ref="O9" si="47">J9/100</f>
        <v>1.78E-2</v>
      </c>
      <c r="P9" s="1471">
        <f t="shared" ref="P9" si="48">K9/100</f>
        <v>1.7100000000000001E-2</v>
      </c>
      <c r="Q9" s="1471">
        <f t="shared" ref="Q9" si="49">L9/100</f>
        <v>1.43E-2</v>
      </c>
      <c r="R9" s="1472"/>
      <c r="S9" s="1473"/>
      <c r="T9" s="1474"/>
      <c r="U9" s="1474"/>
      <c r="V9" s="1474"/>
      <c r="X9" s="1457">
        <f>ROUND(SUMPRODUCT(PRODUCT(1+N9:N$23)),4)</f>
        <v>1.4274</v>
      </c>
      <c r="Y9" s="1457">
        <f>ROUND(SUMPRODUCT(PRODUCT(1+O9:O$23)),4)</f>
        <v>1.2685</v>
      </c>
      <c r="Z9" s="1457">
        <f t="shared" si="0"/>
        <v>1.2685</v>
      </c>
      <c r="AA9" s="1457">
        <f>ROUND(SUMPRODUCT(PRODUCT(1+P9:P$23)),4)</f>
        <v>1.4825999999999999</v>
      </c>
      <c r="AB9" s="1457">
        <f>ROUND(SUMPRODUCT(PRODUCT(1+Q9:Q$23)),4)</f>
        <v>1.2309000000000001</v>
      </c>
      <c r="AD9" s="1458">
        <f>ROUND(AVERAGE(I9:I$24)/100,4)</f>
        <v>2.4500000000000001E-2</v>
      </c>
      <c r="AE9" s="1458">
        <f>ROUND(AVERAGE(J9:J$24)/100,4)</f>
        <v>1.6500000000000001E-2</v>
      </c>
      <c r="AF9" s="1458">
        <f t="shared" si="1"/>
        <v>1.6500000000000001E-2</v>
      </c>
      <c r="AG9" s="1458">
        <f>ROUND(AVERAGE(K9:K$24)/100,4)</f>
        <v>2.7099999999999999E-2</v>
      </c>
      <c r="AH9" s="1458">
        <f>ROUND(AVERAGE(L9:L$24)/100,4)</f>
        <v>1.3899999999999999E-2</v>
      </c>
    </row>
    <row r="10" spans="1:34" s="1464" customFormat="1" ht="13.5" thickBot="1">
      <c r="A10" s="1459" t="s">
        <v>3023</v>
      </c>
      <c r="B10" s="1475">
        <f t="shared" ref="B10:B11" si="50">B11*(1+N10)</f>
        <v>431.80730811680002</v>
      </c>
      <c r="C10" s="1475">
        <f t="shared" ref="C10:C11" si="51">C11*(1+O10)</f>
        <v>320.57880516480003</v>
      </c>
      <c r="D10" s="1475">
        <f t="shared" ref="D10:D11" si="52">C10</f>
        <v>320.57880516480003</v>
      </c>
      <c r="E10" s="1475">
        <f t="shared" ref="E10:E11" si="53">E11*(1+P10)</f>
        <v>615.96110553196797</v>
      </c>
      <c r="F10" s="1475">
        <f t="shared" ref="F10:F11" si="54">F11*(1+Q10)</f>
        <v>279.46777300108801</v>
      </c>
      <c r="G10" s="2921"/>
      <c r="H10" s="1462">
        <v>3</v>
      </c>
      <c r="I10" s="1462">
        <v>2.98</v>
      </c>
      <c r="J10" s="3306">
        <v>2.11</v>
      </c>
      <c r="K10" s="1462">
        <v>3.24</v>
      </c>
      <c r="L10" s="1476">
        <v>1.72</v>
      </c>
      <c r="M10" s="1469"/>
      <c r="N10" s="1470">
        <f t="shared" si="38"/>
        <v>2.98E-2</v>
      </c>
      <c r="O10" s="1471">
        <f t="shared" ref="O10" si="55">J10/100</f>
        <v>2.1099999999999997E-2</v>
      </c>
      <c r="P10" s="1471">
        <f t="shared" ref="P10" si="56">K10/100</f>
        <v>3.2400000000000005E-2</v>
      </c>
      <c r="Q10" s="1471">
        <f t="shared" ref="Q10" si="57">L10/100</f>
        <v>1.72E-2</v>
      </c>
      <c r="R10" s="1472"/>
      <c r="S10" s="1470"/>
      <c r="T10" s="1471"/>
      <c r="U10" s="1471"/>
      <c r="V10" s="1471"/>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59" t="s">
        <v>1386</v>
      </c>
      <c r="B11" s="1475">
        <f t="shared" si="50"/>
        <v>419.31181600000002</v>
      </c>
      <c r="C11" s="1475">
        <f t="shared" si="51"/>
        <v>313.95436800000004</v>
      </c>
      <c r="D11" s="1475">
        <f t="shared" si="52"/>
        <v>313.95436800000004</v>
      </c>
      <c r="E11" s="1475">
        <f t="shared" si="53"/>
        <v>596.63028431999999</v>
      </c>
      <c r="F11" s="1475">
        <f t="shared" si="54"/>
        <v>274.74220703999998</v>
      </c>
      <c r="G11" s="2920"/>
      <c r="H11" s="1463">
        <v>2</v>
      </c>
      <c r="I11" s="1463">
        <v>3.4</v>
      </c>
      <c r="J11" s="3308">
        <v>2</v>
      </c>
      <c r="K11" s="1463">
        <v>3.82</v>
      </c>
      <c r="L11" s="1477">
        <v>1.68</v>
      </c>
      <c r="M11" s="1469"/>
      <c r="N11" s="1470">
        <f t="shared" si="38"/>
        <v>3.4000000000000002E-2</v>
      </c>
      <c r="O11" s="1471">
        <f t="shared" ref="O11" si="58">J11/100</f>
        <v>0.02</v>
      </c>
      <c r="P11" s="1471">
        <f t="shared" ref="P11" si="59">K11/100</f>
        <v>3.8199999999999998E-2</v>
      </c>
      <c r="Q11" s="1471">
        <f t="shared" ref="Q11" si="60">L11/100</f>
        <v>1.6799999999999999E-2</v>
      </c>
      <c r="R11" s="1472"/>
      <c r="S11" s="1473"/>
      <c r="T11" s="1474"/>
      <c r="U11" s="1474"/>
      <c r="V11" s="1474"/>
      <c r="W11" s="1451"/>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1"/>
      <c r="AD11" s="1787">
        <f>ROUND(AVERAGE(I11:I$24)/100,4)</f>
        <v>2.46E-2</v>
      </c>
      <c r="AE11" s="1787">
        <f>ROUND(AVERAGE(J11:J$24)/100,4)</f>
        <v>1.6E-2</v>
      </c>
      <c r="AF11" s="1787">
        <f t="shared" si="1"/>
        <v>1.6E-2</v>
      </c>
      <c r="AG11" s="1787">
        <f>ROUND(AVERAGE(K11:K$24)/100,4)</f>
        <v>2.75E-2</v>
      </c>
      <c r="AH11" s="1787">
        <f>ROUND(AVERAGE(L11:L$24)/100,4)</f>
        <v>1.37E-2</v>
      </c>
    </row>
    <row r="12" spans="1:34" s="1464" customFormat="1" ht="13.5" thickBot="1">
      <c r="A12" s="1459" t="s">
        <v>1161</v>
      </c>
      <c r="B12" s="1475">
        <f>B13*(1+N12)</f>
        <v>405.524</v>
      </c>
      <c r="C12" s="1475">
        <f>C13*(1+O12)</f>
        <v>307.79840000000002</v>
      </c>
      <c r="D12" s="1475">
        <f>C12</f>
        <v>307.79840000000002</v>
      </c>
      <c r="E12" s="1475">
        <f>E13*(1+P12)</f>
        <v>574.67759999999998</v>
      </c>
      <c r="F12" s="1475">
        <f>F13*(1+Q12)</f>
        <v>270.20280000000002</v>
      </c>
      <c r="G12" s="2921"/>
      <c r="H12" s="1462">
        <v>1</v>
      </c>
      <c r="I12" s="1462">
        <v>3.45</v>
      </c>
      <c r="J12" s="3306">
        <v>1.92</v>
      </c>
      <c r="K12" s="1462">
        <v>3.92</v>
      </c>
      <c r="L12" s="1476">
        <v>1.58</v>
      </c>
      <c r="M12" s="1469"/>
      <c r="N12" s="1470">
        <f t="shared" si="38"/>
        <v>3.4500000000000003E-2</v>
      </c>
      <c r="O12" s="1471">
        <f t="shared" ref="O12:Q27" si="61">J12/100</f>
        <v>1.9199999999999998E-2</v>
      </c>
      <c r="P12" s="1471">
        <f t="shared" si="61"/>
        <v>3.9199999999999999E-2</v>
      </c>
      <c r="Q12" s="1471">
        <f t="shared" si="61"/>
        <v>1.5800000000000002E-2</v>
      </c>
      <c r="R12" s="1472"/>
      <c r="S12" s="1470">
        <f>B12/B13-1</f>
        <v>3.4499999999999975E-2</v>
      </c>
      <c r="T12" s="1471">
        <f t="shared" ref="T12:V12" si="62">C12/C13-1</f>
        <v>1.9200000000000106E-2</v>
      </c>
      <c r="U12" s="1471">
        <f t="shared" si="62"/>
        <v>1.9200000000000106E-2</v>
      </c>
      <c r="V12" s="1471">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59" t="s">
        <v>154</v>
      </c>
      <c r="B13" s="1467">
        <v>392</v>
      </c>
      <c r="C13" s="1467">
        <v>302</v>
      </c>
      <c r="D13" s="1467">
        <f>C13</f>
        <v>302</v>
      </c>
      <c r="E13" s="1467">
        <v>553</v>
      </c>
      <c r="F13" s="1468">
        <v>266</v>
      </c>
      <c r="G13" s="3292">
        <v>2016</v>
      </c>
      <c r="H13" s="1460">
        <v>4</v>
      </c>
      <c r="I13" s="1460">
        <v>4.5599999999999996</v>
      </c>
      <c r="J13" s="3307">
        <v>2.15</v>
      </c>
      <c r="K13" s="1460">
        <v>5.32</v>
      </c>
      <c r="L13" s="1461">
        <v>1.57</v>
      </c>
      <c r="N13" s="1470">
        <f t="shared" si="38"/>
        <v>4.5599999999999995E-2</v>
      </c>
      <c r="O13" s="1471">
        <f t="shared" si="61"/>
        <v>2.1499999999999998E-2</v>
      </c>
      <c r="P13" s="1471">
        <f t="shared" si="61"/>
        <v>5.3200000000000004E-2</v>
      </c>
      <c r="Q13" s="1471">
        <f t="shared" si="61"/>
        <v>1.5700000000000002E-2</v>
      </c>
      <c r="R13" s="1472"/>
      <c r="S13" s="1473"/>
      <c r="T13" s="1474"/>
      <c r="U13" s="1474"/>
      <c r="V13" s="1474"/>
      <c r="X13" s="1457">
        <f>ROUND(SUMPRODUCT(PRODUCT(1+N13:N$23)),4)</f>
        <v>1.274</v>
      </c>
      <c r="Y13" s="1457">
        <f>ROUND(SUMPRODUCT(PRODUCT(1+O13:O$23)),4)</f>
        <v>1.1740999999999999</v>
      </c>
      <c r="Z13" s="1457">
        <f t="shared" si="0"/>
        <v>1.1740999999999999</v>
      </c>
      <c r="AA13" s="1457">
        <f>ROUND(SUMPRODUCT(PRODUCT(1+P13:P$23)),4)</f>
        <v>1.3087</v>
      </c>
      <c r="AB13" s="1457">
        <f>ROUND(SUMPRODUCT(PRODUCT(1+Q13:Q$23)),4)</f>
        <v>1.1551</v>
      </c>
      <c r="AD13" s="1458">
        <f>ROUND(AVERAGE(I13:I$24)/100,4)</f>
        <v>2.3E-2</v>
      </c>
      <c r="AE13" s="1458">
        <f>ROUND(AVERAGE(J13:J$24)/100,4)</f>
        <v>1.55E-2</v>
      </c>
      <c r="AF13" s="1458">
        <f t="shared" si="1"/>
        <v>1.55E-2</v>
      </c>
      <c r="AG13" s="1458">
        <f>ROUND(AVERAGE(K13:K$24)/100,4)</f>
        <v>2.5600000000000001E-2</v>
      </c>
      <c r="AH13" s="1458">
        <f>ROUND(AVERAGE(L13:L$24)/100,4)</f>
        <v>1.32E-2</v>
      </c>
    </row>
    <row r="14" spans="1:34">
      <c r="A14" s="1459" t="s">
        <v>153</v>
      </c>
      <c r="B14" s="1475">
        <f t="shared" ref="B14:C16" si="63">B13/(1+N13)</f>
        <v>374.90436113236416</v>
      </c>
      <c r="C14" s="1475">
        <f t="shared" si="63"/>
        <v>295.64366128242779</v>
      </c>
      <c r="D14" s="1475">
        <f t="shared" ref="D14:D73" si="64">C14</f>
        <v>295.64366128242779</v>
      </c>
      <c r="E14" s="1475">
        <f t="shared" ref="E14:F16" si="65">E13/(1+P13)</f>
        <v>525.06646410938095</v>
      </c>
      <c r="F14" s="1475">
        <f t="shared" si="65"/>
        <v>261.88835286009646</v>
      </c>
      <c r="G14" s="3289"/>
      <c r="H14" s="1462">
        <v>3</v>
      </c>
      <c r="I14" s="1462">
        <v>4.12</v>
      </c>
      <c r="J14" s="3306">
        <v>2</v>
      </c>
      <c r="K14" s="1462">
        <v>4.79</v>
      </c>
      <c r="L14" s="1476">
        <v>1.97</v>
      </c>
      <c r="N14" s="1470">
        <f t="shared" ref="N14:Q48" si="66">I14/100</f>
        <v>4.1200000000000001E-2</v>
      </c>
      <c r="O14" s="1471">
        <f t="shared" si="61"/>
        <v>0.02</v>
      </c>
      <c r="P14" s="1471">
        <f t="shared" si="61"/>
        <v>4.7899999999999998E-2</v>
      </c>
      <c r="Q14" s="1471">
        <f t="shared" si="61"/>
        <v>1.9699999999999999E-2</v>
      </c>
      <c r="R14" s="1472"/>
      <c r="S14" s="1470"/>
      <c r="T14" s="1471"/>
      <c r="U14" s="1471"/>
      <c r="V14" s="1471"/>
      <c r="X14" s="1457">
        <f>ROUND(SUMPRODUCT(PRODUCT(1+N14:N$23)),4)</f>
        <v>1.2184999999999999</v>
      </c>
      <c r="Y14" s="1457">
        <f>ROUND(SUMPRODUCT(PRODUCT(1+O14:O$23)),4)</f>
        <v>1.1494</v>
      </c>
      <c r="Z14" s="1457">
        <f t="shared" si="0"/>
        <v>1.1494</v>
      </c>
      <c r="AA14" s="1457">
        <f>ROUND(SUMPRODUCT(PRODUCT(1+P14:P$23)),4)</f>
        <v>1.2425999999999999</v>
      </c>
      <c r="AB14" s="1457">
        <f>ROUND(SUMPRODUCT(PRODUCT(1+Q14:Q$23)),4)</f>
        <v>1.1372</v>
      </c>
      <c r="AD14" s="1458">
        <f>ROUND(AVERAGE(I14:I$24)/100,4)</f>
        <v>2.0899999999999998E-2</v>
      </c>
      <c r="AE14" s="1458">
        <f>ROUND(AVERAGE(J14:J$24)/100,4)</f>
        <v>1.49E-2</v>
      </c>
      <c r="AF14" s="1458">
        <f t="shared" si="1"/>
        <v>1.49E-2</v>
      </c>
      <c r="AG14" s="1458">
        <f>ROUND(AVERAGE(K14:K$24)/100,4)</f>
        <v>2.3099999999999999E-2</v>
      </c>
      <c r="AH14" s="1458">
        <f>ROUND(AVERAGE(L14:L$24)/100,4)</f>
        <v>1.2999999999999999E-2</v>
      </c>
    </row>
    <row r="15" spans="1:34">
      <c r="A15" s="1459" t="s">
        <v>143</v>
      </c>
      <c r="B15" s="1475">
        <f t="shared" si="63"/>
        <v>360.06949782209392</v>
      </c>
      <c r="C15" s="1475">
        <f t="shared" si="63"/>
        <v>289.84672674747821</v>
      </c>
      <c r="D15" s="1475">
        <f t="shared" si="64"/>
        <v>289.84672674747821</v>
      </c>
      <c r="E15" s="1475">
        <f t="shared" si="65"/>
        <v>501.06543001181495</v>
      </c>
      <c r="F15" s="1475">
        <f t="shared" si="65"/>
        <v>256.82882500744967</v>
      </c>
      <c r="G15" s="3289"/>
      <c r="H15" s="1463">
        <v>2</v>
      </c>
      <c r="I15" s="1463">
        <v>3.85</v>
      </c>
      <c r="J15" s="3308">
        <v>1.95</v>
      </c>
      <c r="K15" s="1463">
        <v>4.4800000000000004</v>
      </c>
      <c r="L15" s="1477">
        <v>1.41</v>
      </c>
      <c r="N15" s="1470">
        <f t="shared" si="66"/>
        <v>3.85E-2</v>
      </c>
      <c r="O15" s="1471">
        <f t="shared" si="61"/>
        <v>1.95E-2</v>
      </c>
      <c r="P15" s="1471">
        <f t="shared" si="61"/>
        <v>4.4800000000000006E-2</v>
      </c>
      <c r="Q15" s="1471">
        <f t="shared" si="61"/>
        <v>1.41E-2</v>
      </c>
      <c r="R15" s="1472"/>
      <c r="S15" s="1470"/>
      <c r="T15" s="1471"/>
      <c r="U15" s="1471"/>
      <c r="V15" s="1471"/>
      <c r="X15" s="1457">
        <f>ROUND(SUMPRODUCT(PRODUCT(1+N15:N$23)),4)</f>
        <v>1.1702999999999999</v>
      </c>
      <c r="Y15" s="1457">
        <f>ROUND(SUMPRODUCT(PRODUCT(1+O15:O$23)),4)</f>
        <v>1.1269</v>
      </c>
      <c r="Z15" s="1457">
        <f t="shared" si="0"/>
        <v>1.1269</v>
      </c>
      <c r="AA15" s="1457">
        <f>ROUND(SUMPRODUCT(PRODUCT(1+P15:P$23)),4)</f>
        <v>1.1858</v>
      </c>
      <c r="AB15" s="1457">
        <f>ROUND(SUMPRODUCT(PRODUCT(1+Q15:Q$23)),4)</f>
        <v>1.1152</v>
      </c>
      <c r="AD15" s="1458">
        <f>ROUND(AVERAGE(I15:I$24)/100,4)</f>
        <v>1.89E-2</v>
      </c>
      <c r="AE15" s="1458">
        <f>ROUND(AVERAGE(J15:J$24)/100,4)</f>
        <v>1.44E-2</v>
      </c>
      <c r="AF15" s="1458">
        <f t="shared" si="1"/>
        <v>1.44E-2</v>
      </c>
      <c r="AG15" s="1458">
        <f>ROUND(AVERAGE(K15:K$24)/100,4)</f>
        <v>2.06E-2</v>
      </c>
      <c r="AH15" s="1458">
        <f>ROUND(AVERAGE(L15:L$24)/100,4)</f>
        <v>1.23E-2</v>
      </c>
    </row>
    <row r="16" spans="1:34" ht="13.5" thickBot="1">
      <c r="A16" s="1459" t="s">
        <v>152</v>
      </c>
      <c r="B16" s="1475">
        <f t="shared" si="63"/>
        <v>346.720748986128</v>
      </c>
      <c r="C16" s="1475">
        <f t="shared" si="63"/>
        <v>284.30282172386285</v>
      </c>
      <c r="D16" s="1475">
        <f t="shared" si="64"/>
        <v>284.30282172386285</v>
      </c>
      <c r="E16" s="1475">
        <f t="shared" si="65"/>
        <v>479.58023546306947</v>
      </c>
      <c r="F16" s="1475">
        <f t="shared" si="65"/>
        <v>253.25788877571213</v>
      </c>
      <c r="G16" s="3290"/>
      <c r="H16" s="1462">
        <v>1</v>
      </c>
      <c r="I16" s="1462">
        <v>4.09</v>
      </c>
      <c r="J16" s="3306">
        <v>2.93</v>
      </c>
      <c r="K16" s="1462">
        <v>4.54</v>
      </c>
      <c r="L16" s="1476">
        <v>1.48</v>
      </c>
      <c r="N16" s="1470">
        <f t="shared" si="66"/>
        <v>4.0899999999999999E-2</v>
      </c>
      <c r="O16" s="1471">
        <f t="shared" si="61"/>
        <v>2.9300000000000003E-2</v>
      </c>
      <c r="P16" s="1471">
        <f t="shared" si="61"/>
        <v>4.5400000000000003E-2</v>
      </c>
      <c r="Q16" s="1471">
        <f t="shared" si="61"/>
        <v>1.4800000000000001E-2</v>
      </c>
      <c r="R16" s="1472"/>
      <c r="S16" s="1478">
        <f>B16/B17-1</f>
        <v>4.1203450408792808E-2</v>
      </c>
      <c r="T16" s="1479">
        <f>C16/C17-1</f>
        <v>2.6363977342465095E-2</v>
      </c>
      <c r="U16" s="1479">
        <f>E16/E17-1</f>
        <v>4.4837114298626357E-2</v>
      </c>
      <c r="V16" s="1479">
        <f>F16/F17-1</f>
        <v>1.7099954922538574E-2</v>
      </c>
      <c r="X16" s="1457">
        <f>ROUND(SUMPRODUCT(PRODUCT(1+N16:N$23)),4)</f>
        <v>1.1269</v>
      </c>
      <c r="Y16" s="1457">
        <f>ROUND(SUMPRODUCT(PRODUCT(1+O16:O$23)),4)</f>
        <v>1.1052999999999999</v>
      </c>
      <c r="Z16" s="1457">
        <f t="shared" si="0"/>
        <v>1.1052999999999999</v>
      </c>
      <c r="AA16" s="1457">
        <f>ROUND(SUMPRODUCT(PRODUCT(1+P16:P$23)),4)</f>
        <v>1.1349</v>
      </c>
      <c r="AB16" s="1457">
        <f>ROUND(SUMPRODUCT(PRODUCT(1+Q16:Q$23)),4)</f>
        <v>1.0996999999999999</v>
      </c>
      <c r="AD16" s="1458">
        <f>ROUND(AVERAGE(I16:I$24)/100,4)</f>
        <v>1.67E-2</v>
      </c>
      <c r="AE16" s="1458">
        <f>ROUND(AVERAGE(J16:J$24)/100,4)</f>
        <v>1.38E-2</v>
      </c>
      <c r="AF16" s="1458">
        <f t="shared" si="1"/>
        <v>1.38E-2</v>
      </c>
      <c r="AG16" s="1458">
        <f>ROUND(AVERAGE(K16:K$24)/100,4)</f>
        <v>1.7899999999999999E-2</v>
      </c>
      <c r="AH16" s="1458">
        <f>ROUND(AVERAGE(L16:L$24)/100,4)</f>
        <v>1.21E-2</v>
      </c>
    </row>
    <row r="17" spans="1:34" ht="13.5" thickBot="1">
      <c r="A17" s="1459" t="s">
        <v>151</v>
      </c>
      <c r="B17" s="1467">
        <v>333</v>
      </c>
      <c r="C17" s="1467">
        <v>277</v>
      </c>
      <c r="D17" s="1467">
        <f t="shared" si="64"/>
        <v>277</v>
      </c>
      <c r="E17" s="1467">
        <v>459</v>
      </c>
      <c r="F17" s="1468">
        <v>249</v>
      </c>
      <c r="G17" s="3288">
        <v>2015</v>
      </c>
      <c r="H17" s="1480">
        <v>4</v>
      </c>
      <c r="I17" s="1480">
        <v>1.63</v>
      </c>
      <c r="J17" s="3309">
        <v>1.1100000000000001</v>
      </c>
      <c r="K17" s="1480">
        <v>1.77</v>
      </c>
      <c r="L17" s="1481">
        <v>1.89</v>
      </c>
      <c r="N17" s="1482">
        <f t="shared" si="66"/>
        <v>1.6299999999999999E-2</v>
      </c>
      <c r="O17" s="1483">
        <f t="shared" si="61"/>
        <v>1.11E-2</v>
      </c>
      <c r="P17" s="1483">
        <f t="shared" si="61"/>
        <v>1.77E-2</v>
      </c>
      <c r="Q17" s="1483">
        <f t="shared" si="61"/>
        <v>1.89E-2</v>
      </c>
      <c r="R17" s="1472"/>
      <c r="X17" s="1457">
        <f>ROUND(SUMPRODUCT(PRODUCT(1+N17:N$23)),4)</f>
        <v>1.0826</v>
      </c>
      <c r="Y17" s="1457">
        <f>ROUND(SUMPRODUCT(PRODUCT(1+O17:O$23)),4)</f>
        <v>1.0738000000000001</v>
      </c>
      <c r="Z17" s="1457">
        <f t="shared" si="0"/>
        <v>1.0738000000000001</v>
      </c>
      <c r="AA17" s="1457">
        <f>ROUND(SUMPRODUCT(PRODUCT(1+P17:P$23)),4)</f>
        <v>1.0855999999999999</v>
      </c>
      <c r="AB17" s="1457">
        <f>ROUND(SUMPRODUCT(PRODUCT(1+Q17:Q$23)),4)</f>
        <v>1.0837000000000001</v>
      </c>
      <c r="AD17" s="1458">
        <f>ROUND(AVERAGE(I17:I$24)/100,4)</f>
        <v>1.37E-2</v>
      </c>
      <c r="AE17" s="1458">
        <f>ROUND(AVERAGE(J17:J$24)/100,4)</f>
        <v>1.1900000000000001E-2</v>
      </c>
      <c r="AF17" s="1458">
        <f t="shared" si="1"/>
        <v>1.1900000000000001E-2</v>
      </c>
      <c r="AG17" s="1458">
        <f>ROUND(AVERAGE(K17:K$24)/100,4)</f>
        <v>1.4500000000000001E-2</v>
      </c>
      <c r="AH17" s="1458">
        <f>ROUND(AVERAGE(L17:L$24)/100,4)</f>
        <v>1.18E-2</v>
      </c>
    </row>
    <row r="18" spans="1:34">
      <c r="A18" s="1459" t="s">
        <v>150</v>
      </c>
      <c r="B18" s="1475">
        <f t="shared" ref="B18:C20" si="67">B17/(1+N17)</f>
        <v>327.65915576109415</v>
      </c>
      <c r="C18" s="1475">
        <f t="shared" si="67"/>
        <v>273.95905449510434</v>
      </c>
      <c r="D18" s="1475">
        <f t="shared" si="64"/>
        <v>273.95905449510434</v>
      </c>
      <c r="E18" s="1475">
        <f t="shared" ref="E18:F20" si="68">E17/(1+P17)</f>
        <v>451.01699911565294</v>
      </c>
      <c r="F18" s="1475">
        <f t="shared" si="68"/>
        <v>244.38119540681129</v>
      </c>
      <c r="G18" s="3289"/>
      <c r="H18" s="1485">
        <v>3</v>
      </c>
      <c r="I18" s="1485">
        <v>1.65</v>
      </c>
      <c r="J18" s="3310">
        <v>0.92</v>
      </c>
      <c r="K18" s="1485">
        <v>1.88</v>
      </c>
      <c r="L18" s="1486">
        <v>1.26</v>
      </c>
      <c r="N18" s="1470">
        <f t="shared" si="66"/>
        <v>1.6500000000000001E-2</v>
      </c>
      <c r="O18" s="1487">
        <f t="shared" si="61"/>
        <v>9.1999999999999998E-3</v>
      </c>
      <c r="P18" s="1487">
        <f t="shared" si="61"/>
        <v>1.8799999999999997E-2</v>
      </c>
      <c r="Q18" s="1487">
        <f t="shared" si="61"/>
        <v>1.26E-2</v>
      </c>
      <c r="R18" s="1472"/>
      <c r="S18" s="1470"/>
      <c r="T18" s="1471"/>
      <c r="U18" s="1471"/>
      <c r="V18" s="1471"/>
      <c r="X18" s="1457">
        <f>ROUND(SUMPRODUCT(PRODUCT(1+N18:N$23)),4)</f>
        <v>1.0651999999999999</v>
      </c>
      <c r="Y18" s="1457">
        <f>ROUND(SUMPRODUCT(PRODUCT(1+O18:O$23)),4)</f>
        <v>1.0621</v>
      </c>
      <c r="Z18" s="1457">
        <f t="shared" si="0"/>
        <v>1.0621</v>
      </c>
      <c r="AA18" s="1457">
        <f>ROUND(SUMPRODUCT(PRODUCT(1+P18:P$23)),4)</f>
        <v>1.0668</v>
      </c>
      <c r="AB18" s="1457">
        <f>ROUND(SUMPRODUCT(PRODUCT(1+Q18:Q$23)),4)</f>
        <v>1.0636000000000001</v>
      </c>
      <c r="AD18" s="1458">
        <f>ROUND(AVERAGE(I18:I$24)/100,4)</f>
        <v>1.3299999999999999E-2</v>
      </c>
      <c r="AE18" s="1458">
        <f>ROUND(AVERAGE(J18:J$24)/100,4)</f>
        <v>1.2E-2</v>
      </c>
      <c r="AF18" s="1458">
        <f t="shared" si="1"/>
        <v>1.2E-2</v>
      </c>
      <c r="AG18" s="1458">
        <f>ROUND(AVERAGE(K18:K$24)/100,4)</f>
        <v>1.4E-2</v>
      </c>
      <c r="AH18" s="1458">
        <f>ROUND(AVERAGE(L18:L$24)/100,4)</f>
        <v>1.0800000000000001E-2</v>
      </c>
    </row>
    <row r="19" spans="1:34">
      <c r="A19" s="1459" t="s">
        <v>149</v>
      </c>
      <c r="B19" s="1475">
        <f t="shared" si="67"/>
        <v>322.34053690220776</v>
      </c>
      <c r="C19" s="1475">
        <f t="shared" si="67"/>
        <v>271.46160770422546</v>
      </c>
      <c r="D19" s="1475">
        <f t="shared" si="64"/>
        <v>271.46160770422546</v>
      </c>
      <c r="E19" s="1475">
        <f t="shared" si="68"/>
        <v>442.69434542172456</v>
      </c>
      <c r="F19" s="1475">
        <f t="shared" si="68"/>
        <v>241.34030753190925</v>
      </c>
      <c r="G19" s="3289"/>
      <c r="H19" s="1463">
        <v>2</v>
      </c>
      <c r="I19" s="1463">
        <v>0.77</v>
      </c>
      <c r="J19" s="3308">
        <v>0.69</v>
      </c>
      <c r="K19" s="1463">
        <v>0.8</v>
      </c>
      <c r="L19" s="1477">
        <v>0.88</v>
      </c>
      <c r="N19" s="1470">
        <f t="shared" si="66"/>
        <v>7.7000000000000002E-3</v>
      </c>
      <c r="O19" s="1487">
        <f t="shared" si="61"/>
        <v>6.8999999999999999E-3</v>
      </c>
      <c r="P19" s="1487">
        <f t="shared" si="61"/>
        <v>8.0000000000000002E-3</v>
      </c>
      <c r="Q19" s="1487">
        <f t="shared" si="61"/>
        <v>8.8000000000000005E-3</v>
      </c>
      <c r="R19" s="1472"/>
      <c r="S19" s="1470"/>
      <c r="T19" s="1471"/>
      <c r="U19" s="1471"/>
      <c r="V19" s="1471"/>
      <c r="X19" s="1457">
        <f>ROUND(SUMPRODUCT(PRODUCT(1+N19:N$23)),4)</f>
        <v>1.048</v>
      </c>
      <c r="Y19" s="1457">
        <f>ROUND(SUMPRODUCT(PRODUCT(1+O19:O$23)),4)</f>
        <v>1.0524</v>
      </c>
      <c r="Z19" s="1457">
        <f t="shared" si="0"/>
        <v>1.0524</v>
      </c>
      <c r="AA19" s="1457">
        <f>ROUND(SUMPRODUCT(PRODUCT(1+P19:P$23)),4)</f>
        <v>1.0470999999999999</v>
      </c>
      <c r="AB19" s="1457">
        <f>ROUND(SUMPRODUCT(PRODUCT(1+Q19:Q$23)),4)</f>
        <v>1.0504</v>
      </c>
      <c r="AD19" s="1458">
        <f>ROUND(AVERAGE(I19:I$24)/100,4)</f>
        <v>1.2800000000000001E-2</v>
      </c>
      <c r="AE19" s="1458">
        <f>ROUND(AVERAGE(J19:J$24)/100,4)</f>
        <v>1.2500000000000001E-2</v>
      </c>
      <c r="AF19" s="1458">
        <f t="shared" si="1"/>
        <v>1.2500000000000001E-2</v>
      </c>
      <c r="AG19" s="1458">
        <f>ROUND(AVERAGE(K19:K$24)/100,4)</f>
        <v>1.32E-2</v>
      </c>
      <c r="AH19" s="1458">
        <f>ROUND(AVERAGE(L19:L$24)/100,4)</f>
        <v>1.0500000000000001E-2</v>
      </c>
    </row>
    <row r="20" spans="1:34">
      <c r="A20" s="1459" t="s">
        <v>148</v>
      </c>
      <c r="B20" s="1475">
        <f t="shared" si="67"/>
        <v>319.87748030386797</v>
      </c>
      <c r="C20" s="1475">
        <f t="shared" si="67"/>
        <v>269.60135833173649</v>
      </c>
      <c r="D20" s="1475">
        <f t="shared" si="64"/>
        <v>269.60135833173649</v>
      </c>
      <c r="E20" s="1475">
        <f t="shared" si="68"/>
        <v>439.18089823583784</v>
      </c>
      <c r="F20" s="1475">
        <f t="shared" si="68"/>
        <v>239.23503918706311</v>
      </c>
      <c r="G20" s="3290"/>
      <c r="H20" s="1462">
        <v>1</v>
      </c>
      <c r="I20" s="1462">
        <v>0.51</v>
      </c>
      <c r="J20" s="3306">
        <v>0.54</v>
      </c>
      <c r="K20" s="1462">
        <v>0.48</v>
      </c>
      <c r="L20" s="1476">
        <v>0.93</v>
      </c>
      <c r="N20" s="1478">
        <f t="shared" si="66"/>
        <v>5.1000000000000004E-3</v>
      </c>
      <c r="O20" s="1479">
        <f t="shared" si="61"/>
        <v>5.4000000000000003E-3</v>
      </c>
      <c r="P20" s="1479">
        <f t="shared" si="61"/>
        <v>4.7999999999999996E-3</v>
      </c>
      <c r="Q20" s="1479">
        <f t="shared" si="61"/>
        <v>9.300000000000001E-3</v>
      </c>
      <c r="R20" s="1472"/>
      <c r="S20" s="1478">
        <f>B20/B21-1</f>
        <v>5.9040261127922822E-3</v>
      </c>
      <c r="T20" s="1479">
        <f>C20/C21-1</f>
        <v>5.9752176557332781E-3</v>
      </c>
      <c r="U20" s="1479">
        <f>E20/E21-1</f>
        <v>4.9906138119859556E-3</v>
      </c>
      <c r="V20" s="1479">
        <f>F20/F21-1</f>
        <v>9.4305450930933787E-3</v>
      </c>
      <c r="X20" s="1457">
        <f>ROUND(SUMPRODUCT(PRODUCT(1+N20:N$23)),4)</f>
        <v>1.0399</v>
      </c>
      <c r="Y20" s="1457">
        <f>ROUND(SUMPRODUCT(PRODUCT(1+O20:O$23)),4)</f>
        <v>1.0451999999999999</v>
      </c>
      <c r="Z20" s="1457">
        <f t="shared" si="0"/>
        <v>1.0451999999999999</v>
      </c>
      <c r="AA20" s="1457">
        <f>ROUND(SUMPRODUCT(PRODUCT(1+P20:P$23)),4)</f>
        <v>1.0387999999999999</v>
      </c>
      <c r="AB20" s="1457">
        <f>ROUND(SUMPRODUCT(PRODUCT(1+Q20:Q$23)),4)</f>
        <v>1.0411999999999999</v>
      </c>
      <c r="AD20" s="1458">
        <f>ROUND(AVERAGE(I20:I$24)/100,4)</f>
        <v>1.38E-2</v>
      </c>
      <c r="AE20" s="1458">
        <f>ROUND(AVERAGE(J20:J$24)/100,4)</f>
        <v>1.3599999999999999E-2</v>
      </c>
      <c r="AF20" s="1458">
        <f t="shared" si="1"/>
        <v>1.3599999999999999E-2</v>
      </c>
      <c r="AG20" s="1458">
        <f>ROUND(AVERAGE(K20:K$24)/100,4)</f>
        <v>1.4200000000000001E-2</v>
      </c>
      <c r="AH20" s="1458">
        <f>ROUND(AVERAGE(L20:L$24)/100,4)</f>
        <v>1.0800000000000001E-2</v>
      </c>
    </row>
    <row r="21" spans="1:34" ht="13.5" thickBot="1">
      <c r="A21" s="1459" t="s">
        <v>147</v>
      </c>
      <c r="B21" s="1488">
        <v>318</v>
      </c>
      <c r="C21" s="1488">
        <v>268</v>
      </c>
      <c r="D21" s="1488">
        <f t="shared" si="64"/>
        <v>268</v>
      </c>
      <c r="E21" s="1488">
        <v>437</v>
      </c>
      <c r="F21" s="1489">
        <v>237</v>
      </c>
      <c r="G21" s="3288">
        <v>2014</v>
      </c>
      <c r="H21" s="1480">
        <v>4</v>
      </c>
      <c r="I21" s="1480">
        <v>0.21</v>
      </c>
      <c r="J21" s="3309">
        <v>0.41</v>
      </c>
      <c r="K21" s="1480">
        <v>0.12</v>
      </c>
      <c r="L21" s="1481">
        <v>0.89</v>
      </c>
      <c r="N21" s="1470">
        <f t="shared" si="66"/>
        <v>2.0999999999999999E-3</v>
      </c>
      <c r="O21" s="1471">
        <f t="shared" si="61"/>
        <v>4.0999999999999995E-3</v>
      </c>
      <c r="P21" s="1471">
        <f t="shared" si="61"/>
        <v>1.1999999999999999E-3</v>
      </c>
      <c r="Q21" s="1471">
        <f t="shared" si="61"/>
        <v>8.8999999999999999E-3</v>
      </c>
      <c r="R21" s="1472"/>
      <c r="S21" s="1473"/>
      <c r="T21" s="1474"/>
      <c r="U21" s="1474"/>
      <c r="V21" s="1474"/>
      <c r="X21" s="1457">
        <f>ROUND(SUMPRODUCT(PRODUCT(1+N21:N$23)),4)</f>
        <v>1.0347</v>
      </c>
      <c r="Y21" s="1457">
        <f>ROUND(SUMPRODUCT(PRODUCT(1+O21:O$23)),4)</f>
        <v>1.0395000000000001</v>
      </c>
      <c r="Z21" s="1457">
        <f t="shared" si="0"/>
        <v>1.0395000000000001</v>
      </c>
      <c r="AA21" s="1457">
        <f>ROUND(SUMPRODUCT(PRODUCT(1+P21:P$23)),4)</f>
        <v>1.0338000000000001</v>
      </c>
      <c r="AB21" s="1457">
        <f>ROUND(SUMPRODUCT(PRODUCT(1+Q21:Q$23)),4)</f>
        <v>1.0316000000000001</v>
      </c>
      <c r="AD21" s="1458">
        <f>ROUND(AVERAGE(I21:I$24)/100,4)</f>
        <v>1.6E-2</v>
      </c>
      <c r="AE21" s="1458">
        <f>ROUND(AVERAGE(J21:J$24)/100,4)</f>
        <v>1.5599999999999999E-2</v>
      </c>
      <c r="AF21" s="1458">
        <f t="shared" si="1"/>
        <v>1.5599999999999999E-2</v>
      </c>
      <c r="AG21" s="1458">
        <f>ROUND(AVERAGE(K21:K$24)/100,4)</f>
        <v>1.66E-2</v>
      </c>
      <c r="AH21" s="1458">
        <f>ROUND(AVERAGE(L21:L$24)/100,4)</f>
        <v>1.12E-2</v>
      </c>
    </row>
    <row r="22" spans="1:34">
      <c r="A22" s="1459" t="s">
        <v>146</v>
      </c>
      <c r="B22" s="1475">
        <f t="shared" ref="B22:C24" si="69">B21/(1+N21)</f>
        <v>317.33359944117353</v>
      </c>
      <c r="C22" s="1475">
        <f t="shared" si="69"/>
        <v>266.90568668459315</v>
      </c>
      <c r="D22" s="1475">
        <f t="shared" si="64"/>
        <v>266.90568668459315</v>
      </c>
      <c r="E22" s="1475">
        <f t="shared" ref="E22:F24" si="70">E21/(1+P21)</f>
        <v>436.47622852576905</v>
      </c>
      <c r="F22" s="1475">
        <f t="shared" si="70"/>
        <v>234.90930716622066</v>
      </c>
      <c r="G22" s="3289"/>
      <c r="H22" s="1490">
        <v>3</v>
      </c>
      <c r="I22" s="1490">
        <v>0.83</v>
      </c>
      <c r="J22" s="3310">
        <v>1.47</v>
      </c>
      <c r="K22" s="1490">
        <v>0.65</v>
      </c>
      <c r="L22" s="1491">
        <v>0.72</v>
      </c>
      <c r="N22" s="1470">
        <f t="shared" si="66"/>
        <v>8.3000000000000001E-3</v>
      </c>
      <c r="O22" s="1471">
        <f t="shared" si="61"/>
        <v>1.47E-2</v>
      </c>
      <c r="P22" s="1471">
        <f t="shared" si="61"/>
        <v>6.5000000000000006E-3</v>
      </c>
      <c r="Q22" s="1471">
        <f t="shared" si="61"/>
        <v>7.1999999999999998E-3</v>
      </c>
      <c r="R22" s="1472"/>
      <c r="S22" s="1470"/>
      <c r="T22" s="1471"/>
      <c r="U22" s="1471"/>
      <c r="V22" s="1471"/>
      <c r="X22" s="1457">
        <f>ROUND(SUMPRODUCT(PRODUCT(1+N22:N$23)),4)</f>
        <v>1.0325</v>
      </c>
      <c r="Y22" s="1457">
        <f>ROUND(SUMPRODUCT(PRODUCT(1+O22:O$23)),4)</f>
        <v>1.0353000000000001</v>
      </c>
      <c r="Z22" s="1457">
        <f t="shared" ref="Z22:Z23" si="71">Y22</f>
        <v>1.0353000000000001</v>
      </c>
      <c r="AA22" s="1457">
        <f>ROUND(SUMPRODUCT(PRODUCT(1+P22:P$23)),4)</f>
        <v>1.0326</v>
      </c>
      <c r="AB22" s="1457">
        <f>ROUND(SUMPRODUCT(PRODUCT(1+Q22:Q$23)),4)</f>
        <v>1.0225</v>
      </c>
      <c r="AD22" s="1458">
        <f>ROUND(AVERAGE(I22:I$24)/100,4)</f>
        <v>2.07E-2</v>
      </c>
      <c r="AE22" s="1458">
        <f>ROUND(AVERAGE(J22:J$24)/100,4)</f>
        <v>1.95E-2</v>
      </c>
      <c r="AF22" s="1458">
        <f t="shared" si="1"/>
        <v>1.95E-2</v>
      </c>
      <c r="AG22" s="1458">
        <f>ROUND(AVERAGE(K22:K$24)/100,4)</f>
        <v>2.1700000000000001E-2</v>
      </c>
      <c r="AH22" s="1458">
        <f>ROUND(AVERAGE(L22:L$24)/100,4)</f>
        <v>1.2E-2</v>
      </c>
    </row>
    <row r="23" spans="1:34" ht="13.5" thickBot="1">
      <c r="A23" s="1459" t="s">
        <v>145</v>
      </c>
      <c r="B23" s="1475">
        <f t="shared" si="69"/>
        <v>314.72141172386546</v>
      </c>
      <c r="C23" s="1475">
        <f t="shared" si="69"/>
        <v>263.03901319069001</v>
      </c>
      <c r="D23" s="1475">
        <f t="shared" si="64"/>
        <v>263.03901319069001</v>
      </c>
      <c r="E23" s="1475">
        <f t="shared" si="70"/>
        <v>433.65745506782821</v>
      </c>
      <c r="F23" s="1475">
        <f t="shared" si="70"/>
        <v>233.23005080045735</v>
      </c>
      <c r="G23" s="3289"/>
      <c r="H23" s="1480">
        <v>2</v>
      </c>
      <c r="I23" s="1480">
        <v>2.4</v>
      </c>
      <c r="J23" s="3309">
        <v>2.0299999999999998</v>
      </c>
      <c r="K23" s="1480">
        <v>2.59</v>
      </c>
      <c r="L23" s="1481">
        <v>1.52</v>
      </c>
      <c r="N23" s="1470">
        <f t="shared" si="66"/>
        <v>2.4E-2</v>
      </c>
      <c r="O23" s="1471">
        <f t="shared" si="61"/>
        <v>2.0299999999999999E-2</v>
      </c>
      <c r="P23" s="1471">
        <f t="shared" si="61"/>
        <v>2.5899999999999999E-2</v>
      </c>
      <c r="Q23" s="1471">
        <f t="shared" si="61"/>
        <v>1.52E-2</v>
      </c>
      <c r="R23" s="1472"/>
      <c r="S23" s="1470"/>
      <c r="T23" s="1471"/>
      <c r="U23" s="1471"/>
      <c r="V23" s="1471"/>
      <c r="X23" s="1457">
        <f>1+N23</f>
        <v>1.024</v>
      </c>
      <c r="Y23" s="1457">
        <f>1+O23</f>
        <v>1.0203</v>
      </c>
      <c r="Z23" s="1457">
        <f t="shared" si="71"/>
        <v>1.0203</v>
      </c>
      <c r="AA23" s="1457">
        <f>1+P23</f>
        <v>1.0259</v>
      </c>
      <c r="AB23" s="1457">
        <f>1+Q23</f>
        <v>1.0152000000000001</v>
      </c>
      <c r="AD23" s="1458">
        <f>ROUND(AVERAGE(I23:I$24)/100,4)</f>
        <v>2.69E-2</v>
      </c>
      <c r="AE23" s="1458">
        <f>ROUND(AVERAGE(J23:J$24)/100,4)</f>
        <v>2.1899999999999999E-2</v>
      </c>
      <c r="AF23" s="1458">
        <f t="shared" ref="AF23" si="72">AE23</f>
        <v>2.1899999999999999E-2</v>
      </c>
      <c r="AG23" s="1458">
        <f>ROUND(AVERAGE(K23:K$24)/100,4)</f>
        <v>2.9399999999999999E-2</v>
      </c>
      <c r="AH23" s="1458">
        <f>ROUND(AVERAGE(L23:L$24)/100,4)</f>
        <v>1.44E-2</v>
      </c>
    </row>
    <row r="24" spans="1:34" s="1496" customFormat="1" ht="13.5" thickBot="1">
      <c r="A24" s="1492" t="s">
        <v>144</v>
      </c>
      <c r="B24" s="1493">
        <f t="shared" si="69"/>
        <v>307.34512863658733</v>
      </c>
      <c r="C24" s="1493">
        <f t="shared" si="69"/>
        <v>257.80556031626975</v>
      </c>
      <c r="D24" s="1493">
        <f t="shared" si="64"/>
        <v>257.80556031626975</v>
      </c>
      <c r="E24" s="1493">
        <f t="shared" si="70"/>
        <v>422.70928459677179</v>
      </c>
      <c r="F24" s="1493">
        <f t="shared" si="70"/>
        <v>229.73803270336617</v>
      </c>
      <c r="G24" s="3290"/>
      <c r="H24" s="1494">
        <v>1</v>
      </c>
      <c r="I24" s="1494">
        <v>2.97</v>
      </c>
      <c r="J24" s="3311">
        <v>2.34</v>
      </c>
      <c r="K24" s="1494">
        <v>3.28</v>
      </c>
      <c r="L24" s="1495">
        <v>1.36</v>
      </c>
      <c r="N24" s="1497">
        <f t="shared" si="66"/>
        <v>2.9700000000000001E-2</v>
      </c>
      <c r="O24" s="1498">
        <f t="shared" si="61"/>
        <v>2.3399999999999997E-2</v>
      </c>
      <c r="P24" s="1498">
        <f t="shared" si="61"/>
        <v>3.2799999999999996E-2</v>
      </c>
      <c r="Q24" s="1498">
        <f t="shared" si="61"/>
        <v>1.3600000000000001E-2</v>
      </c>
      <c r="R24" s="1499"/>
      <c r="S24" s="1500">
        <f>B24/B25-1</f>
        <v>2.7910129219355539E-2</v>
      </c>
      <c r="T24" s="1501">
        <f>C24/C25-1</f>
        <v>2.3037937762975247E-2</v>
      </c>
      <c r="U24" s="1501">
        <f>E24/E25-1</f>
        <v>3.3519033243940788E-2</v>
      </c>
      <c r="V24" s="1501">
        <f>F24/F25-1</f>
        <v>1.2061818076502862E-2</v>
      </c>
      <c r="W24" s="1502" t="s">
        <v>1162</v>
      </c>
      <c r="X24" s="1503">
        <v>1</v>
      </c>
      <c r="Y24" s="1503">
        <v>1</v>
      </c>
      <c r="Z24" s="1503">
        <v>1</v>
      </c>
      <c r="AA24" s="1503">
        <v>1</v>
      </c>
      <c r="AB24" s="1503">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59" t="s">
        <v>1163</v>
      </c>
      <c r="B25" s="1467">
        <v>299</v>
      </c>
      <c r="C25" s="1467">
        <v>252</v>
      </c>
      <c r="D25" s="1467">
        <f t="shared" si="64"/>
        <v>252</v>
      </c>
      <c r="E25" s="1467">
        <v>409</v>
      </c>
      <c r="F25" s="1468">
        <v>227</v>
      </c>
      <c r="G25" s="3293">
        <v>2013</v>
      </c>
      <c r="H25" s="1504">
        <v>4</v>
      </c>
      <c r="I25" s="1504">
        <v>1.83</v>
      </c>
      <c r="J25" s="1504">
        <v>1.68</v>
      </c>
      <c r="K25" s="1504">
        <v>1.97</v>
      </c>
      <c r="L25" s="1505">
        <v>0.87</v>
      </c>
      <c r="N25" s="1482">
        <f t="shared" si="66"/>
        <v>1.83E-2</v>
      </c>
      <c r="O25" s="1483">
        <f t="shared" si="61"/>
        <v>1.6799999999999999E-2</v>
      </c>
      <c r="P25" s="1483">
        <f t="shared" si="61"/>
        <v>1.9699999999999999E-2</v>
      </c>
      <c r="Q25" s="1483">
        <f t="shared" si="61"/>
        <v>8.6999999999999994E-3</v>
      </c>
      <c r="R25" s="1472"/>
      <c r="S25" s="1473"/>
      <c r="T25" s="1474"/>
      <c r="U25" s="1474"/>
      <c r="V25" s="1474"/>
      <c r="X25" s="1474"/>
      <c r="Y25" s="1474"/>
      <c r="Z25" s="1474"/>
    </row>
    <row r="26" spans="1:34">
      <c r="A26" s="1459" t="s">
        <v>1164</v>
      </c>
      <c r="B26" s="1475">
        <f t="shared" ref="B26:C28" si="73">B25/(1+N25)</f>
        <v>293.62663262299913</v>
      </c>
      <c r="C26" s="1475">
        <f t="shared" si="73"/>
        <v>247.83634933123525</v>
      </c>
      <c r="D26" s="1475">
        <f t="shared" si="64"/>
        <v>247.83634933123525</v>
      </c>
      <c r="E26" s="1475">
        <f t="shared" ref="E26:F28" si="74">E25/(1+P25)</f>
        <v>401.09836226341076</v>
      </c>
      <c r="F26" s="1475">
        <f t="shared" si="74"/>
        <v>225.04213343908003</v>
      </c>
      <c r="G26" s="3294"/>
      <c r="H26" s="1485">
        <v>3</v>
      </c>
      <c r="I26" s="1485">
        <v>1.86</v>
      </c>
      <c r="J26" s="1485">
        <v>1.72</v>
      </c>
      <c r="K26" s="1485">
        <v>1.98</v>
      </c>
      <c r="L26" s="1486">
        <v>0.88</v>
      </c>
      <c r="N26" s="1470">
        <f t="shared" si="66"/>
        <v>1.8600000000000002E-2</v>
      </c>
      <c r="O26" s="1487">
        <f t="shared" si="61"/>
        <v>1.72E-2</v>
      </c>
      <c r="P26" s="1487">
        <f t="shared" si="61"/>
        <v>1.9799999999999998E-2</v>
      </c>
      <c r="Q26" s="1487">
        <f t="shared" si="61"/>
        <v>8.8000000000000005E-3</v>
      </c>
      <c r="R26" s="1472"/>
      <c r="S26" s="1470"/>
      <c r="T26" s="1471"/>
      <c r="U26" s="1471"/>
      <c r="V26" s="1471"/>
    </row>
    <row r="27" spans="1:34">
      <c r="A27" s="1459" t="s">
        <v>1165</v>
      </c>
      <c r="B27" s="1475">
        <f t="shared" si="73"/>
        <v>288.2649053828776</v>
      </c>
      <c r="C27" s="1475">
        <f t="shared" si="73"/>
        <v>243.64564425013293</v>
      </c>
      <c r="D27" s="1475">
        <f t="shared" si="64"/>
        <v>243.64564425013293</v>
      </c>
      <c r="E27" s="1475">
        <f t="shared" si="74"/>
        <v>393.31080825986544</v>
      </c>
      <c r="F27" s="1475">
        <f t="shared" si="74"/>
        <v>223.07903790551154</v>
      </c>
      <c r="G27" s="3294"/>
      <c r="H27" s="1463">
        <v>2</v>
      </c>
      <c r="I27" s="1463">
        <v>2.04</v>
      </c>
      <c r="J27" s="1463">
        <v>2.33</v>
      </c>
      <c r="K27" s="1463">
        <v>2.0699999999999998</v>
      </c>
      <c r="L27" s="1477">
        <v>0.69</v>
      </c>
      <c r="N27" s="1470">
        <f t="shared" si="66"/>
        <v>2.0400000000000001E-2</v>
      </c>
      <c r="O27" s="1487">
        <f t="shared" si="61"/>
        <v>2.3300000000000001E-2</v>
      </c>
      <c r="P27" s="1487">
        <f t="shared" si="61"/>
        <v>2.07E-2</v>
      </c>
      <c r="Q27" s="1487">
        <f t="shared" si="61"/>
        <v>6.8999999999999999E-3</v>
      </c>
      <c r="R27" s="1472"/>
      <c r="S27" s="1470"/>
      <c r="T27" s="1471"/>
      <c r="U27" s="1471"/>
      <c r="V27" s="1471"/>
      <c r="X27" s="1506"/>
      <c r="Y27" s="1507"/>
    </row>
    <row r="28" spans="1:34">
      <c r="A28" s="1459" t="s">
        <v>1166</v>
      </c>
      <c r="B28" s="1475">
        <f t="shared" si="73"/>
        <v>282.50186729015837</v>
      </c>
      <c r="C28" s="1475">
        <f t="shared" si="73"/>
        <v>238.09796174155468</v>
      </c>
      <c r="D28" s="1475">
        <f t="shared" si="64"/>
        <v>238.09796174155468</v>
      </c>
      <c r="E28" s="1475">
        <f t="shared" si="74"/>
        <v>385.33438646014054</v>
      </c>
      <c r="F28" s="1475">
        <f t="shared" si="74"/>
        <v>221.55034055567739</v>
      </c>
      <c r="G28" s="3295"/>
      <c r="H28" s="1462">
        <v>1</v>
      </c>
      <c r="I28" s="1462">
        <v>1.67</v>
      </c>
      <c r="J28" s="1462">
        <v>1.31</v>
      </c>
      <c r="K28" s="1462">
        <v>1.85</v>
      </c>
      <c r="L28" s="1476">
        <v>0.96</v>
      </c>
      <c r="N28" s="1478">
        <f t="shared" si="66"/>
        <v>1.67E-2</v>
      </c>
      <c r="O28" s="1479">
        <f t="shared" si="66"/>
        <v>1.3100000000000001E-2</v>
      </c>
      <c r="P28" s="1479">
        <f t="shared" si="66"/>
        <v>1.8500000000000003E-2</v>
      </c>
      <c r="Q28" s="1479">
        <f t="shared" si="66"/>
        <v>9.5999999999999992E-3</v>
      </c>
      <c r="R28" s="1472"/>
      <c r="S28" s="1478">
        <f>B28/B29-1</f>
        <v>1.6193767230785472E-2</v>
      </c>
      <c r="T28" s="1479">
        <f>C28/C29-1</f>
        <v>1.7512657015190891E-2</v>
      </c>
      <c r="U28" s="1479">
        <f>E28/E29-1</f>
        <v>1.6713420739157048E-2</v>
      </c>
      <c r="V28" s="1479">
        <f>F28/F29-1</f>
        <v>7.0470025258062563E-3</v>
      </c>
      <c r="X28" s="1508"/>
      <c r="Y28" s="1458"/>
      <c r="Z28" s="1458"/>
    </row>
    <row r="29" spans="1:34" ht="13.5" thickBot="1">
      <c r="A29" s="1459" t="s">
        <v>1167</v>
      </c>
      <c r="B29" s="1509">
        <v>278</v>
      </c>
      <c r="C29" s="1509">
        <v>234</v>
      </c>
      <c r="D29" s="1509">
        <f t="shared" si="64"/>
        <v>234</v>
      </c>
      <c r="E29" s="1509">
        <v>379</v>
      </c>
      <c r="F29" s="1510">
        <v>220</v>
      </c>
      <c r="G29" s="3288">
        <v>2012</v>
      </c>
      <c r="H29" s="1480">
        <v>4</v>
      </c>
      <c r="I29" s="1480">
        <v>0.91</v>
      </c>
      <c r="J29" s="1480">
        <v>0.68</v>
      </c>
      <c r="K29" s="1480">
        <v>0.98</v>
      </c>
      <c r="L29" s="1481">
        <v>0.9</v>
      </c>
      <c r="N29" s="1470">
        <f t="shared" si="66"/>
        <v>9.1000000000000004E-3</v>
      </c>
      <c r="O29" s="1471">
        <f t="shared" si="66"/>
        <v>6.8000000000000005E-3</v>
      </c>
      <c r="P29" s="1471">
        <f t="shared" si="66"/>
        <v>9.7999999999999997E-3</v>
      </c>
      <c r="Q29" s="1471">
        <f t="shared" si="66"/>
        <v>9.0000000000000011E-3</v>
      </c>
      <c r="R29" s="1472"/>
      <c r="S29" s="1473"/>
      <c r="T29" s="1474"/>
      <c r="U29" s="1474"/>
      <c r="V29" s="1474"/>
      <c r="X29" s="1474"/>
      <c r="Y29" s="1474"/>
      <c r="Z29" s="1474"/>
    </row>
    <row r="30" spans="1:34">
      <c r="A30" s="1459" t="s">
        <v>1168</v>
      </c>
      <c r="B30" s="1475">
        <f>B29/(1+N29)</f>
        <v>275.49301357645425</v>
      </c>
      <c r="C30" s="1475">
        <f>C29/(1+O29)</f>
        <v>232.41954707985698</v>
      </c>
      <c r="D30" s="1475">
        <f t="shared" si="64"/>
        <v>232.41954707985698</v>
      </c>
      <c r="E30" s="1475">
        <f t="shared" ref="E30:F32" si="75">E29/(1+P29)</f>
        <v>375.32184591008121</v>
      </c>
      <c r="F30" s="1475">
        <f t="shared" si="75"/>
        <v>218.03766105054513</v>
      </c>
      <c r="G30" s="3289"/>
      <c r="H30" s="1485">
        <v>3</v>
      </c>
      <c r="I30" s="1485">
        <v>0.09</v>
      </c>
      <c r="J30" s="1485">
        <v>0.28999999999999998</v>
      </c>
      <c r="K30" s="1485">
        <v>-0.01</v>
      </c>
      <c r="L30" s="1486">
        <v>0.57999999999999996</v>
      </c>
      <c r="N30" s="1470">
        <f t="shared" si="66"/>
        <v>8.9999999999999998E-4</v>
      </c>
      <c r="O30" s="1471">
        <f t="shared" si="66"/>
        <v>2.8999999999999998E-3</v>
      </c>
      <c r="P30" s="1471">
        <f t="shared" si="66"/>
        <v>-1E-4</v>
      </c>
      <c r="Q30" s="1471">
        <f t="shared" si="66"/>
        <v>5.7999999999999996E-3</v>
      </c>
      <c r="R30" s="1472"/>
      <c r="S30" s="1470"/>
      <c r="T30" s="1471"/>
      <c r="U30" s="1471"/>
      <c r="V30" s="1471"/>
    </row>
    <row r="31" spans="1:34">
      <c r="A31" s="1459" t="s">
        <v>1169</v>
      </c>
      <c r="B31" s="1475">
        <f>B30/(1+N30)</f>
        <v>275.24529281292263</v>
      </c>
      <c r="C31" s="1475">
        <f>C30/(1+O30)</f>
        <v>231.74747938962707</v>
      </c>
      <c r="D31" s="1475">
        <f t="shared" si="64"/>
        <v>231.74747938962707</v>
      </c>
      <c r="E31" s="1475">
        <f t="shared" si="75"/>
        <v>375.35938184826603</v>
      </c>
      <c r="F31" s="1475">
        <f t="shared" si="75"/>
        <v>216.78033510692495</v>
      </c>
      <c r="G31" s="3289"/>
      <c r="H31" s="1463">
        <v>2</v>
      </c>
      <c r="I31" s="1463">
        <v>0.02</v>
      </c>
      <c r="J31" s="1463">
        <v>0.12</v>
      </c>
      <c r="K31" s="1463">
        <v>-0.08</v>
      </c>
      <c r="L31" s="1477">
        <v>1.24</v>
      </c>
      <c r="N31" s="1470">
        <f t="shared" si="66"/>
        <v>2.0000000000000001E-4</v>
      </c>
      <c r="O31" s="1471">
        <f t="shared" si="66"/>
        <v>1.1999999999999999E-3</v>
      </c>
      <c r="P31" s="1471">
        <f t="shared" si="66"/>
        <v>-8.0000000000000004E-4</v>
      </c>
      <c r="Q31" s="1471">
        <f t="shared" si="66"/>
        <v>1.24E-2</v>
      </c>
      <c r="R31" s="1472"/>
      <c r="S31" s="1470"/>
      <c r="T31" s="1471"/>
      <c r="U31" s="1471"/>
      <c r="V31" s="1471"/>
    </row>
    <row r="32" spans="1:34" ht="13.5" thickBot="1">
      <c r="A32" s="1459" t="s">
        <v>1170</v>
      </c>
      <c r="B32" s="1475">
        <f>B31/(1+N31)</f>
        <v>275.19025476197027</v>
      </c>
      <c r="C32" s="1511">
        <v>232</v>
      </c>
      <c r="D32" s="1511">
        <f t="shared" si="64"/>
        <v>232</v>
      </c>
      <c r="E32" s="1475">
        <f t="shared" si="75"/>
        <v>375.65990977608692</v>
      </c>
      <c r="F32" s="1475">
        <f t="shared" si="75"/>
        <v>214.12518283971252</v>
      </c>
      <c r="G32" s="3290"/>
      <c r="H32" s="1462">
        <v>1</v>
      </c>
      <c r="I32" s="1462">
        <v>0.02</v>
      </c>
      <c r="J32" s="1462">
        <v>0.13</v>
      </c>
      <c r="K32" s="1462">
        <v>-0.04</v>
      </c>
      <c r="L32" s="1476">
        <v>0.46</v>
      </c>
      <c r="N32" s="1470">
        <f t="shared" si="66"/>
        <v>2.0000000000000001E-4</v>
      </c>
      <c r="O32" s="1471">
        <f t="shared" si="66"/>
        <v>1.2999999999999999E-3</v>
      </c>
      <c r="P32" s="1471">
        <f t="shared" si="66"/>
        <v>-4.0000000000000002E-4</v>
      </c>
      <c r="Q32" s="1471">
        <f t="shared" si="66"/>
        <v>4.5999999999999999E-3</v>
      </c>
      <c r="R32" s="1472"/>
      <c r="S32" s="1478">
        <f>B32/B33-1</f>
        <v>6.9183549807361189E-4</v>
      </c>
      <c r="T32" s="1479">
        <f>C32/C33-1</f>
        <v>0</v>
      </c>
      <c r="U32" s="1479">
        <f>E32/E33-1</f>
        <v>-9.0449527636460303E-4</v>
      </c>
      <c r="V32" s="1479">
        <f>F32/F33-1</f>
        <v>5.2825485432512753E-3</v>
      </c>
      <c r="X32" s="1458"/>
      <c r="Y32" s="1458"/>
      <c r="Z32" s="1458"/>
    </row>
    <row r="33" spans="1:26" ht="13.5" thickBot="1">
      <c r="A33" s="1459" t="s">
        <v>1171</v>
      </c>
      <c r="B33" s="1467">
        <v>275</v>
      </c>
      <c r="C33" s="1467">
        <v>232</v>
      </c>
      <c r="D33" s="1467">
        <f t="shared" si="64"/>
        <v>232</v>
      </c>
      <c r="E33" s="1467">
        <v>376</v>
      </c>
      <c r="F33" s="1468">
        <v>213</v>
      </c>
      <c r="G33" s="3288">
        <v>2011</v>
      </c>
      <c r="H33" s="1480">
        <v>4</v>
      </c>
      <c r="I33" s="1480">
        <v>-0.2</v>
      </c>
      <c r="J33" s="1480">
        <v>0.04</v>
      </c>
      <c r="K33" s="1480">
        <v>-0.34</v>
      </c>
      <c r="L33" s="1481">
        <v>0.46</v>
      </c>
      <c r="N33" s="1482">
        <f t="shared" si="66"/>
        <v>-2E-3</v>
      </c>
      <c r="O33" s="1483">
        <f t="shared" si="66"/>
        <v>4.0000000000000002E-4</v>
      </c>
      <c r="P33" s="1483">
        <f t="shared" si="66"/>
        <v>-3.4000000000000002E-3</v>
      </c>
      <c r="Q33" s="1483">
        <f t="shared" si="66"/>
        <v>4.5999999999999999E-3</v>
      </c>
      <c r="R33" s="1472"/>
      <c r="S33" s="1473"/>
      <c r="T33" s="1474"/>
      <c r="U33" s="1474"/>
      <c r="V33" s="1474"/>
      <c r="X33" s="1474"/>
      <c r="Y33" s="1474"/>
      <c r="Z33" s="1474"/>
    </row>
    <row r="34" spans="1:26">
      <c r="A34" s="1459" t="s">
        <v>1172</v>
      </c>
      <c r="B34" s="1475">
        <f t="shared" ref="B34:C36" si="76">B33/(1+N33)</f>
        <v>275.55110220440883</v>
      </c>
      <c r="C34" s="1475">
        <f t="shared" si="76"/>
        <v>231.90723710515795</v>
      </c>
      <c r="D34" s="1475">
        <f t="shared" si="64"/>
        <v>231.90723710515795</v>
      </c>
      <c r="E34" s="1475">
        <f t="shared" ref="E34:F36" si="77">E33/(1+P33)</f>
        <v>377.28276138872161</v>
      </c>
      <c r="F34" s="1475">
        <f t="shared" si="77"/>
        <v>212.02468644236512</v>
      </c>
      <c r="G34" s="3289">
        <v>2011</v>
      </c>
      <c r="H34" s="1485">
        <v>3</v>
      </c>
      <c r="I34" s="1485">
        <v>0.13</v>
      </c>
      <c r="J34" s="1485">
        <v>0.75</v>
      </c>
      <c r="K34" s="1485">
        <v>-0.08</v>
      </c>
      <c r="L34" s="1486">
        <v>0.53</v>
      </c>
      <c r="N34" s="1470">
        <f t="shared" si="66"/>
        <v>1.2999999999999999E-3</v>
      </c>
      <c r="O34" s="1487">
        <f t="shared" si="66"/>
        <v>7.4999999999999997E-3</v>
      </c>
      <c r="P34" s="1487">
        <f t="shared" si="66"/>
        <v>-8.0000000000000004E-4</v>
      </c>
      <c r="Q34" s="1487">
        <f t="shared" si="66"/>
        <v>5.3E-3</v>
      </c>
      <c r="R34" s="1472"/>
      <c r="S34" s="1470"/>
      <c r="T34" s="1471"/>
      <c r="U34" s="1471"/>
      <c r="V34" s="1471"/>
    </row>
    <row r="35" spans="1:26">
      <c r="A35" s="1459" t="s">
        <v>1173</v>
      </c>
      <c r="B35" s="1475">
        <f t="shared" si="76"/>
        <v>275.19335084830601</v>
      </c>
      <c r="C35" s="1475">
        <f t="shared" si="76"/>
        <v>230.18088050139744</v>
      </c>
      <c r="D35" s="1475">
        <f t="shared" si="64"/>
        <v>230.18088050139744</v>
      </c>
      <c r="E35" s="1475">
        <f t="shared" si="77"/>
        <v>377.58482925212331</v>
      </c>
      <c r="F35" s="1475">
        <f t="shared" si="77"/>
        <v>210.90687997847917</v>
      </c>
      <c r="G35" s="3289">
        <v>2011</v>
      </c>
      <c r="H35" s="1463">
        <v>2</v>
      </c>
      <c r="I35" s="1463">
        <v>-0.4</v>
      </c>
      <c r="J35" s="1463">
        <v>0.17</v>
      </c>
      <c r="K35" s="1463">
        <v>-0.57999999999999996</v>
      </c>
      <c r="L35" s="1477">
        <v>-0.2</v>
      </c>
      <c r="N35" s="1470">
        <f t="shared" si="66"/>
        <v>-4.0000000000000001E-3</v>
      </c>
      <c r="O35" s="1487">
        <f t="shared" si="66"/>
        <v>1.7000000000000001E-3</v>
      </c>
      <c r="P35" s="1487">
        <f t="shared" si="66"/>
        <v>-5.7999999999999996E-3</v>
      </c>
      <c r="Q35" s="1487">
        <f t="shared" si="66"/>
        <v>-2E-3</v>
      </c>
      <c r="R35" s="1472"/>
      <c r="S35" s="1470"/>
      <c r="T35" s="1471"/>
      <c r="U35" s="1471"/>
      <c r="V35" s="1471"/>
    </row>
    <row r="36" spans="1:26" ht="13.5" thickBot="1">
      <c r="A36" s="1459" t="s">
        <v>1174</v>
      </c>
      <c r="B36" s="1475">
        <f t="shared" si="76"/>
        <v>276.29854502841971</v>
      </c>
      <c r="C36" s="1475">
        <f t="shared" si="76"/>
        <v>229.79023709833027</v>
      </c>
      <c r="D36" s="1475">
        <f t="shared" si="64"/>
        <v>229.79023709833027</v>
      </c>
      <c r="E36" s="1475">
        <f t="shared" si="77"/>
        <v>379.78759731655936</v>
      </c>
      <c r="F36" s="1475">
        <f t="shared" si="77"/>
        <v>211.32953905659235</v>
      </c>
      <c r="G36" s="3290">
        <v>2011</v>
      </c>
      <c r="H36" s="1462">
        <v>1</v>
      </c>
      <c r="I36" s="1462">
        <v>2.65</v>
      </c>
      <c r="J36" s="1462">
        <v>3.76</v>
      </c>
      <c r="K36" s="1462">
        <v>1.89</v>
      </c>
      <c r="L36" s="1476">
        <v>7.95</v>
      </c>
      <c r="N36" s="1478">
        <f t="shared" si="66"/>
        <v>2.6499999999999999E-2</v>
      </c>
      <c r="O36" s="1479">
        <f t="shared" si="66"/>
        <v>3.7599999999999995E-2</v>
      </c>
      <c r="P36" s="1479">
        <f t="shared" si="66"/>
        <v>1.89E-2</v>
      </c>
      <c r="Q36" s="1479">
        <f t="shared" si="66"/>
        <v>7.9500000000000001E-2</v>
      </c>
      <c r="R36" s="1472"/>
      <c r="S36" s="1478">
        <f>B36/B37-1</f>
        <v>2.713213765211786E-2</v>
      </c>
      <c r="T36" s="1479">
        <f>C36/C37-1</f>
        <v>3.9774828499231862E-2</v>
      </c>
      <c r="U36" s="1479">
        <f>E36/E37-1</f>
        <v>1.8197311840641772E-2</v>
      </c>
      <c r="V36" s="1479">
        <f>F36/F37-1</f>
        <v>7.8211933962205826E-2</v>
      </c>
      <c r="X36" s="1458"/>
      <c r="Y36" s="1458"/>
      <c r="Z36" s="1458"/>
    </row>
    <row r="37" spans="1:26" ht="13.5" thickBot="1">
      <c r="A37" s="1459" t="s">
        <v>1175</v>
      </c>
      <c r="B37" s="1467">
        <v>269</v>
      </c>
      <c r="C37" s="1467">
        <v>221</v>
      </c>
      <c r="D37" s="1467">
        <f t="shared" si="64"/>
        <v>221</v>
      </c>
      <c r="E37" s="1467">
        <v>373</v>
      </c>
      <c r="F37" s="1468">
        <v>196</v>
      </c>
      <c r="G37" s="3288">
        <v>2010</v>
      </c>
      <c r="H37" s="1480">
        <v>4</v>
      </c>
      <c r="I37" s="1480">
        <v>5.72</v>
      </c>
      <c r="J37" s="1480">
        <v>6.57</v>
      </c>
      <c r="K37" s="1480">
        <v>5.72</v>
      </c>
      <c r="L37" s="1481">
        <v>2.72</v>
      </c>
      <c r="N37" s="1470">
        <f t="shared" si="66"/>
        <v>5.7200000000000001E-2</v>
      </c>
      <c r="O37" s="1471">
        <f t="shared" si="66"/>
        <v>6.5700000000000008E-2</v>
      </c>
      <c r="P37" s="1471">
        <f t="shared" si="66"/>
        <v>5.7200000000000001E-2</v>
      </c>
      <c r="Q37" s="1471">
        <f t="shared" si="66"/>
        <v>2.7200000000000002E-2</v>
      </c>
      <c r="R37" s="1472"/>
      <c r="S37" s="1473"/>
      <c r="T37" s="1474"/>
      <c r="U37" s="1474"/>
      <c r="V37" s="1474"/>
      <c r="X37" s="1474"/>
      <c r="Y37" s="1474"/>
      <c r="Z37" s="1474"/>
    </row>
    <row r="38" spans="1:26">
      <c r="A38" s="1459" t="s">
        <v>1176</v>
      </c>
      <c r="B38" s="1475">
        <f t="shared" ref="B38:C40" si="78">B37/(1+N37)</f>
        <v>254.44570563753314</v>
      </c>
      <c r="C38" s="1475">
        <f t="shared" si="78"/>
        <v>207.37543398705074</v>
      </c>
      <c r="D38" s="1475">
        <f t="shared" si="64"/>
        <v>207.37543398705074</v>
      </c>
      <c r="E38" s="1475">
        <f t="shared" ref="E38:F40" si="79">E37/(1+P37)</f>
        <v>352.81876655315932</v>
      </c>
      <c r="F38" s="1475">
        <f t="shared" si="79"/>
        <v>190.809968847352</v>
      </c>
      <c r="G38" s="3289">
        <v>2010</v>
      </c>
      <c r="H38" s="1485">
        <v>3</v>
      </c>
      <c r="I38" s="1485">
        <v>4.7300000000000004</v>
      </c>
      <c r="J38" s="1485">
        <v>3.9</v>
      </c>
      <c r="K38" s="1485">
        <v>5.03</v>
      </c>
      <c r="L38" s="1486">
        <v>4.21</v>
      </c>
      <c r="N38" s="1470">
        <f t="shared" si="66"/>
        <v>4.7300000000000002E-2</v>
      </c>
      <c r="O38" s="1471">
        <f t="shared" si="66"/>
        <v>3.9E-2</v>
      </c>
      <c r="P38" s="1471">
        <f t="shared" si="66"/>
        <v>5.0300000000000004E-2</v>
      </c>
      <c r="Q38" s="1471">
        <f t="shared" si="66"/>
        <v>4.2099999999999999E-2</v>
      </c>
      <c r="R38" s="1472"/>
      <c r="S38" s="1470"/>
      <c r="T38" s="1471"/>
      <c r="U38" s="1471"/>
      <c r="V38" s="1471"/>
    </row>
    <row r="39" spans="1:26">
      <c r="A39" s="1459" t="s">
        <v>1177</v>
      </c>
      <c r="B39" s="1475">
        <f t="shared" si="78"/>
        <v>242.95398227588385</v>
      </c>
      <c r="C39" s="1475">
        <f t="shared" si="78"/>
        <v>199.59137053614126</v>
      </c>
      <c r="D39" s="1475">
        <f t="shared" si="64"/>
        <v>199.59137053614126</v>
      </c>
      <c r="E39" s="1475">
        <f t="shared" si="79"/>
        <v>335.92189522342125</v>
      </c>
      <c r="F39" s="1475">
        <f t="shared" si="79"/>
        <v>183.10139991109489</v>
      </c>
      <c r="G39" s="3289">
        <v>2010</v>
      </c>
      <c r="H39" s="1463">
        <v>2</v>
      </c>
      <c r="I39" s="1463">
        <v>4.6900000000000004</v>
      </c>
      <c r="J39" s="1463">
        <v>3.55</v>
      </c>
      <c r="K39" s="1463">
        <v>5.07</v>
      </c>
      <c r="L39" s="1477">
        <v>4.2300000000000004</v>
      </c>
      <c r="N39" s="1470">
        <f t="shared" si="66"/>
        <v>4.6900000000000004E-2</v>
      </c>
      <c r="O39" s="1471">
        <f t="shared" si="66"/>
        <v>3.5499999999999997E-2</v>
      </c>
      <c r="P39" s="1471">
        <f t="shared" si="66"/>
        <v>5.0700000000000002E-2</v>
      </c>
      <c r="Q39" s="1471">
        <f t="shared" si="66"/>
        <v>4.2300000000000004E-2</v>
      </c>
      <c r="R39" s="1472"/>
      <c r="S39" s="1470"/>
      <c r="T39" s="1471"/>
      <c r="U39" s="1471"/>
      <c r="V39" s="1471"/>
    </row>
    <row r="40" spans="1:26" ht="13.5" thickBot="1">
      <c r="A40" s="1459" t="s">
        <v>1178</v>
      </c>
      <c r="B40" s="1475">
        <f t="shared" si="78"/>
        <v>232.06990378821649</v>
      </c>
      <c r="C40" s="1475">
        <f t="shared" si="78"/>
        <v>192.74878854286936</v>
      </c>
      <c r="D40" s="1475">
        <f t="shared" si="64"/>
        <v>192.74878854286936</v>
      </c>
      <c r="E40" s="1475">
        <f t="shared" si="79"/>
        <v>319.71247284992984</v>
      </c>
      <c r="F40" s="1475">
        <f t="shared" si="79"/>
        <v>175.67053622862409</v>
      </c>
      <c r="G40" s="3290">
        <v>2010</v>
      </c>
      <c r="H40" s="1462">
        <v>1</v>
      </c>
      <c r="I40" s="1462">
        <v>5.4</v>
      </c>
      <c r="J40" s="1462">
        <v>3.2</v>
      </c>
      <c r="K40" s="1462">
        <v>6.16</v>
      </c>
      <c r="L40" s="1476">
        <v>4.51</v>
      </c>
      <c r="N40" s="1470">
        <f t="shared" si="66"/>
        <v>5.4000000000000006E-2</v>
      </c>
      <c r="O40" s="1471">
        <f t="shared" si="66"/>
        <v>3.2000000000000001E-2</v>
      </c>
      <c r="P40" s="1471">
        <f t="shared" si="66"/>
        <v>6.1600000000000002E-2</v>
      </c>
      <c r="Q40" s="1471">
        <f t="shared" si="66"/>
        <v>4.5100000000000001E-2</v>
      </c>
      <c r="R40" s="1472"/>
      <c r="S40" s="1478">
        <f>B40/B41-1</f>
        <v>5.4863199037347599E-2</v>
      </c>
      <c r="T40" s="1479">
        <f>C40/C41-1</f>
        <v>3.0742184721226584E-2</v>
      </c>
      <c r="U40" s="1479">
        <f>E40/E41-1</f>
        <v>6.2167683886810154E-2</v>
      </c>
      <c r="V40" s="1479">
        <f>F40/F41-1</f>
        <v>4.5657953741810031E-2</v>
      </c>
      <c r="X40" s="1458"/>
      <c r="Y40" s="1458"/>
      <c r="Z40" s="1458"/>
    </row>
    <row r="41" spans="1:26" ht="13.5" thickBot="1">
      <c r="A41" s="1459" t="s">
        <v>1179</v>
      </c>
      <c r="B41" s="1467">
        <v>220</v>
      </c>
      <c r="C41" s="1467">
        <v>187</v>
      </c>
      <c r="D41" s="1467">
        <f t="shared" si="64"/>
        <v>187</v>
      </c>
      <c r="E41" s="1467">
        <v>301</v>
      </c>
      <c r="F41" s="1468">
        <v>168</v>
      </c>
      <c r="G41" s="3288">
        <v>2009</v>
      </c>
      <c r="H41" s="1480">
        <v>4</v>
      </c>
      <c r="I41" s="1480">
        <v>2.2999999999999998</v>
      </c>
      <c r="J41" s="1480">
        <v>1.04</v>
      </c>
      <c r="K41" s="1480">
        <v>2.84</v>
      </c>
      <c r="L41" s="1481">
        <v>0.67</v>
      </c>
      <c r="N41" s="1482">
        <f t="shared" si="66"/>
        <v>2.3E-2</v>
      </c>
      <c r="O41" s="1483">
        <f t="shared" si="66"/>
        <v>1.04E-2</v>
      </c>
      <c r="P41" s="1483">
        <f t="shared" si="66"/>
        <v>2.8399999999999998E-2</v>
      </c>
      <c r="Q41" s="1483">
        <f t="shared" si="66"/>
        <v>6.7000000000000002E-3</v>
      </c>
      <c r="R41" s="1472"/>
      <c r="S41" s="1473"/>
      <c r="T41" s="1474"/>
      <c r="U41" s="1474"/>
      <c r="V41" s="1474"/>
      <c r="X41" s="1474"/>
      <c r="Y41" s="1474"/>
      <c r="Z41" s="1474"/>
    </row>
    <row r="42" spans="1:26">
      <c r="A42" s="1459" t="s">
        <v>1180</v>
      </c>
      <c r="B42" s="1475">
        <f t="shared" ref="B42:C44" si="80">B41/(1+N41)</f>
        <v>215.05376344086022</v>
      </c>
      <c r="C42" s="1475">
        <f t="shared" si="80"/>
        <v>185.0752177355503</v>
      </c>
      <c r="D42" s="1475">
        <f t="shared" si="64"/>
        <v>185.0752177355503</v>
      </c>
      <c r="E42" s="1475">
        <f t="shared" ref="E42:F44" si="81">E41/(1+P41)</f>
        <v>292.68767016725008</v>
      </c>
      <c r="F42" s="1475">
        <f t="shared" si="81"/>
        <v>166.88189132810174</v>
      </c>
      <c r="G42" s="3289">
        <v>2009</v>
      </c>
      <c r="H42" s="1485">
        <v>3</v>
      </c>
      <c r="I42" s="1485">
        <v>2.1</v>
      </c>
      <c r="J42" s="1485">
        <v>1.86</v>
      </c>
      <c r="K42" s="1485">
        <v>2.29</v>
      </c>
      <c r="L42" s="1486">
        <v>0.85</v>
      </c>
      <c r="N42" s="1470">
        <f t="shared" si="66"/>
        <v>2.1000000000000001E-2</v>
      </c>
      <c r="O42" s="1487">
        <f t="shared" si="66"/>
        <v>1.8600000000000002E-2</v>
      </c>
      <c r="P42" s="1487">
        <f t="shared" si="66"/>
        <v>2.29E-2</v>
      </c>
      <c r="Q42" s="1487">
        <f t="shared" si="66"/>
        <v>8.5000000000000006E-3</v>
      </c>
      <c r="R42" s="1472"/>
      <c r="S42" s="1470"/>
      <c r="T42" s="1471"/>
      <c r="U42" s="1471"/>
      <c r="V42" s="1471"/>
    </row>
    <row r="43" spans="1:26">
      <c r="A43" s="1459" t="s">
        <v>1181</v>
      </c>
      <c r="B43" s="1475">
        <f t="shared" si="80"/>
        <v>210.630522469011</v>
      </c>
      <c r="C43" s="1475">
        <f t="shared" si="80"/>
        <v>181.69567812247232</v>
      </c>
      <c r="D43" s="1475">
        <f t="shared" si="64"/>
        <v>181.69567812247232</v>
      </c>
      <c r="E43" s="1475">
        <f t="shared" si="81"/>
        <v>286.13517466736738</v>
      </c>
      <c r="F43" s="1475">
        <f t="shared" si="81"/>
        <v>165.47535084591149</v>
      </c>
      <c r="G43" s="3289">
        <v>2009</v>
      </c>
      <c r="H43" s="1463">
        <v>2</v>
      </c>
      <c r="I43" s="1463">
        <v>0.86</v>
      </c>
      <c r="J43" s="1463">
        <v>-1.1299999999999999</v>
      </c>
      <c r="K43" s="1463">
        <v>1.79</v>
      </c>
      <c r="L43" s="1477">
        <v>-2.0699999999999998</v>
      </c>
      <c r="N43" s="1470">
        <f t="shared" si="66"/>
        <v>8.6E-3</v>
      </c>
      <c r="O43" s="1487">
        <f t="shared" si="66"/>
        <v>-1.1299999999999999E-2</v>
      </c>
      <c r="P43" s="1487">
        <f t="shared" si="66"/>
        <v>1.7899999999999999E-2</v>
      </c>
      <c r="Q43" s="1487">
        <f t="shared" si="66"/>
        <v>-2.07E-2</v>
      </c>
      <c r="R43" s="1472"/>
      <c r="S43" s="1470"/>
      <c r="T43" s="1471"/>
      <c r="U43" s="1471"/>
      <c r="V43" s="1471"/>
    </row>
    <row r="44" spans="1:26">
      <c r="A44" s="1459" t="s">
        <v>1182</v>
      </c>
      <c r="B44" s="1475">
        <f t="shared" si="80"/>
        <v>208.83454537875372</v>
      </c>
      <c r="C44" s="1475">
        <f t="shared" si="80"/>
        <v>183.77230517090351</v>
      </c>
      <c r="D44" s="1475">
        <f t="shared" si="64"/>
        <v>183.77230517090351</v>
      </c>
      <c r="E44" s="1475">
        <f t="shared" si="81"/>
        <v>281.10342338870947</v>
      </c>
      <c r="F44" s="1475">
        <f t="shared" si="81"/>
        <v>168.97309388942256</v>
      </c>
      <c r="G44" s="3290">
        <v>2009</v>
      </c>
      <c r="H44" s="1462">
        <v>1</v>
      </c>
      <c r="I44" s="1462">
        <v>-2.64</v>
      </c>
      <c r="J44" s="1462">
        <v>-2.5299999999999998</v>
      </c>
      <c r="K44" s="1462">
        <v>-3.02</v>
      </c>
      <c r="L44" s="1476">
        <v>1.52</v>
      </c>
      <c r="N44" s="1478">
        <f t="shared" si="66"/>
        <v>-2.64E-2</v>
      </c>
      <c r="O44" s="1479">
        <f t="shared" si="66"/>
        <v>-2.53E-2</v>
      </c>
      <c r="P44" s="1479">
        <f t="shared" si="66"/>
        <v>-3.0200000000000001E-2</v>
      </c>
      <c r="Q44" s="1479">
        <f t="shared" si="66"/>
        <v>1.52E-2</v>
      </c>
      <c r="R44" s="1472"/>
      <c r="S44" s="1478">
        <f>B44/B45-1</f>
        <v>-2.4137638417038754E-2</v>
      </c>
      <c r="T44" s="1479">
        <f>C44/C45-1</f>
        <v>-2.248773845264096E-2</v>
      </c>
      <c r="U44" s="1479">
        <f>E44/E45-1</f>
        <v>-2.7323794502735366E-2</v>
      </c>
      <c r="V44" s="1479">
        <f>F44/F45-1</f>
        <v>1.7910204153148035E-2</v>
      </c>
      <c r="X44" s="1458"/>
      <c r="Y44" s="1458"/>
      <c r="Z44" s="1458"/>
    </row>
    <row r="45" spans="1:26" ht="13.5" thickBot="1">
      <c r="A45" s="1459" t="s">
        <v>1183</v>
      </c>
      <c r="B45" s="1509">
        <v>214</v>
      </c>
      <c r="C45" s="1509">
        <v>188</v>
      </c>
      <c r="D45" s="1509">
        <f t="shared" si="64"/>
        <v>188</v>
      </c>
      <c r="E45" s="1509">
        <v>289</v>
      </c>
      <c r="F45" s="1510">
        <v>166</v>
      </c>
      <c r="G45" s="3288">
        <v>2008</v>
      </c>
      <c r="H45" s="1480">
        <v>4</v>
      </c>
      <c r="I45" s="1480">
        <v>1.73</v>
      </c>
      <c r="J45" s="1480">
        <v>0.03</v>
      </c>
      <c r="K45" s="1480">
        <v>2.59</v>
      </c>
      <c r="L45" s="1481">
        <v>-1.66</v>
      </c>
      <c r="N45" s="1470">
        <f t="shared" si="66"/>
        <v>1.7299999999999999E-2</v>
      </c>
      <c r="O45" s="1471">
        <f t="shared" si="66"/>
        <v>2.9999999999999997E-4</v>
      </c>
      <c r="P45" s="1471">
        <f t="shared" si="66"/>
        <v>2.5899999999999999E-2</v>
      </c>
      <c r="Q45" s="1471">
        <f t="shared" si="66"/>
        <v>-1.66E-2</v>
      </c>
      <c r="R45" s="1472"/>
      <c r="S45" s="1473"/>
      <c r="T45" s="1474"/>
      <c r="U45" s="1474"/>
      <c r="V45" s="1474"/>
      <c r="X45" s="1474"/>
      <c r="Y45" s="1474"/>
      <c r="Z45" s="1474"/>
    </row>
    <row r="46" spans="1:26">
      <c r="A46" s="1459" t="s">
        <v>1184</v>
      </c>
      <c r="B46" s="1475">
        <f t="shared" ref="B46:C48" si="82">B45/(1+N45)</f>
        <v>210.36075887152265</v>
      </c>
      <c r="C46" s="1475">
        <f t="shared" si="82"/>
        <v>187.94361691492554</v>
      </c>
      <c r="D46" s="1475">
        <f t="shared" si="64"/>
        <v>187.94361691492554</v>
      </c>
      <c r="E46" s="1475">
        <f t="shared" ref="E46:F48" si="83">E45/(1+P45)</f>
        <v>281.70386977288234</v>
      </c>
      <c r="F46" s="1475">
        <f t="shared" si="83"/>
        <v>168.80211511083994</v>
      </c>
      <c r="G46" s="3289">
        <v>2008</v>
      </c>
      <c r="H46" s="1485">
        <v>3</v>
      </c>
      <c r="I46" s="1485">
        <v>1.96</v>
      </c>
      <c r="J46" s="1485">
        <v>2.36</v>
      </c>
      <c r="K46" s="1485">
        <v>1.82</v>
      </c>
      <c r="L46" s="1486">
        <v>2.2200000000000002</v>
      </c>
      <c r="N46" s="1470">
        <f t="shared" si="66"/>
        <v>1.9599999999999999E-2</v>
      </c>
      <c r="O46" s="1471">
        <f t="shared" si="66"/>
        <v>2.3599999999999999E-2</v>
      </c>
      <c r="P46" s="1471">
        <f t="shared" si="66"/>
        <v>1.8200000000000001E-2</v>
      </c>
      <c r="Q46" s="1471">
        <f t="shared" si="66"/>
        <v>2.2200000000000001E-2</v>
      </c>
      <c r="R46" s="1472"/>
      <c r="S46" s="1470"/>
      <c r="T46" s="1471"/>
      <c r="U46" s="1471"/>
      <c r="V46" s="1471"/>
    </row>
    <row r="47" spans="1:26">
      <c r="A47" s="1459" t="s">
        <v>1185</v>
      </c>
      <c r="B47" s="1475">
        <f t="shared" si="82"/>
        <v>206.31694671589116</v>
      </c>
      <c r="C47" s="1475">
        <f t="shared" si="82"/>
        <v>183.61041121036101</v>
      </c>
      <c r="D47" s="1475">
        <f t="shared" si="64"/>
        <v>183.61041121036101</v>
      </c>
      <c r="E47" s="1475">
        <f t="shared" si="83"/>
        <v>276.66850301795557</v>
      </c>
      <c r="F47" s="1475">
        <f t="shared" si="83"/>
        <v>165.1360938278614</v>
      </c>
      <c r="G47" s="3289">
        <v>2008</v>
      </c>
      <c r="H47" s="1463">
        <v>2</v>
      </c>
      <c r="I47" s="1463">
        <v>4.93</v>
      </c>
      <c r="J47" s="1463">
        <v>7.38</v>
      </c>
      <c r="K47" s="1463">
        <v>3.98</v>
      </c>
      <c r="L47" s="1477">
        <v>6.86</v>
      </c>
      <c r="N47" s="1470">
        <f t="shared" si="66"/>
        <v>4.9299999999999997E-2</v>
      </c>
      <c r="O47" s="1471">
        <f t="shared" si="66"/>
        <v>7.3800000000000004E-2</v>
      </c>
      <c r="P47" s="1471">
        <f t="shared" si="66"/>
        <v>3.9800000000000002E-2</v>
      </c>
      <c r="Q47" s="1471">
        <f t="shared" si="66"/>
        <v>6.8600000000000008E-2</v>
      </c>
      <c r="R47" s="1472"/>
      <c r="S47" s="1470"/>
      <c r="T47" s="1471"/>
      <c r="U47" s="1471"/>
      <c r="V47" s="1471"/>
    </row>
    <row r="48" spans="1:26" s="1515" customFormat="1" ht="13.5" thickBot="1">
      <c r="A48" s="1459" t="s">
        <v>1186</v>
      </c>
      <c r="B48" s="1512">
        <f t="shared" si="82"/>
        <v>196.62341248059772</v>
      </c>
      <c r="C48" s="1512">
        <f t="shared" si="82"/>
        <v>170.99125648199012</v>
      </c>
      <c r="D48" s="1512">
        <f t="shared" si="64"/>
        <v>170.99125648199012</v>
      </c>
      <c r="E48" s="1512">
        <f t="shared" si="83"/>
        <v>266.07857570490052</v>
      </c>
      <c r="F48" s="1512">
        <f t="shared" si="83"/>
        <v>154.53499328828505</v>
      </c>
      <c r="G48" s="3290">
        <v>2008</v>
      </c>
      <c r="H48" s="1513">
        <v>1</v>
      </c>
      <c r="I48" s="1513">
        <v>4.1399999999999997</v>
      </c>
      <c r="J48" s="1513">
        <v>3.45</v>
      </c>
      <c r="K48" s="1513">
        <v>4.95</v>
      </c>
      <c r="L48" s="1514">
        <v>4.82</v>
      </c>
      <c r="N48" s="1516">
        <f t="shared" si="66"/>
        <v>4.1399999999999999E-2</v>
      </c>
      <c r="O48" s="1517">
        <f t="shared" si="66"/>
        <v>3.4500000000000003E-2</v>
      </c>
      <c r="P48" s="1517">
        <f t="shared" si="66"/>
        <v>4.9500000000000002E-2</v>
      </c>
      <c r="Q48" s="1517">
        <f t="shared" si="66"/>
        <v>4.82E-2</v>
      </c>
      <c r="R48" s="1518"/>
      <c r="S48" s="1516">
        <f>B48/B49-1</f>
        <v>4.5869215322328349E-2</v>
      </c>
      <c r="T48" s="1517">
        <f>C48/C49-1</f>
        <v>3.6310645345394743E-2</v>
      </c>
      <c r="U48" s="1517">
        <f>E48/E49-1</f>
        <v>4.7553447657088688E-2</v>
      </c>
      <c r="V48" s="1517">
        <f>F48/F49-1</f>
        <v>4.4155360055980086E-2</v>
      </c>
      <c r="X48" s="1519"/>
      <c r="Y48" s="1519"/>
      <c r="Z48" s="1519"/>
    </row>
    <row r="49" spans="1:26" ht="13.5" thickBot="1">
      <c r="A49" s="1459" t="s">
        <v>1187</v>
      </c>
      <c r="B49" s="1467">
        <v>188</v>
      </c>
      <c r="C49" s="1467">
        <v>165</v>
      </c>
      <c r="D49" s="1467">
        <f t="shared" si="64"/>
        <v>165</v>
      </c>
      <c r="E49" s="1467">
        <v>254</v>
      </c>
      <c r="F49" s="1468">
        <v>148</v>
      </c>
      <c r="G49" s="3288">
        <v>2007</v>
      </c>
      <c r="H49" s="1520">
        <v>4</v>
      </c>
      <c r="I49" s="1520">
        <v>5.51</v>
      </c>
      <c r="J49" s="1520">
        <v>4.8899999999999997</v>
      </c>
      <c r="K49" s="1520">
        <v>6.43</v>
      </c>
      <c r="L49" s="1521">
        <v>5.36</v>
      </c>
      <c r="N49" s="1522">
        <f t="shared" ref="N49:O52" si="84">B49/B50-1</f>
        <v>4.1339718365245526E-2</v>
      </c>
      <c r="O49" s="1523">
        <f t="shared" si="84"/>
        <v>4.0324492593776018E-2</v>
      </c>
      <c r="P49" s="1523">
        <f t="shared" ref="P49:Q52" si="85">E49/E50-1</f>
        <v>6.1625555347990968E-2</v>
      </c>
      <c r="Q49" s="1523">
        <f t="shared" si="85"/>
        <v>4.6757569250590603E-2</v>
      </c>
      <c r="R49" s="1472"/>
      <c r="S49" s="1473"/>
      <c r="T49" s="1474"/>
      <c r="U49" s="1474"/>
      <c r="V49" s="1474"/>
      <c r="X49" s="1474"/>
      <c r="Y49" s="1474"/>
      <c r="Z49" s="1474"/>
    </row>
    <row r="50" spans="1:26">
      <c r="A50" s="1459" t="s">
        <v>1188</v>
      </c>
      <c r="B50" s="1475">
        <f t="shared" ref="B50:C52" si="86">B51+(B$49-B$53)*I50/SUM(I$49:I$52)</f>
        <v>180.5366651097618</v>
      </c>
      <c r="C50" s="1475">
        <f t="shared" si="86"/>
        <v>158.60435967302453</v>
      </c>
      <c r="D50" s="1475">
        <f t="shared" si="64"/>
        <v>158.60435967302453</v>
      </c>
      <c r="E50" s="1475">
        <f t="shared" ref="E50:F52" si="87">E51+(E$49-E$53)*K50/SUM(K$49:K$52)</f>
        <v>239.25573260785075</v>
      </c>
      <c r="F50" s="1475">
        <f t="shared" si="87"/>
        <v>141.38899430740037</v>
      </c>
      <c r="G50" s="3289">
        <v>2007</v>
      </c>
      <c r="H50" s="1485">
        <v>3</v>
      </c>
      <c r="I50" s="1485">
        <v>8.65</v>
      </c>
      <c r="J50" s="1485">
        <v>8.06</v>
      </c>
      <c r="K50" s="1485">
        <v>9.94</v>
      </c>
      <c r="L50" s="1486">
        <v>5.8</v>
      </c>
      <c r="N50" s="1522">
        <f t="shared" si="84"/>
        <v>6.940217571740015E-2</v>
      </c>
      <c r="O50" s="1523">
        <f t="shared" si="84"/>
        <v>7.1197482471153428E-2</v>
      </c>
      <c r="P50" s="1523">
        <f t="shared" si="85"/>
        <v>0.10529679922579582</v>
      </c>
      <c r="Q50" s="1523">
        <f t="shared" si="85"/>
        <v>5.3292245059512133E-2</v>
      </c>
      <c r="R50" s="1472"/>
      <c r="S50" s="1470"/>
      <c r="T50" s="1471"/>
      <c r="U50" s="1471"/>
      <c r="V50" s="1471"/>
      <c r="X50" s="1524"/>
      <c r="Y50" s="1524"/>
      <c r="Z50" s="1524"/>
    </row>
    <row r="51" spans="1:26">
      <c r="A51" s="1459" t="s">
        <v>1189</v>
      </c>
      <c r="B51" s="1475">
        <f t="shared" si="86"/>
        <v>168.82017748715555</v>
      </c>
      <c r="C51" s="1475">
        <f t="shared" si="86"/>
        <v>148.06267029972753</v>
      </c>
      <c r="D51" s="1475">
        <f t="shared" si="64"/>
        <v>148.06267029972753</v>
      </c>
      <c r="E51" s="1475">
        <f t="shared" si="87"/>
        <v>216.46288379323747</v>
      </c>
      <c r="F51" s="1475">
        <f t="shared" si="87"/>
        <v>134.23529411764704</v>
      </c>
      <c r="G51" s="3289">
        <v>2007</v>
      </c>
      <c r="H51" s="1463">
        <v>2</v>
      </c>
      <c r="I51" s="1463">
        <v>3.67</v>
      </c>
      <c r="J51" s="1463">
        <v>2.3199999999999998</v>
      </c>
      <c r="K51" s="1463">
        <v>5.0199999999999996</v>
      </c>
      <c r="L51" s="1477">
        <v>6.71</v>
      </c>
      <c r="N51" s="1522">
        <f t="shared" si="84"/>
        <v>3.0339138143848032E-2</v>
      </c>
      <c r="O51" s="1523">
        <f t="shared" si="84"/>
        <v>2.0922341588790472E-2</v>
      </c>
      <c r="P51" s="1523">
        <f t="shared" si="85"/>
        <v>5.6164796592717003E-2</v>
      </c>
      <c r="Q51" s="1523">
        <f t="shared" si="85"/>
        <v>6.5704536723887319E-2</v>
      </c>
      <c r="R51" s="1472"/>
      <c r="S51" s="1470"/>
      <c r="T51" s="1471"/>
      <c r="U51" s="1471"/>
      <c r="V51" s="1471"/>
      <c r="X51" s="1524"/>
      <c r="Y51" s="1524"/>
      <c r="Z51" s="1524"/>
    </row>
    <row r="52" spans="1:26">
      <c r="A52" s="1459" t="s">
        <v>1190</v>
      </c>
      <c r="B52" s="1475">
        <f t="shared" si="86"/>
        <v>163.84913591779542</v>
      </c>
      <c r="C52" s="1475">
        <f t="shared" si="86"/>
        <v>145.0283378746594</v>
      </c>
      <c r="D52" s="1475">
        <f t="shared" si="64"/>
        <v>145.0283378746594</v>
      </c>
      <c r="E52" s="1475">
        <f t="shared" si="87"/>
        <v>204.95180722891567</v>
      </c>
      <c r="F52" s="1475">
        <f t="shared" si="87"/>
        <v>125.95920303605313</v>
      </c>
      <c r="G52" s="3290">
        <v>2007</v>
      </c>
      <c r="H52" s="1462">
        <v>1</v>
      </c>
      <c r="I52" s="1462">
        <v>3.58</v>
      </c>
      <c r="J52" s="1462">
        <v>3.08</v>
      </c>
      <c r="K52" s="1462">
        <v>4.34</v>
      </c>
      <c r="L52" s="1476">
        <v>3.21</v>
      </c>
      <c r="N52" s="1525">
        <f t="shared" si="84"/>
        <v>3.0497710174814063E-2</v>
      </c>
      <c r="O52" s="1526">
        <f t="shared" si="84"/>
        <v>2.8569772160704998E-2</v>
      </c>
      <c r="P52" s="1526">
        <f t="shared" si="85"/>
        <v>5.1034908866234296E-2</v>
      </c>
      <c r="Q52" s="1526">
        <f t="shared" si="85"/>
        <v>3.245248390207478E-2</v>
      </c>
      <c r="R52" s="1472"/>
      <c r="S52" s="1478">
        <f>B52/B53-1</f>
        <v>3.0497710174814063E-2</v>
      </c>
      <c r="T52" s="1479">
        <f>C52/C53-1</f>
        <v>2.8569772160704998E-2</v>
      </c>
      <c r="U52" s="1479">
        <f>E52/E53-1</f>
        <v>5.1034908866234296E-2</v>
      </c>
      <c r="V52" s="1479">
        <f>F52/F53-1</f>
        <v>3.245248390207478E-2</v>
      </c>
      <c r="X52" s="1524"/>
      <c r="Y52" s="1524"/>
      <c r="Z52" s="1524"/>
    </row>
    <row r="53" spans="1:26" ht="13.5" thickBot="1">
      <c r="A53" s="1459" t="s">
        <v>1191</v>
      </c>
      <c r="B53" s="1488">
        <v>159</v>
      </c>
      <c r="C53" s="1488">
        <v>141</v>
      </c>
      <c r="D53" s="1488">
        <f t="shared" si="64"/>
        <v>141</v>
      </c>
      <c r="E53" s="1488">
        <v>195</v>
      </c>
      <c r="F53" s="1489">
        <v>122</v>
      </c>
      <c r="G53" s="3288">
        <v>2006</v>
      </c>
      <c r="H53" s="1480">
        <v>4</v>
      </c>
      <c r="I53" s="1480">
        <v>3.79</v>
      </c>
      <c r="J53" s="1480">
        <v>2.21</v>
      </c>
      <c r="K53" s="1480">
        <v>5.65</v>
      </c>
      <c r="L53" s="1481">
        <v>5.41</v>
      </c>
      <c r="N53" s="1522">
        <f t="shared" ref="N53:O56" si="88">I53/SUM(I$53:I$56)*(B$53/B$57-1)</f>
        <v>7.245466462748526E-2</v>
      </c>
      <c r="O53" s="1523">
        <f t="shared" si="88"/>
        <v>2.3237230038062766E-2</v>
      </c>
      <c r="P53" s="1523">
        <f t="shared" ref="P53:Q56" si="89">K53/SUM(K$53:K$56)*(E$53/E$57-1)</f>
        <v>0.16146893866323722</v>
      </c>
      <c r="Q53" s="1523">
        <f t="shared" si="89"/>
        <v>5.0755230321793784E-2</v>
      </c>
      <c r="R53" s="1472"/>
      <c r="S53" s="1473"/>
      <c r="T53" s="1474"/>
      <c r="U53" s="1474"/>
      <c r="V53" s="1474"/>
      <c r="X53" s="1524"/>
      <c r="Y53" s="1524"/>
      <c r="Z53" s="1524"/>
    </row>
    <row r="54" spans="1:26">
      <c r="A54" s="1459" t="s">
        <v>1192</v>
      </c>
      <c r="B54" s="1475">
        <f t="shared" ref="B54:C56" si="90">B55+(B$53-B$57)*I54/SUM(I$53:I$56)</f>
        <v>149.00125628140702</v>
      </c>
      <c r="C54" s="1475">
        <f t="shared" si="90"/>
        <v>137.95592286501378</v>
      </c>
      <c r="D54" s="1475">
        <f t="shared" si="64"/>
        <v>137.95592286501378</v>
      </c>
      <c r="E54" s="1475">
        <f t="shared" ref="E54:F56" si="91">E55+(E$53-E$57)*K54/SUM(K$53:K$56)</f>
        <v>169.97231450719823</v>
      </c>
      <c r="F54" s="1475">
        <f t="shared" si="91"/>
        <v>116.21390374331551</v>
      </c>
      <c r="G54" s="3289">
        <v>2006</v>
      </c>
      <c r="H54" s="1485">
        <v>3</v>
      </c>
      <c r="I54" s="1485">
        <v>0.92</v>
      </c>
      <c r="J54" s="1485">
        <v>1.08</v>
      </c>
      <c r="K54" s="1485">
        <v>0.73</v>
      </c>
      <c r="L54" s="1486">
        <v>1.08</v>
      </c>
      <c r="N54" s="1522">
        <f t="shared" si="88"/>
        <v>1.7587939698492462E-2</v>
      </c>
      <c r="O54" s="1523">
        <f t="shared" si="88"/>
        <v>1.1355750425840628E-2</v>
      </c>
      <c r="P54" s="1523">
        <f t="shared" si="89"/>
        <v>2.0862358446754544E-2</v>
      </c>
      <c r="Q54" s="1523">
        <f t="shared" si="89"/>
        <v>1.0132282578103011E-2</v>
      </c>
      <c r="R54" s="1472"/>
      <c r="S54" s="1470"/>
      <c r="T54" s="1471"/>
      <c r="U54" s="1471"/>
      <c r="V54" s="1471"/>
      <c r="X54" s="1524"/>
      <c r="Y54" s="1524"/>
      <c r="Z54" s="1524"/>
    </row>
    <row r="55" spans="1:26">
      <c r="A55" s="1459" t="s">
        <v>1193</v>
      </c>
      <c r="B55" s="1475">
        <f t="shared" si="90"/>
        <v>146.57412060301507</v>
      </c>
      <c r="C55" s="1475">
        <f t="shared" si="90"/>
        <v>136.46831955922866</v>
      </c>
      <c r="D55" s="1475">
        <f t="shared" si="64"/>
        <v>136.46831955922866</v>
      </c>
      <c r="E55" s="1475">
        <f t="shared" si="91"/>
        <v>166.73864894795128</v>
      </c>
      <c r="F55" s="1475">
        <f t="shared" si="91"/>
        <v>115.05882352941177</v>
      </c>
      <c r="G55" s="3289">
        <v>2006</v>
      </c>
      <c r="H55" s="1463">
        <v>2</v>
      </c>
      <c r="I55" s="1463">
        <v>0.96</v>
      </c>
      <c r="J55" s="1463">
        <v>0.25</v>
      </c>
      <c r="K55" s="1463">
        <v>1.9</v>
      </c>
      <c r="L55" s="1477">
        <v>0.95</v>
      </c>
      <c r="N55" s="1522">
        <f t="shared" si="88"/>
        <v>1.8352632728861701E-2</v>
      </c>
      <c r="O55" s="1523">
        <f t="shared" si="88"/>
        <v>2.6286459319075526E-3</v>
      </c>
      <c r="P55" s="1523">
        <f t="shared" si="89"/>
        <v>5.4299289107991269E-2</v>
      </c>
      <c r="Q55" s="1523">
        <f t="shared" si="89"/>
        <v>8.9126559714794995E-3</v>
      </c>
      <c r="R55" s="1472"/>
      <c r="S55" s="1470"/>
      <c r="T55" s="1471"/>
      <c r="U55" s="1471"/>
      <c r="V55" s="1471"/>
      <c r="X55" s="1524"/>
      <c r="Y55" s="1524"/>
      <c r="Z55" s="1524"/>
    </row>
    <row r="56" spans="1:26">
      <c r="A56" s="1459" t="s">
        <v>1194</v>
      </c>
      <c r="B56" s="1475">
        <f t="shared" si="90"/>
        <v>144.04145728643215</v>
      </c>
      <c r="C56" s="1475">
        <f t="shared" si="90"/>
        <v>136.12396694214877</v>
      </c>
      <c r="D56" s="1475">
        <f t="shared" si="64"/>
        <v>136.12396694214877</v>
      </c>
      <c r="E56" s="1475">
        <f t="shared" si="91"/>
        <v>158.32225913621264</v>
      </c>
      <c r="F56" s="1475">
        <f t="shared" si="91"/>
        <v>114.04278074866311</v>
      </c>
      <c r="G56" s="3290">
        <v>2006</v>
      </c>
      <c r="H56" s="1462">
        <v>1</v>
      </c>
      <c r="I56" s="1462">
        <v>2.29</v>
      </c>
      <c r="J56" s="1462">
        <v>3.72</v>
      </c>
      <c r="K56" s="1462">
        <v>0.75</v>
      </c>
      <c r="L56" s="1476">
        <v>0.04</v>
      </c>
      <c r="N56" s="1525">
        <f t="shared" si="88"/>
        <v>4.3778675988638847E-2</v>
      </c>
      <c r="O56" s="1526">
        <f t="shared" si="88"/>
        <v>3.9114251466784385E-2</v>
      </c>
      <c r="P56" s="1526">
        <f t="shared" si="89"/>
        <v>2.1433929911049188E-2</v>
      </c>
      <c r="Q56" s="1526">
        <f t="shared" si="89"/>
        <v>3.7526972511492629E-4</v>
      </c>
      <c r="R56" s="1472"/>
      <c r="S56" s="1478">
        <f>B56/B57-1</f>
        <v>4.3778675988638716E-2</v>
      </c>
      <c r="T56" s="1479">
        <f>C56/C57-1</f>
        <v>3.91142514667846E-2</v>
      </c>
      <c r="U56" s="1479">
        <f>E56/E57-1</f>
        <v>2.143392991104931E-2</v>
      </c>
      <c r="V56" s="1479">
        <f>F56/F57-1</f>
        <v>3.7526972511492396E-4</v>
      </c>
      <c r="X56" s="1524"/>
      <c r="Y56" s="1524"/>
      <c r="Z56" s="1524"/>
    </row>
    <row r="57" spans="1:26" ht="13.5" thickBot="1">
      <c r="A57" s="1459" t="s">
        <v>1195</v>
      </c>
      <c r="B57" s="1488">
        <v>138</v>
      </c>
      <c r="C57" s="1488">
        <v>131</v>
      </c>
      <c r="D57" s="1488">
        <f t="shared" si="64"/>
        <v>131</v>
      </c>
      <c r="E57" s="1488">
        <v>155</v>
      </c>
      <c r="F57" s="1489">
        <v>114</v>
      </c>
      <c r="G57" s="3288">
        <v>2005</v>
      </c>
      <c r="H57" s="1480">
        <v>4</v>
      </c>
      <c r="I57" s="1480">
        <v>3.29</v>
      </c>
      <c r="J57" s="1480">
        <v>1.44</v>
      </c>
      <c r="K57" s="1480">
        <v>0.66</v>
      </c>
      <c r="L57" s="1481">
        <v>7.78</v>
      </c>
      <c r="N57" s="1522">
        <f t="shared" ref="N57:O60" si="92">I57/SUM(I$57:I$60)*(B$57/B$61-1)</f>
        <v>9.9404603216919935E-2</v>
      </c>
      <c r="O57" s="1523">
        <f t="shared" si="92"/>
        <v>4.7636550760861554E-2</v>
      </c>
      <c r="P57" s="1523">
        <f t="shared" ref="P57:Q60" si="93">K57/SUM(K$57:K$60)*(E$57/E$61-1)</f>
        <v>8.3756345177664976E-2</v>
      </c>
      <c r="Q57" s="1523">
        <f t="shared" si="93"/>
        <v>5.2148766661559584E-2</v>
      </c>
      <c r="R57" s="1472"/>
      <c r="S57" s="1473"/>
      <c r="T57" s="1474"/>
      <c r="U57" s="1474"/>
      <c r="V57" s="1474"/>
      <c r="X57" s="1524"/>
      <c r="Y57" s="1524"/>
      <c r="Z57" s="1524"/>
    </row>
    <row r="58" spans="1:26">
      <c r="A58" s="1459" t="s">
        <v>1196</v>
      </c>
      <c r="B58" s="1475">
        <f t="shared" ref="B58:C60" si="94">B59+(B$57-B$61)*I58/SUM(I$57:I$60)</f>
        <v>125.9720430107527</v>
      </c>
      <c r="C58" s="1475">
        <f t="shared" si="94"/>
        <v>125.1883408071749</v>
      </c>
      <c r="D58" s="1475">
        <f t="shared" si="64"/>
        <v>125.1883408071749</v>
      </c>
      <c r="E58" s="1475">
        <f t="shared" ref="E58:F60" si="95">E59+(E$57-E$61)*K58/SUM(K$57:K$60)</f>
        <v>144.61421319796952</v>
      </c>
      <c r="F58" s="1475">
        <f t="shared" si="95"/>
        <v>108.42008196721311</v>
      </c>
      <c r="G58" s="3289">
        <v>2005</v>
      </c>
      <c r="H58" s="1485">
        <v>3</v>
      </c>
      <c r="I58" s="1485">
        <v>0.46</v>
      </c>
      <c r="J58" s="1485">
        <v>0.32</v>
      </c>
      <c r="K58" s="1485">
        <v>0.42</v>
      </c>
      <c r="L58" s="1486">
        <v>0.64</v>
      </c>
      <c r="N58" s="1522">
        <f t="shared" si="92"/>
        <v>1.3898515951301874E-2</v>
      </c>
      <c r="O58" s="1523">
        <f t="shared" si="92"/>
        <v>1.0585900169080346E-2</v>
      </c>
      <c r="P58" s="1523">
        <f t="shared" si="93"/>
        <v>5.3299492385786795E-2</v>
      </c>
      <c r="Q58" s="1523">
        <f t="shared" si="93"/>
        <v>4.2898728359123568E-3</v>
      </c>
      <c r="R58" s="1472"/>
      <c r="S58" s="1470"/>
      <c r="T58" s="1471"/>
      <c r="U58" s="1471"/>
      <c r="V58" s="1471"/>
      <c r="X58" s="1524"/>
      <c r="Y58" s="1524"/>
      <c r="Z58" s="1524"/>
    </row>
    <row r="59" spans="1:26">
      <c r="A59" s="1459" t="s">
        <v>1197</v>
      </c>
      <c r="B59" s="1475">
        <f t="shared" si="94"/>
        <v>124.29032258064517</v>
      </c>
      <c r="C59" s="1475">
        <f t="shared" si="94"/>
        <v>123.8968609865471</v>
      </c>
      <c r="D59" s="1475">
        <f t="shared" si="64"/>
        <v>123.8968609865471</v>
      </c>
      <c r="E59" s="1475">
        <f t="shared" si="95"/>
        <v>138.00507614213197</v>
      </c>
      <c r="F59" s="1475">
        <f t="shared" si="95"/>
        <v>107.96106557377048</v>
      </c>
      <c r="G59" s="3289">
        <v>2005</v>
      </c>
      <c r="H59" s="1463">
        <v>2</v>
      </c>
      <c r="I59" s="1463">
        <v>0.47</v>
      </c>
      <c r="J59" s="1463">
        <v>0.1</v>
      </c>
      <c r="K59" s="1463">
        <v>0.52</v>
      </c>
      <c r="L59" s="1477">
        <v>0.79</v>
      </c>
      <c r="N59" s="1522">
        <f t="shared" si="92"/>
        <v>1.420065760241713E-2</v>
      </c>
      <c r="O59" s="1523">
        <f t="shared" si="92"/>
        <v>3.3080938028376083E-3</v>
      </c>
      <c r="P59" s="1523">
        <f t="shared" si="93"/>
        <v>6.598984771573603E-2</v>
      </c>
      <c r="Q59" s="1523">
        <f t="shared" si="93"/>
        <v>5.2953117818293153E-3</v>
      </c>
      <c r="R59" s="1472"/>
      <c r="S59" s="1470"/>
      <c r="T59" s="1471"/>
      <c r="U59" s="1471"/>
      <c r="V59" s="1471"/>
      <c r="X59" s="1524"/>
      <c r="Y59" s="1524"/>
      <c r="Z59" s="1524"/>
    </row>
    <row r="60" spans="1:26">
      <c r="A60" s="1459" t="s">
        <v>1198</v>
      </c>
      <c r="B60" s="1475">
        <f t="shared" si="94"/>
        <v>122.57204301075269</v>
      </c>
      <c r="C60" s="1475">
        <f t="shared" si="94"/>
        <v>123.4932735426009</v>
      </c>
      <c r="D60" s="1475">
        <f t="shared" si="64"/>
        <v>123.4932735426009</v>
      </c>
      <c r="E60" s="1475">
        <f t="shared" si="95"/>
        <v>129.82233502538071</v>
      </c>
      <c r="F60" s="1475">
        <f t="shared" si="95"/>
        <v>107.39446721311475</v>
      </c>
      <c r="G60" s="3290">
        <v>2005</v>
      </c>
      <c r="H60" s="1462">
        <v>1</v>
      </c>
      <c r="I60" s="1462">
        <v>0.43</v>
      </c>
      <c r="J60" s="1462">
        <v>0.37</v>
      </c>
      <c r="K60" s="1462">
        <v>0.37</v>
      </c>
      <c r="L60" s="1476">
        <v>0.55000000000000004</v>
      </c>
      <c r="N60" s="1525">
        <f t="shared" si="92"/>
        <v>1.2992090997956099E-2</v>
      </c>
      <c r="O60" s="1526">
        <f t="shared" si="92"/>
        <v>1.2239947070499151E-2</v>
      </c>
      <c r="P60" s="1526">
        <f t="shared" si="93"/>
        <v>4.6954314720812178E-2</v>
      </c>
      <c r="Q60" s="1526">
        <f t="shared" si="93"/>
        <v>3.6866094683621815E-3</v>
      </c>
      <c r="R60" s="1472"/>
      <c r="S60" s="1478">
        <f>B60/B61-1</f>
        <v>1.2992090997956174E-2</v>
      </c>
      <c r="T60" s="1479">
        <f>C60/C61-1</f>
        <v>1.2239947070499246E-2</v>
      </c>
      <c r="U60" s="1479">
        <f>E60/E61-1</f>
        <v>4.695431472081224E-2</v>
      </c>
      <c r="V60" s="1479">
        <f>F60/F61-1</f>
        <v>3.6866094683620787E-3</v>
      </c>
      <c r="X60" s="1524"/>
      <c r="Y60" s="1524"/>
      <c r="Z60" s="1524"/>
    </row>
    <row r="61" spans="1:26" ht="13.5" thickBot="1">
      <c r="A61" s="1459" t="s">
        <v>1199</v>
      </c>
      <c r="B61" s="1509">
        <v>121</v>
      </c>
      <c r="C61" s="1509">
        <v>122</v>
      </c>
      <c r="D61" s="1509">
        <f t="shared" si="64"/>
        <v>122</v>
      </c>
      <c r="E61" s="1509">
        <v>124</v>
      </c>
      <c r="F61" s="1510">
        <v>107</v>
      </c>
      <c r="G61" s="3288">
        <v>2004</v>
      </c>
      <c r="H61" s="1480">
        <v>4</v>
      </c>
      <c r="I61" s="1480">
        <v>0.33</v>
      </c>
      <c r="J61" s="1480">
        <v>0.5</v>
      </c>
      <c r="K61" s="1480">
        <v>0.5</v>
      </c>
      <c r="L61" s="1481">
        <v>0</v>
      </c>
      <c r="N61" s="1522">
        <f t="shared" ref="N61:O64" si="96">I61/SUM(I$61:I$64)*(B$61/B$65-1)</f>
        <v>1.3391770148526898E-2</v>
      </c>
      <c r="O61" s="1523">
        <f t="shared" si="96"/>
        <v>1.063264221158958E-2</v>
      </c>
      <c r="P61" s="1523">
        <f t="shared" ref="P61:Q64" si="97">K61/SUM(K$61:K$64)*(E$61/E$65-1)</f>
        <v>2.2244466688911134E-2</v>
      </c>
      <c r="Q61" s="1523">
        <f t="shared" si="97"/>
        <v>0</v>
      </c>
      <c r="R61" s="1472"/>
      <c r="S61" s="1473"/>
      <c r="T61" s="1474"/>
      <c r="U61" s="1474"/>
      <c r="V61" s="1474"/>
      <c r="X61" s="1524"/>
      <c r="Y61" s="1524"/>
      <c r="Z61" s="1524"/>
    </row>
    <row r="62" spans="1:26">
      <c r="A62" s="1459" t="s">
        <v>1200</v>
      </c>
      <c r="B62" s="1475">
        <f t="shared" ref="B62:C64" si="98">B63+(B$61-B$65)*I62/SUM(I$61:I$64)</f>
        <v>119.51351351351352</v>
      </c>
      <c r="C62" s="1475">
        <f t="shared" si="98"/>
        <v>120.7878787878788</v>
      </c>
      <c r="D62" s="1475">
        <f t="shared" si="64"/>
        <v>120.7878787878788</v>
      </c>
      <c r="E62" s="1475">
        <f t="shared" ref="E62:F64" si="99">E63+(E$61-E$65)*K62/SUM(K$61:K$64)</f>
        <v>121.5975975975976</v>
      </c>
      <c r="F62" s="1475">
        <f t="shared" si="99"/>
        <v>107</v>
      </c>
      <c r="G62" s="3289">
        <v>2004</v>
      </c>
      <c r="H62" s="1485">
        <v>3</v>
      </c>
      <c r="I62" s="1485">
        <v>0.56000000000000005</v>
      </c>
      <c r="J62" s="1485">
        <v>0.8</v>
      </c>
      <c r="K62" s="1485">
        <v>0.83</v>
      </c>
      <c r="L62" s="1486">
        <v>0.06</v>
      </c>
      <c r="N62" s="1522">
        <f t="shared" si="96"/>
        <v>2.2725428130833527E-2</v>
      </c>
      <c r="O62" s="1523">
        <f t="shared" si="96"/>
        <v>1.7012227538543329E-2</v>
      </c>
      <c r="P62" s="1523">
        <f t="shared" si="97"/>
        <v>3.6925814703592477E-2</v>
      </c>
      <c r="Q62" s="1523">
        <f t="shared" si="97"/>
        <v>2.8846153846153744E-2</v>
      </c>
      <c r="R62" s="1472"/>
      <c r="S62" s="1470"/>
      <c r="T62" s="1471"/>
      <c r="U62" s="1471"/>
      <c r="V62" s="1471"/>
      <c r="X62" s="1524"/>
      <c r="Y62" s="1524"/>
      <c r="Z62" s="1524"/>
    </row>
    <row r="63" spans="1:26">
      <c r="A63" s="1459" t="s">
        <v>1201</v>
      </c>
      <c r="B63" s="1475">
        <f t="shared" si="98"/>
        <v>116.99099099099099</v>
      </c>
      <c r="C63" s="1475">
        <f t="shared" si="98"/>
        <v>118.84848484848486</v>
      </c>
      <c r="D63" s="1475">
        <f t="shared" si="64"/>
        <v>118.84848484848486</v>
      </c>
      <c r="E63" s="1475">
        <f t="shared" si="99"/>
        <v>117.60960960960961</v>
      </c>
      <c r="F63" s="1475">
        <f t="shared" si="99"/>
        <v>104</v>
      </c>
      <c r="G63" s="3289">
        <v>2004</v>
      </c>
      <c r="H63" s="1463">
        <v>2</v>
      </c>
      <c r="I63" s="1463">
        <v>1</v>
      </c>
      <c r="J63" s="1463">
        <v>1.5</v>
      </c>
      <c r="K63" s="1463">
        <v>1.5</v>
      </c>
      <c r="L63" s="1477">
        <v>0</v>
      </c>
      <c r="N63" s="1522">
        <f t="shared" si="96"/>
        <v>4.0581121662202721E-2</v>
      </c>
      <c r="O63" s="1523">
        <f t="shared" si="96"/>
        <v>3.1897926634768738E-2</v>
      </c>
      <c r="P63" s="1523">
        <f t="shared" si="97"/>
        <v>6.6733400066733395E-2</v>
      </c>
      <c r="Q63" s="1523">
        <f t="shared" si="97"/>
        <v>0</v>
      </c>
      <c r="R63" s="1472"/>
      <c r="S63" s="1470"/>
      <c r="T63" s="1471"/>
      <c r="U63" s="1471"/>
      <c r="V63" s="1471"/>
      <c r="X63" s="1524"/>
      <c r="Y63" s="1524"/>
      <c r="Z63" s="1524"/>
    </row>
    <row r="64" spans="1:26" s="1515" customFormat="1" ht="13.5" thickBot="1">
      <c r="A64" s="1459" t="s">
        <v>1202</v>
      </c>
      <c r="B64" s="1512">
        <f t="shared" si="98"/>
        <v>112.48648648648648</v>
      </c>
      <c r="C64" s="1512">
        <f t="shared" si="98"/>
        <v>115.21212121212122</v>
      </c>
      <c r="D64" s="1512">
        <f t="shared" si="64"/>
        <v>115.21212121212122</v>
      </c>
      <c r="E64" s="1512">
        <f t="shared" si="99"/>
        <v>110.4024024024024</v>
      </c>
      <c r="F64" s="1512">
        <f t="shared" si="99"/>
        <v>104</v>
      </c>
      <c r="G64" s="3290">
        <v>2004</v>
      </c>
      <c r="H64" s="1513">
        <v>1</v>
      </c>
      <c r="I64" s="1513">
        <v>0.33</v>
      </c>
      <c r="J64" s="1513">
        <v>0.5</v>
      </c>
      <c r="K64" s="1513">
        <v>0.5</v>
      </c>
      <c r="L64" s="1514">
        <v>0</v>
      </c>
      <c r="N64" s="1527">
        <f t="shared" si="96"/>
        <v>1.3391770148526898E-2</v>
      </c>
      <c r="O64" s="1528">
        <f t="shared" si="96"/>
        <v>1.063264221158958E-2</v>
      </c>
      <c r="P64" s="1528">
        <f t="shared" si="97"/>
        <v>2.2244466688911134E-2</v>
      </c>
      <c r="Q64" s="1528">
        <f t="shared" si="97"/>
        <v>0</v>
      </c>
      <c r="R64" s="1518"/>
      <c r="S64" s="1516">
        <f>B64/B65-1</f>
        <v>1.3391770148526883E-2</v>
      </c>
      <c r="T64" s="1517">
        <f>C64/C65-1</f>
        <v>1.063264221158966E-2</v>
      </c>
      <c r="U64" s="1517">
        <f>E64/E65-1</f>
        <v>2.2244466688911224E-2</v>
      </c>
      <c r="V64" s="1517">
        <f>F64/F65-1</f>
        <v>0</v>
      </c>
      <c r="X64" s="1529"/>
      <c r="Y64" s="1529"/>
      <c r="Z64" s="1529"/>
    </row>
    <row r="65" spans="1:26" ht="13.5" thickBot="1">
      <c r="A65" s="1459" t="s">
        <v>1203</v>
      </c>
      <c r="B65" s="1530">
        <v>111</v>
      </c>
      <c r="C65" s="1530">
        <v>114</v>
      </c>
      <c r="D65" s="1530">
        <f t="shared" si="64"/>
        <v>114</v>
      </c>
      <c r="E65" s="1530">
        <v>108</v>
      </c>
      <c r="F65" s="1531">
        <v>104</v>
      </c>
      <c r="G65" s="3288">
        <v>2003</v>
      </c>
      <c r="H65" s="1520">
        <v>4</v>
      </c>
      <c r="I65" s="1532"/>
      <c r="J65" s="1532"/>
      <c r="K65" s="1532"/>
      <c r="L65" s="1532"/>
      <c r="N65" s="1533"/>
      <c r="O65" s="1532"/>
      <c r="P65" s="1532"/>
      <c r="Q65" s="1532"/>
      <c r="S65" s="1533"/>
      <c r="T65" s="1532"/>
      <c r="U65" s="1532"/>
      <c r="V65" s="1532"/>
      <c r="X65" s="1524"/>
      <c r="Y65" s="1524"/>
      <c r="Z65" s="1524"/>
    </row>
    <row r="66" spans="1:26">
      <c r="A66" s="1459" t="s">
        <v>1204</v>
      </c>
      <c r="B66" s="1534">
        <f t="shared" ref="B66:C68" si="100">B67+(B$65-B$69)/4</f>
        <v>109.75</v>
      </c>
      <c r="C66" s="1534">
        <f t="shared" si="100"/>
        <v>112.25</v>
      </c>
      <c r="D66" s="1534">
        <f t="shared" si="64"/>
        <v>112.25</v>
      </c>
      <c r="E66" s="1534">
        <f t="shared" ref="E66:F68" si="101">E67+(E$65-E$69)/4</f>
        <v>107.25</v>
      </c>
      <c r="F66" s="1534">
        <f t="shared" si="101"/>
        <v>103.5</v>
      </c>
      <c r="G66" s="3289">
        <v>2003</v>
      </c>
      <c r="H66" s="1485">
        <v>3</v>
      </c>
      <c r="I66" s="1532"/>
      <c r="J66" s="1532"/>
      <c r="K66" s="1532"/>
      <c r="L66" s="1532"/>
      <c r="X66" s="1524"/>
      <c r="Y66" s="1524"/>
      <c r="Z66" s="1524"/>
    </row>
    <row r="67" spans="1:26">
      <c r="A67" s="1459" t="s">
        <v>1205</v>
      </c>
      <c r="B67" s="1534">
        <f t="shared" si="100"/>
        <v>108.5</v>
      </c>
      <c r="C67" s="1534">
        <f t="shared" si="100"/>
        <v>110.5</v>
      </c>
      <c r="D67" s="1534">
        <f t="shared" si="64"/>
        <v>110.5</v>
      </c>
      <c r="E67" s="1534">
        <f t="shared" si="101"/>
        <v>106.5</v>
      </c>
      <c r="F67" s="1534">
        <f t="shared" si="101"/>
        <v>103</v>
      </c>
      <c r="G67" s="3289">
        <v>2003</v>
      </c>
      <c r="H67" s="1463">
        <v>2</v>
      </c>
      <c r="I67" s="1532"/>
      <c r="J67" s="1532"/>
      <c r="K67" s="1532"/>
      <c r="L67" s="1532"/>
      <c r="X67" s="1524"/>
      <c r="Y67" s="1524"/>
      <c r="Z67" s="1524"/>
    </row>
    <row r="68" spans="1:26" ht="13.5" thickBot="1">
      <c r="A68" s="1459" t="s">
        <v>1206</v>
      </c>
      <c r="B68" s="1534">
        <f t="shared" si="100"/>
        <v>107.25</v>
      </c>
      <c r="C68" s="1534">
        <f t="shared" si="100"/>
        <v>108.75</v>
      </c>
      <c r="D68" s="1534">
        <f t="shared" si="64"/>
        <v>108.75</v>
      </c>
      <c r="E68" s="1534">
        <f t="shared" si="101"/>
        <v>105.75</v>
      </c>
      <c r="F68" s="1534">
        <f t="shared" si="101"/>
        <v>102.5</v>
      </c>
      <c r="G68" s="3290">
        <v>2003</v>
      </c>
      <c r="H68" s="1535">
        <v>1</v>
      </c>
      <c r="I68" s="1532"/>
      <c r="J68" s="1532"/>
      <c r="K68" s="1532"/>
      <c r="L68" s="1532"/>
      <c r="S68" s="1470"/>
      <c r="T68" s="1471"/>
      <c r="U68" s="1471"/>
      <c r="X68" s="1524"/>
      <c r="Y68" s="1524"/>
      <c r="Z68" s="1524"/>
    </row>
    <row r="69" spans="1:26" ht="13.5" thickBot="1">
      <c r="A69" s="1459" t="s">
        <v>1207</v>
      </c>
      <c r="B69" s="1536">
        <v>106</v>
      </c>
      <c r="C69" s="1536">
        <v>107</v>
      </c>
      <c r="D69" s="1536">
        <f t="shared" si="64"/>
        <v>107</v>
      </c>
      <c r="E69" s="1536">
        <v>105</v>
      </c>
      <c r="F69" s="1537">
        <v>102</v>
      </c>
      <c r="G69" s="3288">
        <v>2002</v>
      </c>
      <c r="H69" s="1480">
        <v>4</v>
      </c>
      <c r="I69" s="1532"/>
      <c r="J69" s="1532"/>
      <c r="K69" s="1532"/>
      <c r="L69" s="1532"/>
      <c r="N69" s="1533"/>
      <c r="O69" s="1532"/>
      <c r="P69" s="1532"/>
      <c r="Q69" s="1532"/>
      <c r="S69" s="1533"/>
      <c r="T69" s="1532"/>
      <c r="U69" s="1532"/>
      <c r="V69" s="1532"/>
      <c r="X69" s="1524"/>
      <c r="Y69" s="1524"/>
      <c r="Z69" s="1524"/>
    </row>
    <row r="70" spans="1:26">
      <c r="A70" s="1459" t="s">
        <v>1208</v>
      </c>
      <c r="B70" s="1534">
        <f t="shared" ref="B70:C72" si="102">B71+(B$69-B$73)/4</f>
        <v>105</v>
      </c>
      <c r="C70" s="1534">
        <f t="shared" si="102"/>
        <v>106</v>
      </c>
      <c r="D70" s="1534">
        <f t="shared" si="64"/>
        <v>106</v>
      </c>
      <c r="E70" s="1534">
        <f t="shared" ref="E70:F72" si="103">E71+(E$69-E$73)/4</f>
        <v>104.5</v>
      </c>
      <c r="F70" s="1534">
        <f t="shared" si="103"/>
        <v>101.5</v>
      </c>
      <c r="G70" s="3289">
        <v>2002</v>
      </c>
      <c r="H70" s="1485">
        <v>3</v>
      </c>
      <c r="I70" s="1532"/>
      <c r="J70" s="1532"/>
      <c r="K70" s="1532"/>
      <c r="L70" s="1532"/>
      <c r="X70" s="1524"/>
      <c r="Y70" s="1524"/>
      <c r="Z70" s="1524"/>
    </row>
    <row r="71" spans="1:26">
      <c r="A71" s="1459" t="s">
        <v>1209</v>
      </c>
      <c r="B71" s="1534">
        <f t="shared" si="102"/>
        <v>104</v>
      </c>
      <c r="C71" s="1534">
        <f t="shared" si="102"/>
        <v>105</v>
      </c>
      <c r="D71" s="1534">
        <f t="shared" si="64"/>
        <v>105</v>
      </c>
      <c r="E71" s="1534">
        <f t="shared" si="103"/>
        <v>104</v>
      </c>
      <c r="F71" s="1534">
        <f t="shared" si="103"/>
        <v>101</v>
      </c>
      <c r="G71" s="3289">
        <v>2002</v>
      </c>
      <c r="H71" s="1463">
        <v>2</v>
      </c>
      <c r="I71" s="1532"/>
      <c r="J71" s="1532"/>
      <c r="K71" s="1532"/>
      <c r="L71" s="1532"/>
      <c r="X71" s="1524"/>
      <c r="Y71" s="1524"/>
      <c r="Z71" s="1524"/>
    </row>
    <row r="72" spans="1:26" s="1496" customFormat="1" ht="13.5" thickBot="1">
      <c r="A72" s="1492" t="s">
        <v>1210</v>
      </c>
      <c r="B72" s="1538">
        <f t="shared" si="102"/>
        <v>103</v>
      </c>
      <c r="C72" s="1538">
        <f t="shared" si="102"/>
        <v>104</v>
      </c>
      <c r="D72" s="1538">
        <f t="shared" si="64"/>
        <v>104</v>
      </c>
      <c r="E72" s="1538">
        <f t="shared" si="103"/>
        <v>103.5</v>
      </c>
      <c r="F72" s="1538">
        <f t="shared" si="103"/>
        <v>100.5</v>
      </c>
      <c r="G72" s="3290">
        <v>2002</v>
      </c>
      <c r="H72" s="1539">
        <v>1</v>
      </c>
      <c r="I72" s="1540"/>
      <c r="J72" s="1540"/>
      <c r="K72" s="1540"/>
      <c r="L72" s="1540"/>
      <c r="N72" s="1541"/>
      <c r="S72" s="1541"/>
      <c r="X72" s="1542"/>
      <c r="Y72" s="1542"/>
      <c r="Z72" s="1542"/>
    </row>
    <row r="73" spans="1:26" ht="13.5" thickBot="1">
      <c r="B73" s="1543">
        <v>102</v>
      </c>
      <c r="C73" s="1544">
        <v>103</v>
      </c>
      <c r="D73" s="1544">
        <f t="shared" si="64"/>
        <v>103</v>
      </c>
      <c r="E73" s="1544">
        <v>103</v>
      </c>
      <c r="F73" s="1545">
        <v>100</v>
      </c>
      <c r="I73" s="1532"/>
      <c r="J73" s="1532"/>
      <c r="K73" s="1532"/>
      <c r="L73" s="1532"/>
      <c r="N73" s="1533"/>
      <c r="O73" s="1532"/>
      <c r="P73" s="1532"/>
      <c r="Q73" s="1532"/>
      <c r="S73" s="1533"/>
      <c r="T73" s="1532"/>
      <c r="U73" s="1532"/>
      <c r="V73" s="1532"/>
      <c r="X73" s="1474"/>
      <c r="Y73" s="1474"/>
      <c r="Z73" s="1474"/>
    </row>
    <row r="75" spans="1:26" s="1547" customFormat="1">
      <c r="A75" s="1546" t="s">
        <v>1211</v>
      </c>
      <c r="G75" s="1548"/>
      <c r="N75" s="1548"/>
      <c r="S75" s="1548"/>
    </row>
    <row r="76" spans="1:26" s="1547" customFormat="1">
      <c r="A76" s="1547" t="s">
        <v>1212</v>
      </c>
      <c r="G76" s="1548"/>
      <c r="N76" s="1548"/>
      <c r="S76" s="1548"/>
    </row>
    <row r="77" spans="1:26" s="1547" customFormat="1">
      <c r="A77" s="1547" t="s">
        <v>1213</v>
      </c>
      <c r="G77" s="1548"/>
      <c r="I77" s="1549"/>
      <c r="J77" s="1549"/>
      <c r="K77" s="1549"/>
      <c r="L77" s="1549"/>
      <c r="N77" s="1550"/>
      <c r="O77" s="1549"/>
      <c r="P77" s="1549"/>
      <c r="Q77" s="1549"/>
      <c r="S77" s="1550"/>
      <c r="T77" s="1549"/>
      <c r="U77" s="1549"/>
      <c r="V77" s="1549"/>
    </row>
    <row r="78" spans="1:26" s="1547" customFormat="1">
      <c r="A78" s="1547" t="s">
        <v>1214</v>
      </c>
      <c r="G78" s="1548"/>
      <c r="N78" s="1548"/>
      <c r="S78" s="1548"/>
    </row>
    <row r="85" spans="7:22" ht="13.5" thickBot="1"/>
    <row r="86" spans="7:22">
      <c r="G86" s="1469"/>
      <c r="S86" s="1551" t="s">
        <v>1215</v>
      </c>
      <c r="T86" s="1552" t="s">
        <v>1216</v>
      </c>
      <c r="U86" s="1552" t="s">
        <v>1217</v>
      </c>
      <c r="V86" s="1552" t="s">
        <v>1218</v>
      </c>
    </row>
    <row r="87" spans="7:22">
      <c r="G87" s="1469"/>
      <c r="N87" s="1473"/>
      <c r="O87" s="1474"/>
      <c r="P87" s="1474"/>
      <c r="Q87" s="1474"/>
      <c r="S87" s="1553">
        <v>2006</v>
      </c>
      <c r="T87" s="1554">
        <v>15.1</v>
      </c>
      <c r="U87" s="1554">
        <v>7.43</v>
      </c>
      <c r="V87" s="1554">
        <v>26.26</v>
      </c>
    </row>
    <row r="88" spans="7:22">
      <c r="G88" s="1469"/>
      <c r="N88" s="1473"/>
      <c r="O88" s="1474"/>
      <c r="P88" s="1474"/>
      <c r="Q88" s="1474"/>
      <c r="S88" s="1555">
        <v>2005</v>
      </c>
      <c r="T88" s="1556">
        <v>13.9</v>
      </c>
      <c r="U88" s="1556">
        <v>7.49</v>
      </c>
      <c r="V88" s="1556">
        <v>24.92</v>
      </c>
    </row>
    <row r="89" spans="7:22">
      <c r="G89" s="1469"/>
      <c r="N89" s="1473"/>
      <c r="O89" s="1474"/>
      <c r="P89" s="1474"/>
      <c r="Q89" s="1474"/>
      <c r="S89" s="1553">
        <v>2004</v>
      </c>
      <c r="T89" s="1554">
        <v>9.48</v>
      </c>
      <c r="U89" s="1554">
        <v>7.2</v>
      </c>
      <c r="V89" s="1554">
        <v>14.68</v>
      </c>
    </row>
    <row r="90" spans="7:22">
      <c r="G90" s="1469"/>
      <c r="N90" s="1473"/>
      <c r="O90" s="1474"/>
      <c r="P90" s="1474"/>
      <c r="Q90" s="1474"/>
      <c r="S90" s="1555">
        <v>2003</v>
      </c>
      <c r="T90" s="1556">
        <v>4.5</v>
      </c>
      <c r="U90" s="1556">
        <v>6.12</v>
      </c>
      <c r="V90" s="1556">
        <v>2.34</v>
      </c>
    </row>
    <row r="91" spans="7:22" ht="13.5" thickBot="1">
      <c r="G91" s="1469"/>
      <c r="N91" s="1473"/>
      <c r="O91" s="1474"/>
      <c r="P91" s="1474"/>
      <c r="Q91" s="1474"/>
      <c r="S91" s="1557">
        <v>2002</v>
      </c>
      <c r="T91" s="1558">
        <v>3.59</v>
      </c>
      <c r="U91" s="1558">
        <v>4.54</v>
      </c>
      <c r="V91" s="1558">
        <v>2.5499999999999998</v>
      </c>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 sqref="C5:C10"/>
      <selection pane="bottomLeft" activeCell="C5" sqref="C5:C1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4" t="s">
        <v>2993</v>
      </c>
      <c r="C1" s="3297" t="s">
        <v>2994</v>
      </c>
      <c r="D1" s="3298"/>
      <c r="E1" s="3298"/>
      <c r="F1" s="3298"/>
      <c r="G1" s="3298"/>
      <c r="H1" s="3298"/>
      <c r="I1" s="3298"/>
      <c r="J1" s="3298"/>
      <c r="K1" s="3298"/>
      <c r="L1" s="3298"/>
      <c r="M1" s="3298"/>
      <c r="N1" s="3298"/>
      <c r="O1" s="3298"/>
      <c r="P1" s="3298"/>
      <c r="Q1" s="3298"/>
      <c r="R1" s="3298"/>
      <c r="S1" s="3299"/>
      <c r="T1" s="1204" t="s">
        <v>2995</v>
      </c>
    </row>
    <row r="2" spans="1:45" s="706" customFormat="1">
      <c r="A2" s="1205"/>
      <c r="B2" s="702" t="s">
        <v>2996</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6"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7"/>
      <c r="C3" s="708"/>
      <c r="D3" s="709"/>
      <c r="E3" s="709"/>
      <c r="F3" s="1702"/>
      <c r="G3" s="1702"/>
      <c r="H3" s="1702"/>
      <c r="I3" s="1702"/>
      <c r="J3" s="1702"/>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1210"/>
      <c r="D4" s="1211"/>
      <c r="E4" s="1211"/>
      <c r="F4" s="1706"/>
      <c r="G4" s="1706"/>
      <c r="H4" s="1706"/>
      <c r="I4" s="1706"/>
      <c r="J4" s="1706"/>
      <c r="K4" s="1706"/>
      <c r="L4" s="1706"/>
      <c r="M4" s="1707"/>
      <c r="N4" s="1707"/>
      <c r="O4" s="1706"/>
      <c r="P4" s="1706"/>
      <c r="Q4" s="1706"/>
      <c r="R4" s="1706"/>
      <c r="S4" s="1708"/>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5"/>
      <c r="B5" s="1767" t="s">
        <v>2997</v>
      </c>
      <c r="C5" s="1216"/>
      <c r="D5" s="1217"/>
      <c r="E5" s="1217"/>
      <c r="F5" s="1709"/>
      <c r="G5" s="1709"/>
      <c r="H5" s="1709"/>
      <c r="I5" s="1709"/>
      <c r="J5" s="1709"/>
      <c r="K5" s="1709"/>
      <c r="L5" s="1710"/>
      <c r="M5" s="1711"/>
      <c r="N5" s="1711"/>
      <c r="O5" s="1709"/>
      <c r="P5" s="1709"/>
      <c r="Q5" s="1709"/>
      <c r="R5" s="1709"/>
      <c r="S5" s="1712"/>
      <c r="T5" s="1219"/>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5"/>
      <c r="B6" s="1116"/>
      <c r="C6" s="1122">
        <v>100</v>
      </c>
      <c r="D6" s="1119">
        <f>C6-$T5</f>
        <v>100</v>
      </c>
      <c r="E6" s="1119">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8"/>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5"/>
      <c r="B7" s="1768" t="s">
        <v>2998</v>
      </c>
      <c r="C7" s="1121"/>
      <c r="D7" s="1115"/>
      <c r="E7" s="1115"/>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5"/>
      <c r="B8" s="1116"/>
      <c r="C8" s="1122">
        <v>100</v>
      </c>
      <c r="D8" s="1119">
        <f>C8-$T7</f>
        <v>100</v>
      </c>
      <c r="E8" s="1119">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8"/>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5"/>
      <c r="B9" s="1768" t="s">
        <v>2999</v>
      </c>
      <c r="C9" s="1121"/>
      <c r="D9" s="1115"/>
      <c r="E9" s="1115"/>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5"/>
      <c r="B10" s="1209"/>
      <c r="C10" s="1220">
        <v>100</v>
      </c>
      <c r="D10" s="1221">
        <f>C10-$T9</f>
        <v>100</v>
      </c>
      <c r="E10" s="1221">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5"/>
      <c r="B11" s="1767" t="s">
        <v>3000</v>
      </c>
      <c r="C11" s="1216"/>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5"/>
      <c r="B13" s="1767" t="s">
        <v>3001</v>
      </c>
      <c r="C13" s="1216"/>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5"/>
      <c r="B15" s="1767" t="s">
        <v>3002</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3003</v>
      </c>
      <c r="B17" s="2916" t="s">
        <v>3004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6"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7"/>
      <c r="B19" s="167"/>
      <c r="C19" s="167"/>
      <c r="D19" s="2917" t="s">
        <v>3005</v>
      </c>
      <c r="E19" s="1790"/>
      <c r="F19" s="1790"/>
      <c r="G19" s="1790"/>
      <c r="H19" s="1280"/>
      <c r="I19" s="167"/>
      <c r="J19" s="167"/>
      <c r="K19" s="167"/>
      <c r="L19" s="167"/>
      <c r="M19" s="167"/>
      <c r="N19" s="167"/>
      <c r="O19" s="167"/>
      <c r="P19" s="167"/>
      <c r="Q19" s="167"/>
      <c r="R19" s="787"/>
      <c r="S19" s="137"/>
    </row>
    <row r="20" spans="1:45" ht="16.5" thickBot="1">
      <c r="A20" s="714" t="s">
        <v>3006</v>
      </c>
      <c r="B20" s="337" t="e">
        <f ca="1">IF(D20="——",S22,S22-F20)</f>
        <v>#REF!</v>
      </c>
      <c r="C20" s="167"/>
      <c r="D20" s="2918" t="s">
        <v>3007</v>
      </c>
      <c r="E20" s="1791"/>
      <c r="F20" s="1204" t="e">
        <f ca="1">SUMIF(INDIRECT("'"&amp;H20&amp;"'"&amp;"!A:A"),"承租人权益价值",INDIRECT("'"&amp;H20&amp;"'"&amp;"!c:c"))</f>
        <v>#REF!</v>
      </c>
      <c r="G20" s="1204" t="s">
        <v>3008</v>
      </c>
      <c r="H20" s="2919"/>
      <c r="I20" s="167"/>
      <c r="J20" s="167"/>
      <c r="K20" s="167"/>
      <c r="L20" s="167"/>
      <c r="M20" s="167"/>
      <c r="N20" s="167"/>
      <c r="O20" s="167"/>
      <c r="P20" s="167"/>
      <c r="Q20" s="167"/>
      <c r="R20" s="787"/>
      <c r="S20" s="137"/>
    </row>
    <row r="21" spans="1:45" ht="15.75">
      <c r="A21" s="714" t="s">
        <v>3009</v>
      </c>
      <c r="B21" s="337">
        <f>R22</f>
        <v>10000</v>
      </c>
      <c r="C21" s="167"/>
      <c r="D21" s="167"/>
      <c r="E21" s="167"/>
      <c r="F21" s="167"/>
      <c r="G21" s="167"/>
      <c r="H21" s="167"/>
      <c r="I21" s="167"/>
      <c r="J21" s="167"/>
      <c r="K21" s="167"/>
      <c r="L21" s="167"/>
      <c r="M21" s="167"/>
      <c r="N21" s="167"/>
      <c r="O21" s="167"/>
      <c r="P21" s="167"/>
      <c r="Q21" s="167"/>
      <c r="R21" s="787"/>
      <c r="S21" s="137"/>
    </row>
    <row r="22" spans="1:45">
      <c r="A22" s="360" t="s">
        <v>3010</v>
      </c>
      <c r="B22" s="23">
        <f>SUM(B24:B10000)</f>
        <v>100</v>
      </c>
      <c r="C22" s="3079" t="s">
        <v>33</v>
      </c>
      <c r="D22" s="3080"/>
      <c r="E22" s="3080"/>
      <c r="F22" s="3080"/>
      <c r="G22" s="3080"/>
      <c r="H22" s="3080"/>
      <c r="I22" s="3080"/>
      <c r="J22" s="3080"/>
      <c r="K22" s="3080"/>
      <c r="L22" s="3080"/>
      <c r="M22" s="3080"/>
      <c r="N22" s="3080"/>
      <c r="O22" s="3080"/>
      <c r="P22" s="3080"/>
      <c r="Q22" s="3296"/>
      <c r="R22" s="715">
        <f>ROUND(S22*10000/B22,0)</f>
        <v>10000</v>
      </c>
      <c r="S22" s="23">
        <f>SUM(S24:S10000)</f>
        <v>100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6" t="s">
        <v>3014</v>
      </c>
      <c r="S23" s="11" t="s">
        <v>3015</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3016</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1621</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1630</v>
      </c>
      <c r="C4" s="2982"/>
      <c r="D4" s="2982"/>
      <c r="E4" s="1959"/>
    </row>
    <row r="5" spans="1:5" ht="16.5" thickTop="1">
      <c r="A5" s="1957"/>
      <c r="B5" s="2980" t="s">
        <v>1622</v>
      </c>
      <c r="C5" s="1960" t="s">
        <v>1623</v>
      </c>
      <c r="D5" s="1041">
        <f ca="1">结果表!H101</f>
        <v>28831</v>
      </c>
      <c r="E5" s="1957"/>
    </row>
    <row r="6" spans="1:5" ht="15.75">
      <c r="A6" s="1957"/>
      <c r="B6" s="2980"/>
      <c r="C6" s="1960" t="s">
        <v>1624</v>
      </c>
      <c r="D6" s="1041" t="str">
        <f ca="1">NUMBERSTRING(INT(D5*10000),2)&amp;"元整"</f>
        <v>贰亿捌仟捌佰叁拾壹万元整</v>
      </c>
      <c r="E6" s="1957"/>
    </row>
    <row r="7" spans="1:5" ht="15.75">
      <c r="A7" s="1957"/>
      <c r="B7" s="2985"/>
      <c r="C7" s="1961" t="s">
        <v>1625</v>
      </c>
      <c r="D7" s="1042">
        <f ca="1">结果表!H102</f>
        <v>34834</v>
      </c>
      <c r="E7" s="1957"/>
    </row>
    <row r="8" spans="1:5" ht="15.75">
      <c r="A8" s="1957"/>
      <c r="B8" s="2986" t="str">
        <f>结果表!E103</f>
        <v>2.估价师知悉的法定优先受偿款</v>
      </c>
      <c r="C8" s="1962" t="s">
        <v>1626</v>
      </c>
      <c r="D8" s="1042">
        <f>结果表!H103</f>
        <v>0</v>
      </c>
      <c r="E8" s="1957"/>
    </row>
    <row r="9" spans="1:5" ht="15.75">
      <c r="A9" s="1957"/>
      <c r="B9" s="2988"/>
      <c r="C9" s="1960" t="s">
        <v>1624</v>
      </c>
      <c r="D9" s="1041" t="str">
        <f>NUMBERSTRING(INT(D8*10000),2)&amp;"元整"</f>
        <v>零元整</v>
      </c>
      <c r="E9" s="1957"/>
    </row>
    <row r="10" spans="1:5" ht="15">
      <c r="A10" s="1957"/>
      <c r="B10" s="1963" t="s">
        <v>1629</v>
      </c>
      <c r="C10" s="1964" t="s">
        <v>1627</v>
      </c>
      <c r="D10" s="1043">
        <f>结果表!H104</f>
        <v>0</v>
      </c>
      <c r="E10" s="1957"/>
    </row>
    <row r="11" spans="1:5" ht="15">
      <c r="A11" s="1957"/>
      <c r="B11" s="1963" t="s">
        <v>1631</v>
      </c>
      <c r="C11" s="1964" t="s">
        <v>1632</v>
      </c>
      <c r="D11" s="1043">
        <f>结果表!H105</f>
        <v>0</v>
      </c>
      <c r="E11" s="1957"/>
    </row>
    <row r="12" spans="1:5" ht="15">
      <c r="A12" s="1957"/>
      <c r="B12" s="1963" t="s">
        <v>1633</v>
      </c>
      <c r="C12" s="1964" t="s">
        <v>1632</v>
      </c>
      <c r="D12" s="1043">
        <f>结果表!H106</f>
        <v>0</v>
      </c>
      <c r="E12" s="1957"/>
    </row>
    <row r="13" spans="1:5" ht="15.75">
      <c r="A13" s="1957"/>
      <c r="B13" s="2979" t="str">
        <f>结果表!E107</f>
        <v>3.房地产抵押价值</v>
      </c>
      <c r="C13" s="1965" t="s">
        <v>1623</v>
      </c>
      <c r="D13" s="1044">
        <f ca="1">结果表!H107</f>
        <v>28831</v>
      </c>
      <c r="E13" s="1957"/>
    </row>
    <row r="14" spans="1:5" ht="15.75">
      <c r="A14" s="1957"/>
      <c r="B14" s="2980"/>
      <c r="C14" s="1960" t="s">
        <v>1624</v>
      </c>
      <c r="D14" s="1041" t="str">
        <f ca="1">NUMBERSTRING(INT(D13*10000),2)&amp;"元整"</f>
        <v>贰亿捌仟捌佰叁拾壹万元整</v>
      </c>
      <c r="E14" s="1957"/>
    </row>
    <row r="15" spans="1:5" ht="15">
      <c r="A15" s="1957"/>
      <c r="B15" s="2985"/>
      <c r="C15" s="1961" t="s">
        <v>1634</v>
      </c>
      <c r="D15" s="1053">
        <f ca="1">结果表!H108</f>
        <v>34834</v>
      </c>
      <c r="E15" s="1957"/>
    </row>
    <row r="16" spans="1:5" ht="15">
      <c r="A16" s="1957"/>
      <c r="B16" s="2986" t="str">
        <f>结果表!E109</f>
        <v>——</v>
      </c>
      <c r="C16" s="1965" t="s">
        <v>1635</v>
      </c>
      <c r="D16" s="1966" t="str">
        <f>结果表!H109</f>
        <v>——</v>
      </c>
      <c r="E16" s="1957"/>
    </row>
    <row r="17" spans="1:5" ht="15.75">
      <c r="A17" s="1957"/>
      <c r="B17" s="2987"/>
      <c r="C17" s="1960" t="s">
        <v>1636</v>
      </c>
      <c r="D17" s="1041" t="e">
        <f>NUMBERSTRING(INT(D16*10000),2)&amp;"元整"</f>
        <v>#VALUE!</v>
      </c>
      <c r="E17" s="1957"/>
    </row>
    <row r="18" spans="1:5" ht="15">
      <c r="A18" s="1957"/>
      <c r="B18" s="2988"/>
      <c r="C18" s="1961" t="s">
        <v>1625</v>
      </c>
      <c r="D18" s="1053" t="str">
        <f>结果表!H110</f>
        <v>——</v>
      </c>
      <c r="E18" s="1957"/>
    </row>
    <row r="19" spans="1:5" ht="15.75">
      <c r="A19" s="1957"/>
      <c r="B19" s="2979" t="str">
        <f>结果表!E111</f>
        <v>——</v>
      </c>
      <c r="C19" s="1965" t="s">
        <v>1623</v>
      </c>
      <c r="D19" s="1042" t="str">
        <f>结果表!H111</f>
        <v>——</v>
      </c>
      <c r="E19" s="1957"/>
    </row>
    <row r="20" spans="1:5" ht="15.75">
      <c r="A20" s="1957"/>
      <c r="B20" s="2980"/>
      <c r="C20" s="1960" t="s">
        <v>1636</v>
      </c>
      <c r="D20" s="1041" t="e">
        <f>NUMBERSTRING(INT(D19*10000),2)&amp;"元整"</f>
        <v>#VALUE!</v>
      </c>
      <c r="E20" s="1957"/>
    </row>
    <row r="21" spans="1:5" ht="15.75" thickBot="1">
      <c r="A21" s="1957"/>
      <c r="B21" s="2981"/>
      <c r="C21" s="1967" t="s">
        <v>1634</v>
      </c>
      <c r="D21" s="1054" t="str">
        <f>结果表!H112</f>
        <v>——</v>
      </c>
      <c r="E21" s="1957"/>
    </row>
    <row r="22" spans="1:5" ht="15" thickTop="1">
      <c r="A22" s="1957"/>
      <c r="B22" s="1968" t="s">
        <v>1637</v>
      </c>
      <c r="C22" s="1957"/>
      <c r="D22" s="1957"/>
      <c r="E22" s="1957"/>
    </row>
    <row r="23" spans="1:5">
      <c r="A23" s="1957"/>
      <c r="B23" s="1957"/>
      <c r="C23" s="1957"/>
      <c r="D23" s="1957"/>
      <c r="E23" s="1957"/>
    </row>
    <row r="24" spans="1:5" ht="18.75">
      <c r="A24" s="1969"/>
      <c r="B24" s="1970" t="s">
        <v>1628</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33685</v>
      </c>
      <c r="C2" s="2" t="s">
        <v>133</v>
      </c>
      <c r="D2" s="242"/>
      <c r="E2" s="242"/>
      <c r="F2" s="242"/>
      <c r="G2" s="242"/>
    </row>
    <row r="3" spans="1:7" s="243" customFormat="1" ht="18" customHeight="1" thickBot="1">
      <c r="A3" s="246" t="s">
        <v>85</v>
      </c>
      <c r="B3" s="247">
        <f ca="1">ROUND(B2*10000/'数据-汇总表'!E3,0)</f>
        <v>40699</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166</v>
      </c>
      <c r="D10" s="1034">
        <f>'数据-汇总表'!E6</f>
        <v>8276.64</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166</v>
      </c>
      <c r="D19" s="1038">
        <f>'数据-汇总表'!E3</f>
        <v>8276.64</v>
      </c>
      <c r="E19" s="254">
        <f>'数据-取费表'!B31</f>
        <v>200</v>
      </c>
      <c r="F19" s="274"/>
      <c r="G19" s="1" t="s">
        <v>1074</v>
      </c>
    </row>
    <row r="20" spans="1:7" s="257" customFormat="1" ht="13.5" customHeight="1">
      <c r="A20" s="950" t="s">
        <v>1057</v>
      </c>
      <c r="B20" s="253" t="s">
        <v>104</v>
      </c>
      <c r="C20" s="275">
        <f>ROUND((C5+C19)*F20,0)</f>
        <v>416</v>
      </c>
      <c r="D20" s="275"/>
      <c r="E20" s="275"/>
      <c r="F20" s="276">
        <f>'数据-取费表'!B37</f>
        <v>0.02</v>
      </c>
      <c r="G20" s="1289"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4">
        <f ca="1">ROUND(SUM(C23:C25),0)</f>
        <v>2040</v>
      </c>
      <c r="D22" s="278">
        <f ca="1">C26</f>
        <v>1E-3</v>
      </c>
      <c r="E22" s="279" t="s">
        <v>126</v>
      </c>
      <c r="F22" s="280">
        <f ca="1">'数据-取费表'!B40</f>
        <v>4.7500000000000001E-2</v>
      </c>
      <c r="G22" s="1289" t="str">
        <f>IF('数据-取费表'!B22&lt;=1,"单利计息","复利计息")</f>
        <v>复利计息</v>
      </c>
    </row>
    <row r="23" spans="1:7" s="257" customFormat="1" ht="13.5" customHeight="1">
      <c r="A23" s="953" t="s">
        <v>794</v>
      </c>
      <c r="B23" s="258" t="s">
        <v>1061</v>
      </c>
      <c r="C23" s="1355">
        <f ca="1">ROUND(IF('数据-取费表'!B22&lt;=1,C5*F22*'数据-取费表'!B23,C5*(POWER((1+F22),'数据-取费表'!B23)-1)),0)</f>
        <v>2004</v>
      </c>
      <c r="D23" s="281"/>
      <c r="E23" s="281"/>
      <c r="F23" s="282"/>
      <c r="G23" s="283" t="s">
        <v>108</v>
      </c>
    </row>
    <row r="24" spans="1:7" s="257" customFormat="1" ht="13.5" customHeight="1">
      <c r="A24" s="953" t="s">
        <v>792</v>
      </c>
      <c r="B24" s="258" t="s">
        <v>1056</v>
      </c>
      <c r="C24" s="1355">
        <f ca="1">ROUND(IF('数据-取费表'!B22&lt;=1,C19*F22*('数据-取费表'!B19/2+'数据-取费表'!B21),C19*(POWER((1+F22),('数据-取费表'!B19/2+'数据-取费表'!B21))-1)),0)</f>
        <v>16</v>
      </c>
      <c r="D24" s="281"/>
      <c r="E24" s="281"/>
      <c r="F24" s="282"/>
      <c r="G24" s="283" t="s">
        <v>109</v>
      </c>
    </row>
    <row r="25" spans="1:7" s="257" customFormat="1" ht="24">
      <c r="A25" s="953" t="s">
        <v>793</v>
      </c>
      <c r="B25" s="258" t="s">
        <v>1058</v>
      </c>
      <c r="C25" s="1355">
        <f ca="1">ROUND(IF('数据-取费表'!B22&lt;=1,C20*F22*'数据-取费表'!B23/2,C20*(POWER((1+F22),'数据-取费表'!B23/2)-1)),0)</f>
        <v>20</v>
      </c>
      <c r="D25" s="281"/>
      <c r="E25" s="284"/>
      <c r="F25" s="282"/>
      <c r="G25" s="285" t="s">
        <v>110</v>
      </c>
    </row>
    <row r="26" spans="1:7" s="257" customFormat="1">
      <c r="A26" s="953" t="s">
        <v>795</v>
      </c>
      <c r="B26" s="258" t="s">
        <v>1060</v>
      </c>
      <c r="C26" s="281">
        <f ca="1">ROUND(IF('数据-取费表'!B22&lt;=1,F21*F22*'数据-取费表'!B23/2,F21*(POWER((1+F22),'数据-取费表'!B23/2)-1)),4)</f>
        <v>1E-3</v>
      </c>
      <c r="D26" s="281"/>
      <c r="E26" s="284"/>
      <c r="F26" s="282"/>
      <c r="G26" s="286"/>
    </row>
    <row r="27" spans="1:7" s="257" customFormat="1" ht="24.75">
      <c r="A27" s="950" t="s">
        <v>787</v>
      </c>
      <c r="B27" s="287" t="s">
        <v>112</v>
      </c>
      <c r="C27" s="288">
        <f>C28</f>
        <v>4238</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4238</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29805</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3626</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3311</v>
      </c>
      <c r="D34" s="260"/>
      <c r="E34" s="263"/>
      <c r="F34" s="300">
        <f>IF('数据-取费表'!B24=0,1,'数据-取费表'!N16)</f>
        <v>1</v>
      </c>
      <c r="G34" s="262" t="s">
        <v>116</v>
      </c>
    </row>
    <row r="35" spans="1:7" ht="13.5" customHeight="1">
      <c r="A35" s="953" t="s">
        <v>796</v>
      </c>
      <c r="B35" s="258" t="s">
        <v>60</v>
      </c>
      <c r="C35" s="263">
        <f>ROUND(C34*F35,0)</f>
        <v>99</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166</v>
      </c>
      <c r="D37" s="260">
        <f>'数据-汇总表'!E3</f>
        <v>8276.64</v>
      </c>
      <c r="E37" s="292">
        <f>'数据-取费表'!B35</f>
        <v>200</v>
      </c>
      <c r="F37" s="302"/>
      <c r="G37" s="304" t="s">
        <v>119</v>
      </c>
    </row>
    <row r="38" spans="1:7" ht="13.5" customHeight="1">
      <c r="A38" s="953" t="s">
        <v>799</v>
      </c>
      <c r="B38" s="258" t="s">
        <v>63</v>
      </c>
      <c r="C38" s="263">
        <f>ROUND(C34*F38,0)</f>
        <v>50</v>
      </c>
      <c r="D38" s="263"/>
      <c r="E38" s="263"/>
      <c r="F38" s="302">
        <f>'数据-取费表'!B36</f>
        <v>1.4999999999999999E-2</v>
      </c>
      <c r="G38" s="262" t="s">
        <v>117</v>
      </c>
    </row>
    <row r="39" spans="1:7" s="257" customFormat="1" ht="13.5" customHeight="1">
      <c r="A39" s="950" t="s">
        <v>783</v>
      </c>
      <c r="B39" s="253" t="s">
        <v>104</v>
      </c>
      <c r="C39" s="275">
        <f>ROUND(C33*F20,0)</f>
        <v>73</v>
      </c>
      <c r="D39" s="275"/>
      <c r="E39" s="275"/>
      <c r="F39" s="276"/>
      <c r="G39" s="1289"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175</v>
      </c>
      <c r="D41" s="278">
        <f ca="1">C44</f>
        <v>1E-3</v>
      </c>
      <c r="E41" s="279" t="s">
        <v>129</v>
      </c>
      <c r="F41" s="280"/>
      <c r="G41" s="1289" t="str">
        <f>IF('数据-取费表'!B22&lt;=1,"单利计息","复利计息")</f>
        <v>复利计息</v>
      </c>
    </row>
    <row r="42" spans="1:7" ht="13.5" customHeight="1">
      <c r="A42" s="953" t="s">
        <v>794</v>
      </c>
      <c r="B42" s="258" t="s">
        <v>1061</v>
      </c>
      <c r="C42" s="281">
        <f ca="1">ROUND(IF('数据-取费表'!B22&lt;=1,C33*F22*'数据-取费表'!B21/2,C33*(POWER((1+F22),'数据-取费表'!B21/2)-1)),0)</f>
        <v>172</v>
      </c>
      <c r="D42" s="281"/>
      <c r="E42" s="281"/>
      <c r="F42" s="282"/>
      <c r="G42" s="3164" t="s">
        <v>121</v>
      </c>
    </row>
    <row r="43" spans="1:7" ht="13.5" customHeight="1">
      <c r="A43" s="953" t="s">
        <v>792</v>
      </c>
      <c r="B43" s="258" t="s">
        <v>1064</v>
      </c>
      <c r="C43" s="281">
        <f ca="1">ROUND(IF('数据-取费表'!B22&lt;=1,C39*F22*'数据-取费表'!B21/2,C39*(POWER((1+F22),'数据-取费表'!B21/2)-1)),0)</f>
        <v>3</v>
      </c>
      <c r="D43" s="281"/>
      <c r="E43" s="281"/>
      <c r="F43" s="282"/>
      <c r="G43" s="3165"/>
    </row>
    <row r="44" spans="1:7" ht="13.5" customHeight="1">
      <c r="A44" s="953" t="s">
        <v>793</v>
      </c>
      <c r="B44" s="258" t="s">
        <v>1066</v>
      </c>
      <c r="C44" s="281">
        <f ca="1">ROUND(IF('数据-取费表'!B22&lt;=1,C40*F22*'数据-取费表'!B21/2,C40*(POWER((1+F22),'数据-取费表'!B21/2)-1)),4)</f>
        <v>1E-3</v>
      </c>
      <c r="D44" s="281"/>
      <c r="E44" s="281"/>
      <c r="F44" s="282"/>
      <c r="G44" s="3166"/>
    </row>
    <row r="45" spans="1:7" s="257" customFormat="1" ht="13.5" customHeight="1">
      <c r="A45" s="950" t="s">
        <v>786</v>
      </c>
      <c r="B45" s="287" t="s">
        <v>112</v>
      </c>
      <c r="C45" s="288">
        <f>C46</f>
        <v>740</v>
      </c>
      <c r="D45" s="278">
        <f>C47</f>
        <v>4.0000000000000001E-3</v>
      </c>
      <c r="E45" s="279" t="s">
        <v>129</v>
      </c>
      <c r="F45" s="289"/>
      <c r="G45" s="290" t="s">
        <v>1072</v>
      </c>
    </row>
    <row r="46" spans="1:7" s="257" customFormat="1" ht="13.5" customHeight="1">
      <c r="A46" s="953" t="s">
        <v>794</v>
      </c>
      <c r="B46" s="291" t="s">
        <v>1065</v>
      </c>
      <c r="C46" s="292">
        <f>ROUND((C33+C39)*F27,0)</f>
        <v>740</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5006</v>
      </c>
      <c r="D49" s="275"/>
      <c r="E49" s="275"/>
      <c r="F49" s="307"/>
      <c r="G49" s="277" t="s">
        <v>1073</v>
      </c>
    </row>
    <row r="50" spans="1:7" s="301" customFormat="1" ht="24">
      <c r="A50" s="950" t="s">
        <v>789</v>
      </c>
      <c r="B50" s="253" t="s">
        <v>124</v>
      </c>
      <c r="C50" s="275"/>
      <c r="D50" s="275"/>
      <c r="E50" s="275"/>
      <c r="F50" s="307">
        <f>IF('数据-取费表'!B24=0,'数据-取费表'!N16,1)</f>
        <v>0.77500000000000002</v>
      </c>
      <c r="G50" s="290" t="s">
        <v>125</v>
      </c>
    </row>
    <row r="51" spans="1:7" ht="16.5" customHeight="1">
      <c r="A51" s="950" t="s">
        <v>790</v>
      </c>
      <c r="B51" s="253" t="s">
        <v>132</v>
      </c>
      <c r="C51" s="275">
        <f ca="1">ROUND(C49*F50,0)</f>
        <v>3880</v>
      </c>
      <c r="D51" s="275"/>
      <c r="E51" s="275"/>
      <c r="F51" s="307"/>
      <c r="G51" s="277" t="s">
        <v>64</v>
      </c>
    </row>
    <row r="52" spans="1:7" s="251" customFormat="1" ht="16.5" thickBot="1">
      <c r="A52" s="308" t="s">
        <v>65</v>
      </c>
      <c r="B52" s="309"/>
      <c r="C52" s="310">
        <f ca="1">C31+C51</f>
        <v>33685</v>
      </c>
      <c r="D52" s="309"/>
      <c r="E52" s="309"/>
      <c r="F52" s="309"/>
      <c r="G52" s="311"/>
    </row>
    <row r="55" spans="1:7" ht="15">
      <c r="B55" s="313" t="s">
        <v>66</v>
      </c>
      <c r="C55" s="314"/>
    </row>
    <row r="56" spans="1:7">
      <c r="B56" s="316" t="s">
        <v>67</v>
      </c>
      <c r="C56" s="317">
        <f ca="1">ROUND(C51/C52,3)</f>
        <v>0.115</v>
      </c>
    </row>
    <row r="57" spans="1:7">
      <c r="B57" s="316" t="s">
        <v>68</v>
      </c>
      <c r="C57" s="318">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00" t="s">
        <v>156</v>
      </c>
      <c r="B1" s="3300"/>
      <c r="C1" s="3300"/>
      <c r="D1" s="3300"/>
      <c r="E1" s="3300"/>
      <c r="F1" s="330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1" t="s">
        <v>169</v>
      </c>
      <c r="B2" s="3301"/>
      <c r="C2" s="3301"/>
      <c r="D2" s="3301"/>
      <c r="E2" s="3301"/>
      <c r="F2" s="330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0" t="s">
        <v>871</v>
      </c>
      <c r="B1" s="3300"/>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9" t="s">
        <v>878</v>
      </c>
      <c r="B5" s="840" t="s">
        <v>879</v>
      </c>
      <c r="C5" s="1062">
        <v>8.8999999999999996E-2</v>
      </c>
      <c r="D5" s="1062">
        <v>7.3999999999999996E-2</v>
      </c>
      <c r="E5" s="1062">
        <v>7.4999999999999997E-2</v>
      </c>
      <c r="F5" s="1063">
        <v>0.1</v>
      </c>
    </row>
    <row r="6" spans="1:6" ht="14.25" thickBot="1">
      <c r="A6" s="839" t="s">
        <v>212</v>
      </c>
      <c r="B6" s="833" t="s">
        <v>880</v>
      </c>
      <c r="C6" s="1064">
        <v>0.1</v>
      </c>
      <c r="D6" s="1064">
        <v>9.0999999999999998E-2</v>
      </c>
      <c r="E6" s="1064">
        <v>9.0999999999999998E-2</v>
      </c>
      <c r="F6" s="1065">
        <v>0.1</v>
      </c>
    </row>
    <row r="7" spans="1:6" ht="14.25" thickBot="1">
      <c r="A7" s="839" t="s">
        <v>212</v>
      </c>
      <c r="B7" s="843" t="s">
        <v>201</v>
      </c>
      <c r="C7" s="1064">
        <v>8.5999999999999993E-2</v>
      </c>
      <c r="D7" s="1064">
        <v>9.6000000000000002E-2</v>
      </c>
      <c r="E7" s="1064">
        <v>7.5999999999999998E-2</v>
      </c>
      <c r="F7" s="1065">
        <v>0.1</v>
      </c>
    </row>
    <row r="8" spans="1:6" ht="14.25" thickBot="1">
      <c r="A8" s="839" t="s">
        <v>212</v>
      </c>
      <c r="B8" s="833" t="s">
        <v>213</v>
      </c>
      <c r="C8" s="1064">
        <v>9.9000000000000005E-2</v>
      </c>
      <c r="D8" s="1064">
        <v>9.8000000000000004E-2</v>
      </c>
      <c r="E8" s="1064">
        <v>9.8000000000000004E-2</v>
      </c>
      <c r="F8" s="1065">
        <v>0.1</v>
      </c>
    </row>
    <row r="9" spans="1:6" ht="14.25" thickBot="1">
      <c r="A9" s="849" t="s">
        <v>212</v>
      </c>
      <c r="B9" s="844" t="s">
        <v>225</v>
      </c>
      <c r="C9" s="1066">
        <v>0.05</v>
      </c>
      <c r="D9" s="1074"/>
      <c r="E9" s="1074"/>
      <c r="F9" s="1075"/>
    </row>
    <row r="10" spans="1:6" ht="14.25" thickBot="1">
      <c r="A10" s="839" t="s">
        <v>269</v>
      </c>
      <c r="B10" s="840" t="s">
        <v>881</v>
      </c>
      <c r="C10" s="1062">
        <v>8.8999999999999996E-2</v>
      </c>
      <c r="D10" s="1062">
        <v>7.2999999999999995E-2</v>
      </c>
      <c r="E10" s="1062">
        <v>8.2000000000000003E-2</v>
      </c>
      <c r="F10" s="1063">
        <v>0.1</v>
      </c>
    </row>
    <row r="11" spans="1:6" ht="14.25" thickBot="1">
      <c r="A11" s="839" t="s">
        <v>269</v>
      </c>
      <c r="B11" s="843" t="s">
        <v>188</v>
      </c>
      <c r="C11" s="1064">
        <v>8.8999999999999996E-2</v>
      </c>
      <c r="D11" s="1064">
        <v>7.2999999999999995E-2</v>
      </c>
      <c r="E11" s="1064">
        <v>8.2000000000000003E-2</v>
      </c>
      <c r="F11" s="1065">
        <v>0.1</v>
      </c>
    </row>
    <row r="12" spans="1:6" ht="14.25" thickBot="1">
      <c r="A12" s="839" t="s">
        <v>269</v>
      </c>
      <c r="B12" s="843" t="s">
        <v>138</v>
      </c>
      <c r="C12" s="1064">
        <v>6.0999999999999999E-2</v>
      </c>
      <c r="D12" s="1064">
        <v>7.0999999999999994E-2</v>
      </c>
      <c r="E12" s="1064">
        <v>9.6000000000000002E-2</v>
      </c>
      <c r="F12" s="1065">
        <v>0.1</v>
      </c>
    </row>
    <row r="13" spans="1:6" ht="14.25" thickBot="1">
      <c r="A13" s="839" t="s">
        <v>269</v>
      </c>
      <c r="B13" s="843" t="s">
        <v>214</v>
      </c>
      <c r="C13" s="1064">
        <v>6.9000000000000006E-2</v>
      </c>
      <c r="D13" s="1064">
        <v>6.5000000000000002E-2</v>
      </c>
      <c r="E13" s="1064">
        <v>6.6000000000000003E-2</v>
      </c>
      <c r="F13" s="1065">
        <v>0.1</v>
      </c>
    </row>
    <row r="14" spans="1:6" ht="14.25" thickBot="1">
      <c r="A14" s="839" t="s">
        <v>269</v>
      </c>
      <c r="B14" s="843" t="s">
        <v>226</v>
      </c>
      <c r="C14" s="1064">
        <v>0.1</v>
      </c>
      <c r="D14" s="1064">
        <v>6.5000000000000002E-2</v>
      </c>
      <c r="E14" s="1064">
        <v>7.0000000000000007E-2</v>
      </c>
      <c r="F14" s="1065">
        <v>0.1</v>
      </c>
    </row>
    <row r="15" spans="1:6" ht="14.25" thickBot="1">
      <c r="A15" s="839" t="s">
        <v>269</v>
      </c>
      <c r="B15" s="843" t="s">
        <v>237</v>
      </c>
      <c r="C15" s="1064">
        <v>9.8000000000000004E-2</v>
      </c>
      <c r="D15" s="1064">
        <v>8.8999999999999996E-2</v>
      </c>
      <c r="E15" s="1064">
        <v>8.8999999999999996E-2</v>
      </c>
      <c r="F15" s="1065">
        <v>0.1</v>
      </c>
    </row>
    <row r="16" spans="1:6" ht="14.25" thickBot="1">
      <c r="A16" s="839" t="s">
        <v>269</v>
      </c>
      <c r="B16" s="843" t="s">
        <v>248</v>
      </c>
      <c r="C16" s="1064">
        <v>7.0000000000000007E-2</v>
      </c>
      <c r="D16" s="1064">
        <v>9.2999999999999999E-2</v>
      </c>
      <c r="E16" s="1064">
        <v>9.6000000000000002E-2</v>
      </c>
      <c r="F16" s="1065">
        <v>0.1</v>
      </c>
    </row>
    <row r="17" spans="1:6" ht="14.25" thickBot="1">
      <c r="A17" s="839" t="s">
        <v>269</v>
      </c>
      <c r="B17" s="843" t="s">
        <v>259</v>
      </c>
      <c r="C17" s="1064">
        <v>9.5000000000000001E-2</v>
      </c>
      <c r="D17" s="1064">
        <v>0.1</v>
      </c>
      <c r="E17" s="1064">
        <v>0.1</v>
      </c>
      <c r="F17" s="1076"/>
    </row>
    <row r="18" spans="1:6" ht="14.25" thickBot="1">
      <c r="A18" s="839" t="s">
        <v>269</v>
      </c>
      <c r="B18" s="843" t="s">
        <v>271</v>
      </c>
      <c r="C18" s="1064">
        <v>7.3999999999999996E-2</v>
      </c>
      <c r="D18" s="1064">
        <v>9.9000000000000005E-2</v>
      </c>
      <c r="E18" s="1064">
        <v>0.1</v>
      </c>
      <c r="F18" s="1076"/>
    </row>
    <row r="19" spans="1:6" ht="14.25" thickBot="1">
      <c r="A19" s="839" t="s">
        <v>269</v>
      </c>
      <c r="B19" s="843" t="s">
        <v>281</v>
      </c>
      <c r="C19" s="1064">
        <v>9.9000000000000005E-2</v>
      </c>
      <c r="D19" s="1064">
        <v>7.5999999999999998E-2</v>
      </c>
      <c r="E19" s="1064">
        <v>8.6999999999999994E-2</v>
      </c>
      <c r="F19" s="1076"/>
    </row>
    <row r="20" spans="1:6" ht="14.25" thickBot="1">
      <c r="A20" s="839" t="s">
        <v>269</v>
      </c>
      <c r="B20" s="843" t="s">
        <v>291</v>
      </c>
      <c r="C20" s="1064">
        <v>9.8000000000000004E-2</v>
      </c>
      <c r="D20" s="1064">
        <v>8.5000000000000006E-2</v>
      </c>
      <c r="E20" s="1064">
        <v>8.2000000000000003E-2</v>
      </c>
      <c r="F20" s="1076"/>
    </row>
    <row r="21" spans="1:6" ht="14.25" thickBot="1">
      <c r="A21" s="839" t="s">
        <v>269</v>
      </c>
      <c r="B21" s="843" t="s">
        <v>301</v>
      </c>
      <c r="C21" s="1064">
        <v>6.6000000000000003E-2</v>
      </c>
      <c r="D21" s="1064">
        <v>6.4000000000000001E-2</v>
      </c>
      <c r="E21" s="1064">
        <v>6.5000000000000002E-2</v>
      </c>
      <c r="F21" s="1076"/>
    </row>
    <row r="22" spans="1:6" ht="14.25" thickBot="1">
      <c r="A22" s="839" t="s">
        <v>269</v>
      </c>
      <c r="B22" s="843" t="s">
        <v>882</v>
      </c>
      <c r="C22" s="1064">
        <v>0.08</v>
      </c>
      <c r="D22" s="1064">
        <v>9.8000000000000004E-2</v>
      </c>
      <c r="E22" s="1064">
        <v>9.8000000000000004E-2</v>
      </c>
      <c r="F22" s="1076"/>
    </row>
    <row r="23" spans="1:6" ht="14.25" thickBot="1">
      <c r="A23" s="839" t="s">
        <v>269</v>
      </c>
      <c r="B23" s="843" t="s">
        <v>322</v>
      </c>
      <c r="C23" s="1064">
        <v>9.9000000000000005E-2</v>
      </c>
      <c r="D23" s="1064">
        <v>9.8000000000000004E-2</v>
      </c>
      <c r="E23" s="1064">
        <v>9.0999999999999998E-2</v>
      </c>
      <c r="F23" s="1076"/>
    </row>
    <row r="24" spans="1:6" ht="14.25" thickBot="1">
      <c r="A24" s="839" t="s">
        <v>269</v>
      </c>
      <c r="B24" s="843" t="s">
        <v>333</v>
      </c>
      <c r="C24" s="1064">
        <v>8.8999999999999996E-2</v>
      </c>
      <c r="D24" s="1064">
        <v>9.7000000000000003E-2</v>
      </c>
      <c r="E24" s="1064">
        <v>7.0000000000000007E-2</v>
      </c>
      <c r="F24" s="1076"/>
    </row>
    <row r="25" spans="1:6" ht="14.25" thickBot="1">
      <c r="A25" s="839" t="s">
        <v>269</v>
      </c>
      <c r="B25" s="843" t="s">
        <v>343</v>
      </c>
      <c r="C25" s="1064">
        <v>8.8999999999999996E-2</v>
      </c>
      <c r="D25" s="1064">
        <v>0.1</v>
      </c>
      <c r="E25" s="1064">
        <v>8.1000000000000003E-2</v>
      </c>
      <c r="F25" s="1076"/>
    </row>
    <row r="26" spans="1:6" ht="14.25" thickBot="1">
      <c r="A26" s="839" t="s">
        <v>269</v>
      </c>
      <c r="B26" s="843" t="s">
        <v>353</v>
      </c>
      <c r="C26" s="1077"/>
      <c r="D26" s="1064">
        <v>9.6000000000000002E-2</v>
      </c>
      <c r="E26" s="1064">
        <v>9.2999999999999999E-2</v>
      </c>
      <c r="F26" s="1076"/>
    </row>
    <row r="27" spans="1:6" ht="14.25" thickBot="1">
      <c r="A27" s="839" t="s">
        <v>269</v>
      </c>
      <c r="B27" s="843" t="s">
        <v>363</v>
      </c>
      <c r="C27" s="1077"/>
      <c r="D27" s="1064">
        <v>7.5999999999999998E-2</v>
      </c>
      <c r="E27" s="1064">
        <v>9.1999999999999998E-2</v>
      </c>
      <c r="F27" s="1076"/>
    </row>
    <row r="28" spans="1:6" ht="14.25" thickBot="1">
      <c r="A28" s="849" t="s">
        <v>269</v>
      </c>
      <c r="B28" s="844" t="s">
        <v>373</v>
      </c>
      <c r="C28" s="1074"/>
      <c r="D28" s="1066">
        <v>7.5999999999999998E-2</v>
      </c>
      <c r="E28" s="1066">
        <v>9.1999999999999998E-2</v>
      </c>
      <c r="F28" s="1075"/>
    </row>
    <row r="29" spans="1:6" ht="14.25" thickBot="1">
      <c r="A29" s="839" t="s">
        <v>442</v>
      </c>
      <c r="B29" s="840" t="s">
        <v>883</v>
      </c>
      <c r="C29" s="1062">
        <v>6.4000000000000001E-2</v>
      </c>
      <c r="D29" s="1062">
        <v>6.5000000000000002E-2</v>
      </c>
      <c r="E29" s="1062">
        <v>6.9000000000000006E-2</v>
      </c>
      <c r="F29" s="1063">
        <v>0.1</v>
      </c>
    </row>
    <row r="30" spans="1:6" ht="14.25" thickBot="1">
      <c r="A30" s="839" t="s">
        <v>442</v>
      </c>
      <c r="B30" s="843" t="s">
        <v>189</v>
      </c>
      <c r="C30" s="1064">
        <v>6.4000000000000001E-2</v>
      </c>
      <c r="D30" s="1064">
        <v>9.9000000000000005E-2</v>
      </c>
      <c r="E30" s="1064">
        <v>0.1</v>
      </c>
      <c r="F30" s="1065">
        <v>0.1</v>
      </c>
    </row>
    <row r="31" spans="1:6" ht="14.25" thickBot="1">
      <c r="A31" s="839" t="s">
        <v>442</v>
      </c>
      <c r="B31" s="843" t="s">
        <v>202</v>
      </c>
      <c r="C31" s="1064">
        <v>0.1</v>
      </c>
      <c r="D31" s="1064">
        <v>9.5000000000000001E-2</v>
      </c>
      <c r="E31" s="1064">
        <v>8.8999999999999996E-2</v>
      </c>
      <c r="F31" s="1065">
        <v>0.1</v>
      </c>
    </row>
    <row r="32" spans="1:6" ht="14.25" thickBot="1">
      <c r="A32" s="839" t="s">
        <v>442</v>
      </c>
      <c r="B32" s="843" t="s">
        <v>215</v>
      </c>
      <c r="C32" s="1064">
        <v>0.05</v>
      </c>
      <c r="D32" s="1064">
        <v>0.05</v>
      </c>
      <c r="E32" s="1064">
        <v>8.7999999999999995E-2</v>
      </c>
      <c r="F32" s="1065">
        <v>0.1</v>
      </c>
    </row>
    <row r="33" spans="1:6" ht="14.25" thickBot="1">
      <c r="A33" s="839" t="s">
        <v>442</v>
      </c>
      <c r="B33" s="843" t="s">
        <v>227</v>
      </c>
      <c r="C33" s="1064">
        <v>7.4999999999999997E-2</v>
      </c>
      <c r="D33" s="1064">
        <v>9.4E-2</v>
      </c>
      <c r="E33" s="1064">
        <v>9.7000000000000003E-2</v>
      </c>
      <c r="F33" s="1065">
        <v>0.1</v>
      </c>
    </row>
    <row r="34" spans="1:6" ht="14.25" thickBot="1">
      <c r="A34" s="839" t="s">
        <v>442</v>
      </c>
      <c r="B34" s="843" t="s">
        <v>238</v>
      </c>
      <c r="C34" s="1064">
        <v>9.8000000000000004E-2</v>
      </c>
      <c r="D34" s="1064">
        <v>8.5999999999999993E-2</v>
      </c>
      <c r="E34" s="1064">
        <v>9.7000000000000003E-2</v>
      </c>
      <c r="F34" s="1065">
        <v>0.1</v>
      </c>
    </row>
    <row r="35" spans="1:6" ht="14.25" thickBot="1">
      <c r="A35" s="839" t="s">
        <v>442</v>
      </c>
      <c r="B35" s="843" t="s">
        <v>249</v>
      </c>
      <c r="C35" s="1064">
        <v>5.8999999999999997E-2</v>
      </c>
      <c r="D35" s="1064">
        <v>6.5000000000000002E-2</v>
      </c>
      <c r="E35" s="1064">
        <v>7.0000000000000007E-2</v>
      </c>
      <c r="F35" s="1065">
        <v>0.1</v>
      </c>
    </row>
    <row r="36" spans="1:6" ht="14.25" thickBot="1">
      <c r="A36" s="839" t="s">
        <v>442</v>
      </c>
      <c r="B36" s="843" t="s">
        <v>260</v>
      </c>
      <c r="C36" s="1064">
        <v>6.3E-2</v>
      </c>
      <c r="D36" s="1064">
        <v>0.1</v>
      </c>
      <c r="E36" s="1064">
        <v>0.1</v>
      </c>
      <c r="F36" s="1065">
        <v>0.1</v>
      </c>
    </row>
    <row r="37" spans="1:6" ht="14.25" thickBot="1">
      <c r="A37" s="839" t="s">
        <v>442</v>
      </c>
      <c r="B37" s="843" t="s">
        <v>272</v>
      </c>
      <c r="C37" s="1064">
        <v>7.3999999999999996E-2</v>
      </c>
      <c r="D37" s="1064">
        <v>0.1</v>
      </c>
      <c r="E37" s="1064">
        <v>0.1</v>
      </c>
      <c r="F37" s="1065">
        <v>0.1</v>
      </c>
    </row>
    <row r="38" spans="1:6" ht="14.25" thickBot="1">
      <c r="A38" s="839" t="s">
        <v>442</v>
      </c>
      <c r="B38" s="843" t="s">
        <v>282</v>
      </c>
      <c r="C38" s="1064">
        <v>0.1</v>
      </c>
      <c r="D38" s="1064">
        <v>9.6000000000000002E-2</v>
      </c>
      <c r="E38" s="1064">
        <v>9.6000000000000002E-2</v>
      </c>
      <c r="F38" s="1076"/>
    </row>
    <row r="39" spans="1:6" ht="14.25" thickBot="1">
      <c r="A39" s="839" t="s">
        <v>442</v>
      </c>
      <c r="B39" s="843" t="s">
        <v>292</v>
      </c>
      <c r="C39" s="1064">
        <v>0.1</v>
      </c>
      <c r="D39" s="1064">
        <v>9.6000000000000002E-2</v>
      </c>
      <c r="E39" s="1064">
        <v>9.6000000000000002E-2</v>
      </c>
      <c r="F39" s="1076"/>
    </row>
    <row r="40" spans="1:6" ht="14.25" thickBot="1">
      <c r="A40" s="839" t="s">
        <v>442</v>
      </c>
      <c r="B40" s="843" t="s">
        <v>302</v>
      </c>
      <c r="C40" s="1064">
        <v>9.6000000000000002E-2</v>
      </c>
      <c r="D40" s="1064">
        <v>0.1</v>
      </c>
      <c r="E40" s="1064">
        <v>9.9000000000000005E-2</v>
      </c>
      <c r="F40" s="1076"/>
    </row>
    <row r="41" spans="1:6" ht="14.25" thickBot="1">
      <c r="A41" s="839" t="s">
        <v>442</v>
      </c>
      <c r="B41" s="843" t="s">
        <v>312</v>
      </c>
      <c r="C41" s="1064">
        <v>9.6000000000000002E-2</v>
      </c>
      <c r="D41" s="1064">
        <v>9.8000000000000004E-2</v>
      </c>
      <c r="E41" s="1064">
        <v>9.8000000000000004E-2</v>
      </c>
      <c r="F41" s="1076"/>
    </row>
    <row r="42" spans="1:6" ht="14.25" thickBot="1">
      <c r="A42" s="839" t="s">
        <v>442</v>
      </c>
      <c r="B42" s="843" t="s">
        <v>323</v>
      </c>
      <c r="C42" s="1064">
        <v>0.1</v>
      </c>
      <c r="D42" s="1064">
        <v>8.7999999999999995E-2</v>
      </c>
      <c r="E42" s="1064">
        <v>0.1</v>
      </c>
      <c r="F42" s="1076"/>
    </row>
    <row r="43" spans="1:6" ht="14.25" thickBot="1">
      <c r="A43" s="839" t="s">
        <v>442</v>
      </c>
      <c r="B43" s="843" t="s">
        <v>334</v>
      </c>
      <c r="C43" s="1064">
        <v>9.8000000000000004E-2</v>
      </c>
      <c r="D43" s="1064">
        <v>9.7000000000000003E-2</v>
      </c>
      <c r="E43" s="1064">
        <v>9.6000000000000002E-2</v>
      </c>
      <c r="F43" s="1076"/>
    </row>
    <row r="44" spans="1:6" ht="14.25" thickBot="1">
      <c r="A44" s="839" t="s">
        <v>442</v>
      </c>
      <c r="B44" s="843" t="s">
        <v>344</v>
      </c>
      <c r="C44" s="1064">
        <v>8.5999999999999993E-2</v>
      </c>
      <c r="D44" s="1064">
        <v>7.9000000000000001E-2</v>
      </c>
      <c r="E44" s="1064">
        <v>7.0999999999999994E-2</v>
      </c>
      <c r="F44" s="1076"/>
    </row>
    <row r="45" spans="1:6" ht="14.25" thickBot="1">
      <c r="A45" s="839" t="s">
        <v>442</v>
      </c>
      <c r="B45" s="843" t="s">
        <v>354</v>
      </c>
      <c r="C45" s="1064">
        <v>9.8000000000000004E-2</v>
      </c>
      <c r="D45" s="1064">
        <v>9.6000000000000002E-2</v>
      </c>
      <c r="E45" s="1064">
        <v>9.6000000000000002E-2</v>
      </c>
      <c r="F45" s="1076"/>
    </row>
    <row r="46" spans="1:6" ht="14.25" thickBot="1">
      <c r="A46" s="839" t="s">
        <v>442</v>
      </c>
      <c r="B46" s="843" t="s">
        <v>364</v>
      </c>
      <c r="C46" s="1064">
        <v>8.5999999999999993E-2</v>
      </c>
      <c r="D46" s="1064">
        <v>9.8000000000000004E-2</v>
      </c>
      <c r="E46" s="1064">
        <v>8.7999999999999995E-2</v>
      </c>
      <c r="F46" s="1076"/>
    </row>
    <row r="47" spans="1:6" ht="14.25" thickBot="1">
      <c r="A47" s="839" t="s">
        <v>442</v>
      </c>
      <c r="B47" s="843" t="s">
        <v>374</v>
      </c>
      <c r="C47" s="1064">
        <v>9.6000000000000002E-2</v>
      </c>
      <c r="D47" s="1077"/>
      <c r="E47" s="1064">
        <v>6.9000000000000006E-2</v>
      </c>
      <c r="F47" s="1076"/>
    </row>
    <row r="48" spans="1:6" ht="14.25" thickBot="1">
      <c r="A48" s="849" t="s">
        <v>442</v>
      </c>
      <c r="B48" s="844" t="s">
        <v>383</v>
      </c>
      <c r="C48" s="1066">
        <v>9.8000000000000004E-2</v>
      </c>
      <c r="D48" s="1074"/>
      <c r="E48" s="1066">
        <v>9.5000000000000001E-2</v>
      </c>
      <c r="F48" s="1075"/>
    </row>
    <row r="49" spans="1:6" ht="14.25" thickBot="1">
      <c r="A49" s="839" t="s">
        <v>137</v>
      </c>
      <c r="B49" s="840" t="s">
        <v>884</v>
      </c>
      <c r="C49" s="1062">
        <v>9.7000000000000003E-2</v>
      </c>
      <c r="D49" s="1062">
        <v>9.5000000000000001E-2</v>
      </c>
      <c r="E49" s="1062">
        <v>9.7000000000000003E-2</v>
      </c>
      <c r="F49" s="1063">
        <v>0.1</v>
      </c>
    </row>
    <row r="50" spans="1:6" ht="14.25" thickBot="1">
      <c r="A50" s="839" t="s">
        <v>137</v>
      </c>
      <c r="B50" s="833" t="s">
        <v>190</v>
      </c>
      <c r="C50" s="1064">
        <v>7.4999999999999997E-2</v>
      </c>
      <c r="D50" s="1064">
        <v>9.5000000000000001E-2</v>
      </c>
      <c r="E50" s="1064">
        <v>0.1</v>
      </c>
      <c r="F50" s="1065">
        <v>0.1</v>
      </c>
    </row>
    <row r="51" spans="1:6" ht="14.25" thickBot="1">
      <c r="A51" s="839" t="s">
        <v>137</v>
      </c>
      <c r="B51" s="833" t="s">
        <v>203</v>
      </c>
      <c r="C51" s="1064">
        <v>9.8000000000000004E-2</v>
      </c>
      <c r="D51" s="1064">
        <v>8.8999999999999996E-2</v>
      </c>
      <c r="E51" s="1064">
        <v>0.1</v>
      </c>
      <c r="F51" s="1065">
        <v>0.1</v>
      </c>
    </row>
    <row r="52" spans="1:6" ht="14.25" thickBot="1">
      <c r="A52" s="839" t="s">
        <v>137</v>
      </c>
      <c r="B52" s="833" t="s">
        <v>216</v>
      </c>
      <c r="C52" s="1064">
        <v>9.8000000000000004E-2</v>
      </c>
      <c r="D52" s="1064">
        <v>9.7000000000000003E-2</v>
      </c>
      <c r="E52" s="1064">
        <v>8.1000000000000003E-2</v>
      </c>
      <c r="F52" s="1065">
        <v>0.1</v>
      </c>
    </row>
    <row r="53" spans="1:6" ht="14.25" thickBot="1">
      <c r="A53" s="839" t="s">
        <v>137</v>
      </c>
      <c r="B53" s="833" t="s">
        <v>228</v>
      </c>
      <c r="C53" s="1064">
        <v>9.7000000000000003E-2</v>
      </c>
      <c r="D53" s="1064">
        <v>7.5999999999999998E-2</v>
      </c>
      <c r="E53" s="1064">
        <v>7.0999999999999994E-2</v>
      </c>
      <c r="F53" s="1065">
        <v>0.1</v>
      </c>
    </row>
    <row r="54" spans="1:6" ht="14.25" thickBot="1">
      <c r="A54" s="839" t="s">
        <v>137</v>
      </c>
      <c r="B54" s="833" t="s">
        <v>239</v>
      </c>
      <c r="C54" s="1064">
        <v>7.5999999999999998E-2</v>
      </c>
      <c r="D54" s="1064">
        <v>0.1</v>
      </c>
      <c r="E54" s="1064">
        <v>9.9000000000000005E-2</v>
      </c>
      <c r="F54" s="1065">
        <v>0.1</v>
      </c>
    </row>
    <row r="55" spans="1:6" ht="14.25" thickBot="1">
      <c r="A55" s="839" t="s">
        <v>137</v>
      </c>
      <c r="B55" s="833" t="s">
        <v>250</v>
      </c>
      <c r="C55" s="1064">
        <v>0.1</v>
      </c>
      <c r="D55" s="1064">
        <v>0.1</v>
      </c>
      <c r="E55" s="1064">
        <v>9.6000000000000002E-2</v>
      </c>
      <c r="F55" s="1065">
        <v>0.1</v>
      </c>
    </row>
    <row r="56" spans="1:6" ht="14.25" thickBot="1">
      <c r="A56" s="839" t="s">
        <v>137</v>
      </c>
      <c r="B56" s="833" t="s">
        <v>261</v>
      </c>
      <c r="C56" s="1064">
        <v>0.1</v>
      </c>
      <c r="D56" s="1064">
        <v>9.6000000000000002E-2</v>
      </c>
      <c r="E56" s="1064">
        <v>5.1999999999999998E-2</v>
      </c>
      <c r="F56" s="1065">
        <v>0.1</v>
      </c>
    </row>
    <row r="57" spans="1:6" ht="14.25" thickBot="1">
      <c r="A57" s="839" t="s">
        <v>137</v>
      </c>
      <c r="B57" s="833" t="s">
        <v>273</v>
      </c>
      <c r="C57" s="1064">
        <v>9.7000000000000003E-2</v>
      </c>
      <c r="D57" s="1064">
        <v>9.6000000000000002E-2</v>
      </c>
      <c r="E57" s="1064">
        <v>9.6000000000000002E-2</v>
      </c>
      <c r="F57" s="1065">
        <v>0.1</v>
      </c>
    </row>
    <row r="58" spans="1:6" ht="14.25" thickBot="1">
      <c r="A58" s="839" t="s">
        <v>137</v>
      </c>
      <c r="B58" s="833" t="s">
        <v>283</v>
      </c>
      <c r="C58" s="1064">
        <v>9.6000000000000002E-2</v>
      </c>
      <c r="D58" s="1064">
        <v>9.9000000000000005E-2</v>
      </c>
      <c r="E58" s="1064">
        <v>9.6000000000000002E-2</v>
      </c>
      <c r="F58" s="1065">
        <v>0.1</v>
      </c>
    </row>
    <row r="59" spans="1:6" ht="14.25" thickBot="1">
      <c r="A59" s="839" t="s">
        <v>137</v>
      </c>
      <c r="B59" s="833" t="s">
        <v>293</v>
      </c>
      <c r="C59" s="1064">
        <v>7.1999999999999995E-2</v>
      </c>
      <c r="D59" s="1064">
        <v>9.6000000000000002E-2</v>
      </c>
      <c r="E59" s="1064">
        <v>7.0999999999999994E-2</v>
      </c>
      <c r="F59" s="1065">
        <v>0.1</v>
      </c>
    </row>
    <row r="60" spans="1:6" ht="14.25" thickBot="1">
      <c r="A60" s="839" t="s">
        <v>137</v>
      </c>
      <c r="B60" s="833" t="s">
        <v>303</v>
      </c>
      <c r="C60" s="1064">
        <v>9.6000000000000002E-2</v>
      </c>
      <c r="D60" s="1064">
        <v>8.8999999999999996E-2</v>
      </c>
      <c r="E60" s="1064">
        <v>9.6000000000000002E-2</v>
      </c>
      <c r="F60" s="1065">
        <v>0.1</v>
      </c>
    </row>
    <row r="61" spans="1:6" ht="14.25" thickBot="1">
      <c r="A61" s="839" t="s">
        <v>137</v>
      </c>
      <c r="B61" s="833" t="s">
        <v>313</v>
      </c>
      <c r="C61" s="1064">
        <v>8.8999999999999996E-2</v>
      </c>
      <c r="D61" s="1064">
        <v>9.8000000000000004E-2</v>
      </c>
      <c r="E61" s="1064">
        <v>8.7999999999999995E-2</v>
      </c>
      <c r="F61" s="1076"/>
    </row>
    <row r="62" spans="1:6" ht="14.25" thickBot="1">
      <c r="A62" s="839" t="s">
        <v>137</v>
      </c>
      <c r="B62" s="833" t="s">
        <v>324</v>
      </c>
      <c r="C62" s="1064">
        <v>9.8000000000000004E-2</v>
      </c>
      <c r="D62" s="1064">
        <v>9.2999999999999999E-2</v>
      </c>
      <c r="E62" s="1064">
        <v>9.7000000000000003E-2</v>
      </c>
      <c r="F62" s="1076"/>
    </row>
    <row r="63" spans="1:6" ht="14.25" thickBot="1">
      <c r="A63" s="839" t="s">
        <v>137</v>
      </c>
      <c r="B63" s="833" t="s">
        <v>335</v>
      </c>
      <c r="C63" s="1064">
        <v>9.6000000000000002E-2</v>
      </c>
      <c r="D63" s="1064">
        <v>9.8000000000000004E-2</v>
      </c>
      <c r="E63" s="1064">
        <v>0.09</v>
      </c>
      <c r="F63" s="1076"/>
    </row>
    <row r="64" spans="1:6" ht="14.25" thickBot="1">
      <c r="A64" s="839" t="s">
        <v>137</v>
      </c>
      <c r="B64" s="833" t="s">
        <v>345</v>
      </c>
      <c r="C64" s="1064">
        <v>9.9000000000000005E-2</v>
      </c>
      <c r="D64" s="1064">
        <v>9.7000000000000003E-2</v>
      </c>
      <c r="E64" s="1064">
        <v>9.9000000000000005E-2</v>
      </c>
      <c r="F64" s="1076"/>
    </row>
    <row r="65" spans="1:6" ht="14.25" thickBot="1">
      <c r="A65" s="839" t="s">
        <v>137</v>
      </c>
      <c r="B65" s="833" t="s">
        <v>355</v>
      </c>
      <c r="C65" s="1064">
        <v>9.8000000000000004E-2</v>
      </c>
      <c r="D65" s="1064">
        <v>9.6000000000000002E-2</v>
      </c>
      <c r="E65" s="1064">
        <v>9.6000000000000002E-2</v>
      </c>
      <c r="F65" s="1076"/>
    </row>
    <row r="66" spans="1:6" ht="14.25" thickBot="1">
      <c r="A66" s="839" t="s">
        <v>137</v>
      </c>
      <c r="B66" s="833" t="s">
        <v>365</v>
      </c>
      <c r="C66" s="1064">
        <v>9.6000000000000002E-2</v>
      </c>
      <c r="D66" s="1064">
        <v>9.1999999999999998E-2</v>
      </c>
      <c r="E66" s="1064">
        <v>9.6000000000000002E-2</v>
      </c>
      <c r="F66" s="1076"/>
    </row>
    <row r="67" spans="1:6" ht="14.25" thickBot="1">
      <c r="A67" s="839" t="s">
        <v>137</v>
      </c>
      <c r="B67" s="833" t="s">
        <v>375</v>
      </c>
      <c r="C67" s="1064">
        <v>9.4E-2</v>
      </c>
      <c r="D67" s="1064">
        <v>0.1</v>
      </c>
      <c r="E67" s="1064">
        <v>8.7999999999999995E-2</v>
      </c>
      <c r="F67" s="1076"/>
    </row>
    <row r="68" spans="1:6" ht="14.25" thickBot="1">
      <c r="A68" s="839" t="s">
        <v>137</v>
      </c>
      <c r="B68" s="833" t="s">
        <v>384</v>
      </c>
      <c r="C68" s="1064">
        <v>0.1</v>
      </c>
      <c r="D68" s="1064">
        <v>8.7999999999999995E-2</v>
      </c>
      <c r="E68" s="1064">
        <v>9.7000000000000003E-2</v>
      </c>
      <c r="F68" s="1076"/>
    </row>
    <row r="69" spans="1:6" ht="14.25" thickBot="1">
      <c r="A69" s="839" t="s">
        <v>137</v>
      </c>
      <c r="B69" s="833" t="s">
        <v>393</v>
      </c>
      <c r="C69" s="1064">
        <v>6.4000000000000001E-2</v>
      </c>
      <c r="D69" s="1064">
        <v>0.1</v>
      </c>
      <c r="E69" s="1064">
        <v>0.1</v>
      </c>
      <c r="F69" s="1076"/>
    </row>
    <row r="70" spans="1:6" ht="14.25" thickBot="1">
      <c r="A70" s="839" t="s">
        <v>137</v>
      </c>
      <c r="B70" s="833" t="s">
        <v>401</v>
      </c>
      <c r="C70" s="1064">
        <v>9.0999999999999998E-2</v>
      </c>
      <c r="D70" s="1077"/>
      <c r="E70" s="1077"/>
      <c r="F70" s="1076"/>
    </row>
    <row r="71" spans="1:6" ht="14.25" thickBot="1">
      <c r="A71" s="839" t="s">
        <v>137</v>
      </c>
      <c r="B71" s="833" t="s">
        <v>408</v>
      </c>
      <c r="C71" s="1064">
        <v>0.1</v>
      </c>
      <c r="D71" s="1077"/>
      <c r="E71" s="1077"/>
      <c r="F71" s="1076"/>
    </row>
    <row r="72" spans="1:6" ht="14.25" thickBot="1">
      <c r="A72" s="839" t="s">
        <v>137</v>
      </c>
      <c r="B72" s="833" t="s">
        <v>885</v>
      </c>
      <c r="C72" s="1077"/>
      <c r="D72" s="1077"/>
      <c r="E72" s="1077"/>
      <c r="F72" s="1065">
        <v>0.05</v>
      </c>
    </row>
    <row r="73" spans="1:6" ht="14.25" thickBot="1">
      <c r="A73" s="839" t="s">
        <v>137</v>
      </c>
      <c r="B73" s="833" t="s">
        <v>886</v>
      </c>
      <c r="C73" s="1077"/>
      <c r="D73" s="1077"/>
      <c r="E73" s="1077"/>
      <c r="F73" s="1065">
        <v>0.05</v>
      </c>
    </row>
    <row r="74" spans="1:6" ht="14.25" thickBot="1">
      <c r="A74" s="839" t="s">
        <v>137</v>
      </c>
      <c r="B74" s="833" t="s">
        <v>887</v>
      </c>
      <c r="C74" s="1077"/>
      <c r="D74" s="1077"/>
      <c r="E74" s="1077"/>
      <c r="F74" s="1065">
        <v>0.05</v>
      </c>
    </row>
    <row r="75" spans="1:6" ht="14.25" thickBot="1">
      <c r="A75" s="849" t="s">
        <v>137</v>
      </c>
      <c r="B75" s="845" t="s">
        <v>888</v>
      </c>
      <c r="C75" s="1074"/>
      <c r="D75" s="1074"/>
      <c r="E75" s="1074"/>
      <c r="F75" s="1067">
        <v>0.05</v>
      </c>
    </row>
    <row r="76" spans="1:6" ht="14.25" thickBot="1">
      <c r="A76" s="839" t="s">
        <v>523</v>
      </c>
      <c r="B76" s="840" t="s">
        <v>889</v>
      </c>
      <c r="C76" s="1062">
        <v>0.1</v>
      </c>
      <c r="D76" s="1062">
        <v>0.1</v>
      </c>
      <c r="E76" s="1062">
        <v>0.1</v>
      </c>
      <c r="F76" s="1063">
        <v>0.1</v>
      </c>
    </row>
    <row r="77" spans="1:6" ht="14.25" thickBot="1">
      <c r="A77" s="839" t="s">
        <v>523</v>
      </c>
      <c r="B77" s="833" t="s">
        <v>191</v>
      </c>
      <c r="C77" s="1064">
        <v>8.7999999999999995E-2</v>
      </c>
      <c r="D77" s="1064">
        <v>8.6999999999999994E-2</v>
      </c>
      <c r="E77" s="1064">
        <v>7.9000000000000001E-2</v>
      </c>
      <c r="F77" s="1065">
        <v>0.1</v>
      </c>
    </row>
    <row r="78" spans="1:6" ht="14.25" thickBot="1">
      <c r="A78" s="839" t="s">
        <v>523</v>
      </c>
      <c r="B78" s="833" t="s">
        <v>204</v>
      </c>
      <c r="C78" s="1064">
        <v>8.6999999999999994E-2</v>
      </c>
      <c r="D78" s="1064">
        <v>8.4000000000000005E-2</v>
      </c>
      <c r="E78" s="1064">
        <v>9.6000000000000002E-2</v>
      </c>
      <c r="F78" s="1065">
        <v>0.1</v>
      </c>
    </row>
    <row r="79" spans="1:6" ht="14.25" thickBot="1">
      <c r="A79" s="839" t="s">
        <v>523</v>
      </c>
      <c r="B79" s="833" t="s">
        <v>217</v>
      </c>
      <c r="C79" s="1064">
        <v>9.8000000000000004E-2</v>
      </c>
      <c r="D79" s="1064">
        <v>9.8000000000000004E-2</v>
      </c>
      <c r="E79" s="1064">
        <v>9.0999999999999998E-2</v>
      </c>
      <c r="F79" s="1065">
        <v>0.1</v>
      </c>
    </row>
    <row r="80" spans="1:6" ht="14.25" thickBot="1">
      <c r="A80" s="839" t="s">
        <v>523</v>
      </c>
      <c r="B80" s="833" t="s">
        <v>229</v>
      </c>
      <c r="C80" s="1064">
        <v>9.6000000000000002E-2</v>
      </c>
      <c r="D80" s="1064">
        <v>9.6000000000000002E-2</v>
      </c>
      <c r="E80" s="1064">
        <v>0.1</v>
      </c>
      <c r="F80" s="1065">
        <v>0.1</v>
      </c>
    </row>
    <row r="81" spans="1:6" ht="14.25" thickBot="1">
      <c r="A81" s="839" t="s">
        <v>523</v>
      </c>
      <c r="B81" s="833" t="s">
        <v>240</v>
      </c>
      <c r="C81" s="1064">
        <v>9.9000000000000005E-2</v>
      </c>
      <c r="D81" s="1064">
        <v>9.9000000000000005E-2</v>
      </c>
      <c r="E81" s="1064">
        <v>9.8000000000000004E-2</v>
      </c>
      <c r="F81" s="1065">
        <v>0.1</v>
      </c>
    </row>
    <row r="82" spans="1:6" ht="14.25" thickBot="1">
      <c r="A82" s="839" t="s">
        <v>523</v>
      </c>
      <c r="B82" s="833" t="s">
        <v>251</v>
      </c>
      <c r="C82" s="1064">
        <v>9.9000000000000005E-2</v>
      </c>
      <c r="D82" s="1064">
        <v>9.9000000000000005E-2</v>
      </c>
      <c r="E82" s="1064">
        <v>9.7000000000000003E-2</v>
      </c>
      <c r="F82" s="1065">
        <v>0.1</v>
      </c>
    </row>
    <row r="83" spans="1:6" ht="14.25" thickBot="1">
      <c r="A83" s="839" t="s">
        <v>523</v>
      </c>
      <c r="B83" s="833" t="s">
        <v>262</v>
      </c>
      <c r="C83" s="1064">
        <v>9.8000000000000004E-2</v>
      </c>
      <c r="D83" s="1064">
        <v>9.8000000000000004E-2</v>
      </c>
      <c r="E83" s="1064">
        <v>9.8000000000000004E-2</v>
      </c>
      <c r="F83" s="1065">
        <v>0.1</v>
      </c>
    </row>
    <row r="84" spans="1:6" ht="14.25" thickBot="1">
      <c r="A84" s="839" t="s">
        <v>523</v>
      </c>
      <c r="B84" s="833" t="s">
        <v>274</v>
      </c>
      <c r="C84" s="1064">
        <v>9.9000000000000005E-2</v>
      </c>
      <c r="D84" s="1064">
        <v>9.9000000000000005E-2</v>
      </c>
      <c r="E84" s="1064">
        <v>9.9000000000000005E-2</v>
      </c>
      <c r="F84" s="1065">
        <v>0.1</v>
      </c>
    </row>
    <row r="85" spans="1:6" ht="14.25" thickBot="1">
      <c r="A85" s="839" t="s">
        <v>523</v>
      </c>
      <c r="B85" s="833" t="s">
        <v>284</v>
      </c>
      <c r="C85" s="1064">
        <v>9.9000000000000005E-2</v>
      </c>
      <c r="D85" s="1064">
        <v>9.9000000000000005E-2</v>
      </c>
      <c r="E85" s="1064">
        <v>9.9000000000000005E-2</v>
      </c>
      <c r="F85" s="1065">
        <v>0.1</v>
      </c>
    </row>
    <row r="86" spans="1:6" ht="14.25" thickBot="1">
      <c r="A86" s="839" t="s">
        <v>523</v>
      </c>
      <c r="B86" s="833" t="s">
        <v>294</v>
      </c>
      <c r="C86" s="1064">
        <v>0.1</v>
      </c>
      <c r="D86" s="1064">
        <v>0.1</v>
      </c>
      <c r="E86" s="1064">
        <v>7.6999999999999999E-2</v>
      </c>
      <c r="F86" s="1065">
        <v>0.1</v>
      </c>
    </row>
    <row r="87" spans="1:6" ht="14.25" thickBot="1">
      <c r="A87" s="839" t="s">
        <v>523</v>
      </c>
      <c r="B87" s="833" t="s">
        <v>304</v>
      </c>
      <c r="C87" s="1064">
        <v>0.1</v>
      </c>
      <c r="D87" s="1064">
        <v>0.1</v>
      </c>
      <c r="E87" s="1064">
        <v>9.8000000000000004E-2</v>
      </c>
      <c r="F87" s="1076"/>
    </row>
    <row r="88" spans="1:6" ht="14.25" thickBot="1">
      <c r="A88" s="839" t="s">
        <v>523</v>
      </c>
      <c r="B88" s="833" t="s">
        <v>314</v>
      </c>
      <c r="C88" s="1064">
        <v>9.1999999999999998E-2</v>
      </c>
      <c r="D88" s="1064">
        <v>8.5000000000000006E-2</v>
      </c>
      <c r="E88" s="1064">
        <v>9.6000000000000002E-2</v>
      </c>
      <c r="F88" s="1076"/>
    </row>
    <row r="89" spans="1:6" ht="14.25" thickBot="1">
      <c r="A89" s="839" t="s">
        <v>523</v>
      </c>
      <c r="B89" s="833" t="s">
        <v>325</v>
      </c>
      <c r="C89" s="1064">
        <v>0.1</v>
      </c>
      <c r="D89" s="1064">
        <v>0.1</v>
      </c>
      <c r="E89" s="1064">
        <v>9.7000000000000003E-2</v>
      </c>
      <c r="F89" s="1076"/>
    </row>
    <row r="90" spans="1:6" ht="14.25" thickBot="1">
      <c r="A90" s="839" t="s">
        <v>523</v>
      </c>
      <c r="B90" s="833" t="s">
        <v>336</v>
      </c>
      <c r="C90" s="1064">
        <v>9.8000000000000004E-2</v>
      </c>
      <c r="D90" s="1064">
        <v>9.8000000000000004E-2</v>
      </c>
      <c r="E90" s="1064">
        <v>8.7999999999999995E-2</v>
      </c>
      <c r="F90" s="1076"/>
    </row>
    <row r="91" spans="1:6" ht="14.25" thickBot="1">
      <c r="A91" s="839" t="s">
        <v>523</v>
      </c>
      <c r="B91" s="833" t="s">
        <v>346</v>
      </c>
      <c r="C91" s="1064">
        <v>9.9000000000000005E-2</v>
      </c>
      <c r="D91" s="1064">
        <v>9.9000000000000005E-2</v>
      </c>
      <c r="E91" s="1064">
        <v>9.0999999999999998E-2</v>
      </c>
      <c r="F91" s="1076"/>
    </row>
    <row r="92" spans="1:6" ht="14.25" thickBot="1">
      <c r="A92" s="839" t="s">
        <v>523</v>
      </c>
      <c r="B92" s="833" t="s">
        <v>356</v>
      </c>
      <c r="C92" s="1064">
        <v>9.6000000000000002E-2</v>
      </c>
      <c r="D92" s="1064">
        <v>9.6000000000000002E-2</v>
      </c>
      <c r="E92" s="1064">
        <v>7.2999999999999995E-2</v>
      </c>
      <c r="F92" s="1076"/>
    </row>
    <row r="93" spans="1:6" ht="14.25" thickBot="1">
      <c r="A93" s="839" t="s">
        <v>523</v>
      </c>
      <c r="B93" s="833" t="s">
        <v>366</v>
      </c>
      <c r="C93" s="1064">
        <v>9.6000000000000002E-2</v>
      </c>
      <c r="D93" s="1064">
        <v>9.6000000000000002E-2</v>
      </c>
      <c r="E93" s="1064">
        <v>9.9000000000000005E-2</v>
      </c>
      <c r="F93" s="1076"/>
    </row>
    <row r="94" spans="1:6" ht="14.25" thickBot="1">
      <c r="A94" s="839" t="s">
        <v>523</v>
      </c>
      <c r="B94" s="833" t="s">
        <v>376</v>
      </c>
      <c r="C94" s="1064">
        <v>7.5999999999999998E-2</v>
      </c>
      <c r="D94" s="1064">
        <v>7.3999999999999996E-2</v>
      </c>
      <c r="E94" s="1064">
        <v>9.7000000000000003E-2</v>
      </c>
      <c r="F94" s="1076"/>
    </row>
    <row r="95" spans="1:6" ht="14.25" thickBot="1">
      <c r="A95" s="839" t="s">
        <v>523</v>
      </c>
      <c r="B95" s="833" t="s">
        <v>385</v>
      </c>
      <c r="C95" s="1064">
        <v>9.9000000000000005E-2</v>
      </c>
      <c r="D95" s="1064">
        <v>9.4E-2</v>
      </c>
      <c r="E95" s="1064">
        <v>9.6000000000000002E-2</v>
      </c>
      <c r="F95" s="1076"/>
    </row>
    <row r="96" spans="1:6" ht="14.25" thickBot="1">
      <c r="A96" s="839" t="s">
        <v>523</v>
      </c>
      <c r="B96" s="833" t="s">
        <v>394</v>
      </c>
      <c r="C96" s="1064">
        <v>9.9000000000000005E-2</v>
      </c>
      <c r="D96" s="1064">
        <v>9.9000000000000005E-2</v>
      </c>
      <c r="E96" s="1064">
        <v>9.9000000000000005E-2</v>
      </c>
      <c r="F96" s="1076"/>
    </row>
    <row r="97" spans="1:6" ht="14.25" thickBot="1">
      <c r="A97" s="839" t="s">
        <v>523</v>
      </c>
      <c r="B97" s="833" t="s">
        <v>402</v>
      </c>
      <c r="C97" s="1064">
        <v>9.8000000000000004E-2</v>
      </c>
      <c r="D97" s="1064">
        <v>9.8000000000000004E-2</v>
      </c>
      <c r="E97" s="1064">
        <v>9.7000000000000003E-2</v>
      </c>
      <c r="F97" s="1076"/>
    </row>
    <row r="98" spans="1:6" ht="14.25" thickBot="1">
      <c r="A98" s="839" t="s">
        <v>523</v>
      </c>
      <c r="B98" s="833" t="s">
        <v>409</v>
      </c>
      <c r="C98" s="1064">
        <v>0.1</v>
      </c>
      <c r="D98" s="1064">
        <v>0.1</v>
      </c>
      <c r="E98" s="1064">
        <v>9.7000000000000003E-2</v>
      </c>
      <c r="F98" s="1076"/>
    </row>
    <row r="99" spans="1:6" ht="14.25" thickBot="1">
      <c r="A99" s="839" t="s">
        <v>523</v>
      </c>
      <c r="B99" s="833" t="s">
        <v>416</v>
      </c>
      <c r="C99" s="1064">
        <v>0.1</v>
      </c>
      <c r="D99" s="1064">
        <v>0.1</v>
      </c>
      <c r="E99" s="1077"/>
      <c r="F99" s="1076"/>
    </row>
    <row r="100" spans="1:6" ht="14.25" thickBot="1">
      <c r="A100" s="839" t="s">
        <v>523</v>
      </c>
      <c r="B100" s="833" t="s">
        <v>423</v>
      </c>
      <c r="C100" s="1064">
        <v>0.09</v>
      </c>
      <c r="D100" s="1064">
        <v>8.8999999999999996E-2</v>
      </c>
      <c r="E100" s="1077"/>
      <c r="F100" s="1076"/>
    </row>
    <row r="101" spans="1:6" ht="14.25" thickBot="1">
      <c r="A101" s="839" t="s">
        <v>523</v>
      </c>
      <c r="B101" s="833" t="s">
        <v>430</v>
      </c>
      <c r="C101" s="1064">
        <v>9.8000000000000004E-2</v>
      </c>
      <c r="D101" s="1064">
        <v>9.7000000000000003E-2</v>
      </c>
      <c r="E101" s="1077"/>
      <c r="F101" s="1076"/>
    </row>
    <row r="102" spans="1:6" ht="14.25" thickBot="1">
      <c r="A102" s="839" t="s">
        <v>523</v>
      </c>
      <c r="B102" s="833" t="s">
        <v>890</v>
      </c>
      <c r="C102" s="1077"/>
      <c r="D102" s="1077"/>
      <c r="E102" s="1077"/>
      <c r="F102" s="1065">
        <v>0.05</v>
      </c>
    </row>
    <row r="103" spans="1:6" ht="24.75" thickBot="1">
      <c r="A103" s="839" t="s">
        <v>523</v>
      </c>
      <c r="B103" s="833" t="s">
        <v>891</v>
      </c>
      <c r="C103" s="1077"/>
      <c r="D103" s="1077"/>
      <c r="E103" s="1077"/>
      <c r="F103" s="1065">
        <v>0.05</v>
      </c>
    </row>
    <row r="104" spans="1:6" ht="14.25" thickBot="1">
      <c r="A104" s="839" t="s">
        <v>523</v>
      </c>
      <c r="B104" s="833" t="s">
        <v>892</v>
      </c>
      <c r="C104" s="1077"/>
      <c r="D104" s="1077"/>
      <c r="E104" s="1077"/>
      <c r="F104" s="1065">
        <v>0.05</v>
      </c>
    </row>
    <row r="105" spans="1:6" ht="14.25" thickBot="1">
      <c r="A105" s="839" t="s">
        <v>523</v>
      </c>
      <c r="B105" s="833" t="s">
        <v>893</v>
      </c>
      <c r="C105" s="1077"/>
      <c r="D105" s="1077"/>
      <c r="E105" s="1077"/>
      <c r="F105" s="1065">
        <v>0.05</v>
      </c>
    </row>
    <row r="106" spans="1:6" ht="14.25" thickBot="1">
      <c r="A106" s="839" t="s">
        <v>523</v>
      </c>
      <c r="B106" s="833" t="s">
        <v>894</v>
      </c>
      <c r="C106" s="1077"/>
      <c r="D106" s="1077"/>
      <c r="E106" s="1077"/>
      <c r="F106" s="1065">
        <v>0.05</v>
      </c>
    </row>
    <row r="107" spans="1:6" ht="24.75" thickBot="1">
      <c r="A107" s="839" t="s">
        <v>523</v>
      </c>
      <c r="B107" s="833" t="s">
        <v>895</v>
      </c>
      <c r="C107" s="1077"/>
      <c r="D107" s="1077"/>
      <c r="E107" s="1077"/>
      <c r="F107" s="1065">
        <v>0.05</v>
      </c>
    </row>
    <row r="108" spans="1:6" ht="24.75" thickBot="1">
      <c r="A108" s="839" t="s">
        <v>523</v>
      </c>
      <c r="B108" s="833" t="s">
        <v>896</v>
      </c>
      <c r="C108" s="1077"/>
      <c r="D108" s="1077"/>
      <c r="E108" s="1077"/>
      <c r="F108" s="1065">
        <v>0.05</v>
      </c>
    </row>
    <row r="109" spans="1:6" ht="24.75" thickBot="1">
      <c r="A109" s="849" t="s">
        <v>523</v>
      </c>
      <c r="B109" s="845" t="s">
        <v>897</v>
      </c>
      <c r="C109" s="1074"/>
      <c r="D109" s="1074"/>
      <c r="E109" s="1074"/>
      <c r="F109" s="1067">
        <v>0.05</v>
      </c>
    </row>
    <row r="110" spans="1:6" ht="14.25" thickBot="1">
      <c r="A110" s="839" t="s">
        <v>56</v>
      </c>
      <c r="B110" s="840" t="s">
        <v>898</v>
      </c>
      <c r="C110" s="1062">
        <v>0.129</v>
      </c>
      <c r="D110" s="1062">
        <v>0.129</v>
      </c>
      <c r="E110" s="1062">
        <v>0.126</v>
      </c>
      <c r="F110" s="1063">
        <v>0.13</v>
      </c>
    </row>
    <row r="111" spans="1:6" ht="14.25" thickBot="1">
      <c r="A111" s="839" t="s">
        <v>56</v>
      </c>
      <c r="B111" s="833" t="s">
        <v>192</v>
      </c>
      <c r="C111" s="1064">
        <v>0.11</v>
      </c>
      <c r="D111" s="1064">
        <v>0.11</v>
      </c>
      <c r="E111" s="1064">
        <v>9.9000000000000005E-2</v>
      </c>
      <c r="F111" s="1065">
        <v>0.128</v>
      </c>
    </row>
    <row r="112" spans="1:6" ht="14.25" thickBot="1">
      <c r="A112" s="839" t="s">
        <v>56</v>
      </c>
      <c r="B112" s="833" t="s">
        <v>205</v>
      </c>
      <c r="C112" s="1064">
        <v>0.125</v>
      </c>
      <c r="D112" s="1064">
        <v>0.125</v>
      </c>
      <c r="E112" s="1064">
        <v>0.12</v>
      </c>
      <c r="F112" s="1065">
        <v>0.125</v>
      </c>
    </row>
    <row r="113" spans="1:6" ht="14.25" thickBot="1">
      <c r="A113" s="839" t="s">
        <v>56</v>
      </c>
      <c r="B113" s="833" t="s">
        <v>218</v>
      </c>
      <c r="C113" s="1064">
        <v>0.13</v>
      </c>
      <c r="D113" s="1064">
        <v>0.13</v>
      </c>
      <c r="E113" s="1064">
        <v>0.13</v>
      </c>
      <c r="F113" s="1065">
        <v>0.13</v>
      </c>
    </row>
    <row r="114" spans="1:6" ht="14.25" thickBot="1">
      <c r="A114" s="839" t="s">
        <v>56</v>
      </c>
      <c r="B114" s="833" t="s">
        <v>230</v>
      </c>
      <c r="C114" s="1064">
        <v>0.123</v>
      </c>
      <c r="D114" s="1064">
        <v>0.123</v>
      </c>
      <c r="E114" s="1064">
        <v>0.12</v>
      </c>
      <c r="F114" s="1065">
        <v>0.13</v>
      </c>
    </row>
    <row r="115" spans="1:6" ht="14.25" thickBot="1">
      <c r="A115" s="839" t="s">
        <v>56</v>
      </c>
      <c r="B115" s="833" t="s">
        <v>241</v>
      </c>
      <c r="C115" s="1064">
        <v>0.125</v>
      </c>
      <c r="D115" s="1064">
        <v>0.125</v>
      </c>
      <c r="E115" s="1064">
        <v>0.11700000000000001</v>
      </c>
      <c r="F115" s="1065">
        <v>0.13</v>
      </c>
    </row>
    <row r="116" spans="1:6" ht="14.25" thickBot="1">
      <c r="A116" s="839" t="s">
        <v>56</v>
      </c>
      <c r="B116" s="833" t="s">
        <v>252</v>
      </c>
      <c r="C116" s="1064">
        <v>0.11700000000000001</v>
      </c>
      <c r="D116" s="1064">
        <v>0.11700000000000001</v>
      </c>
      <c r="E116" s="1064">
        <v>8.7999999999999995E-2</v>
      </c>
      <c r="F116" s="1065">
        <v>0.13</v>
      </c>
    </row>
    <row r="117" spans="1:6" ht="14.25" thickBot="1">
      <c r="A117" s="839" t="s">
        <v>56</v>
      </c>
      <c r="B117" s="833" t="s">
        <v>263</v>
      </c>
      <c r="C117" s="1064">
        <v>0.13</v>
      </c>
      <c r="D117" s="1064">
        <v>0.13</v>
      </c>
      <c r="E117" s="1064">
        <v>0.129</v>
      </c>
      <c r="F117" s="1065">
        <v>0.13</v>
      </c>
    </row>
    <row r="118" spans="1:6" ht="14.25" thickBot="1">
      <c r="A118" s="839" t="s">
        <v>56</v>
      </c>
      <c r="B118" s="833" t="s">
        <v>275</v>
      </c>
      <c r="C118" s="1064">
        <v>0.123</v>
      </c>
      <c r="D118" s="1064">
        <v>0.123</v>
      </c>
      <c r="E118" s="1064">
        <v>0.11600000000000001</v>
      </c>
      <c r="F118" s="1065">
        <v>0.13</v>
      </c>
    </row>
    <row r="119" spans="1:6" ht="14.25" thickBot="1">
      <c r="A119" s="839" t="s">
        <v>56</v>
      </c>
      <c r="B119" s="833" t="s">
        <v>285</v>
      </c>
      <c r="C119" s="1064">
        <v>0.127</v>
      </c>
      <c r="D119" s="1064">
        <v>0.127</v>
      </c>
      <c r="E119" s="1064">
        <v>0.124</v>
      </c>
      <c r="F119" s="1065">
        <v>0.13</v>
      </c>
    </row>
    <row r="120" spans="1:6" ht="14.25" thickBot="1">
      <c r="A120" s="839" t="s">
        <v>56</v>
      </c>
      <c r="B120" s="833" t="s">
        <v>295</v>
      </c>
      <c r="C120" s="1064">
        <v>0.125</v>
      </c>
      <c r="D120" s="1064">
        <v>0.125</v>
      </c>
      <c r="E120" s="1064">
        <v>0.122</v>
      </c>
      <c r="F120" s="1065">
        <v>0.13</v>
      </c>
    </row>
    <row r="121" spans="1:6" ht="14.25" thickBot="1">
      <c r="A121" s="839" t="s">
        <v>56</v>
      </c>
      <c r="B121" s="833" t="s">
        <v>305</v>
      </c>
      <c r="C121" s="1064">
        <v>0.13</v>
      </c>
      <c r="D121" s="1064">
        <v>0.13</v>
      </c>
      <c r="E121" s="1064">
        <v>0.13</v>
      </c>
      <c r="F121" s="1065">
        <v>0.13</v>
      </c>
    </row>
    <row r="122" spans="1:6" ht="14.25" thickBot="1">
      <c r="A122" s="839" t="s">
        <v>56</v>
      </c>
      <c r="B122" s="833" t="s">
        <v>315</v>
      </c>
      <c r="C122" s="1064">
        <v>0.13</v>
      </c>
      <c r="D122" s="1064">
        <v>0.13</v>
      </c>
      <c r="E122" s="1064">
        <v>0.125</v>
      </c>
      <c r="F122" s="1065">
        <v>0.13</v>
      </c>
    </row>
    <row r="123" spans="1:6" ht="14.25" thickBot="1">
      <c r="A123" s="839" t="s">
        <v>56</v>
      </c>
      <c r="B123" s="833" t="s">
        <v>326</v>
      </c>
      <c r="C123" s="1064">
        <v>0.129</v>
      </c>
      <c r="D123" s="1064">
        <v>0.129</v>
      </c>
      <c r="E123" s="1064">
        <v>0.123</v>
      </c>
      <c r="F123" s="1065">
        <v>0.13</v>
      </c>
    </row>
    <row r="124" spans="1:6" ht="14.25" thickBot="1">
      <c r="A124" s="839" t="s">
        <v>56</v>
      </c>
      <c r="B124" s="833" t="s">
        <v>337</v>
      </c>
      <c r="C124" s="1064">
        <v>0.10199999999999999</v>
      </c>
      <c r="D124" s="1064">
        <v>0.10100000000000001</v>
      </c>
      <c r="E124" s="1064">
        <v>0.08</v>
      </c>
      <c r="F124" s="1076"/>
    </row>
    <row r="125" spans="1:6" ht="14.25" thickBot="1">
      <c r="A125" s="839" t="s">
        <v>56</v>
      </c>
      <c r="B125" s="833" t="s">
        <v>347</v>
      </c>
      <c r="C125" s="1064">
        <v>0.13</v>
      </c>
      <c r="D125" s="1064">
        <v>0.13</v>
      </c>
      <c r="E125" s="1064">
        <v>0.129</v>
      </c>
      <c r="F125" s="1076"/>
    </row>
    <row r="126" spans="1:6" ht="14.25" thickBot="1">
      <c r="A126" s="839" t="s">
        <v>56</v>
      </c>
      <c r="B126" s="833" t="s">
        <v>357</v>
      </c>
      <c r="C126" s="1064">
        <v>0.13</v>
      </c>
      <c r="D126" s="1064">
        <v>0.13</v>
      </c>
      <c r="E126" s="1064">
        <v>0.126</v>
      </c>
      <c r="F126" s="1076"/>
    </row>
    <row r="127" spans="1:6" ht="14.25" thickBot="1">
      <c r="A127" s="839" t="s">
        <v>56</v>
      </c>
      <c r="B127" s="833" t="s">
        <v>367</v>
      </c>
      <c r="C127" s="1064">
        <v>0.125</v>
      </c>
      <c r="D127" s="1064">
        <v>0.125</v>
      </c>
      <c r="E127" s="1064">
        <v>0.121</v>
      </c>
      <c r="F127" s="1076"/>
    </row>
    <row r="128" spans="1:6" ht="14.25" thickBot="1">
      <c r="A128" s="839" t="s">
        <v>56</v>
      </c>
      <c r="B128" s="833" t="s">
        <v>377</v>
      </c>
      <c r="C128" s="1064">
        <v>0.12</v>
      </c>
      <c r="D128" s="1064">
        <v>0.12</v>
      </c>
      <c r="E128" s="1064">
        <v>0.105</v>
      </c>
      <c r="F128" s="1076"/>
    </row>
    <row r="129" spans="1:6" ht="14.25" thickBot="1">
      <c r="A129" s="839" t="s">
        <v>56</v>
      </c>
      <c r="B129" s="833" t="s">
        <v>386</v>
      </c>
      <c r="C129" s="1064">
        <v>0.13</v>
      </c>
      <c r="D129" s="1064">
        <v>0.13</v>
      </c>
      <c r="E129" s="1064">
        <v>0.126</v>
      </c>
      <c r="F129" s="1076"/>
    </row>
    <row r="130" spans="1:6" ht="14.25" thickBot="1">
      <c r="A130" s="839" t="s">
        <v>56</v>
      </c>
      <c r="B130" s="833" t="s">
        <v>395</v>
      </c>
      <c r="C130" s="1064">
        <v>0.125</v>
      </c>
      <c r="D130" s="1064">
        <v>0.125</v>
      </c>
      <c r="E130" s="1064">
        <v>0.122</v>
      </c>
      <c r="F130" s="1076"/>
    </row>
    <row r="131" spans="1:6" ht="14.25" thickBot="1">
      <c r="A131" s="839" t="s">
        <v>56</v>
      </c>
      <c r="B131" s="833" t="s">
        <v>403</v>
      </c>
      <c r="C131" s="1064">
        <v>0.127</v>
      </c>
      <c r="D131" s="1064">
        <v>0.126</v>
      </c>
      <c r="E131" s="1064">
        <v>0.123</v>
      </c>
      <c r="F131" s="1076"/>
    </row>
    <row r="132" spans="1:6" ht="14.25" thickBot="1">
      <c r="A132" s="839" t="s">
        <v>56</v>
      </c>
      <c r="B132" s="833" t="s">
        <v>410</v>
      </c>
      <c r="C132" s="1064">
        <v>9.0999999999999998E-2</v>
      </c>
      <c r="D132" s="1064">
        <v>0.121</v>
      </c>
      <c r="E132" s="1064">
        <v>9.9000000000000005E-2</v>
      </c>
      <c r="F132" s="1076"/>
    </row>
    <row r="133" spans="1:6" ht="14.25" thickBot="1">
      <c r="A133" s="839" t="s">
        <v>56</v>
      </c>
      <c r="B133" s="833" t="s">
        <v>417</v>
      </c>
      <c r="C133" s="1064">
        <v>0.13</v>
      </c>
      <c r="D133" s="1064">
        <v>0.13</v>
      </c>
      <c r="E133" s="1064">
        <v>0.129</v>
      </c>
      <c r="F133" s="1076"/>
    </row>
    <row r="134" spans="1:6" ht="14.25" thickBot="1">
      <c r="A134" s="839" t="s">
        <v>56</v>
      </c>
      <c r="B134" s="833" t="s">
        <v>899</v>
      </c>
      <c r="C134" s="1064">
        <v>6.8000000000000005E-2</v>
      </c>
      <c r="D134" s="1064">
        <v>6.5000000000000002E-2</v>
      </c>
      <c r="E134" s="1064">
        <v>6.5000000000000002E-2</v>
      </c>
      <c r="F134" s="1065">
        <v>0.13</v>
      </c>
    </row>
    <row r="135" spans="1:6" ht="14.25" thickBot="1">
      <c r="A135" s="839" t="s">
        <v>56</v>
      </c>
      <c r="B135" s="833" t="s">
        <v>431</v>
      </c>
      <c r="C135" s="1064">
        <v>0.123</v>
      </c>
      <c r="D135" s="1064">
        <v>0.123</v>
      </c>
      <c r="E135" s="1064">
        <v>0.11</v>
      </c>
      <c r="F135" s="1076"/>
    </row>
    <row r="136" spans="1:6" ht="14.25" thickBot="1">
      <c r="A136" s="839" t="s">
        <v>56</v>
      </c>
      <c r="B136" s="833" t="s">
        <v>438</v>
      </c>
      <c r="C136" s="1064">
        <v>0.13</v>
      </c>
      <c r="D136" s="1064">
        <v>0.13</v>
      </c>
      <c r="E136" s="1064">
        <v>0.125</v>
      </c>
      <c r="F136" s="1076"/>
    </row>
    <row r="137" spans="1:6" ht="14.25" thickBot="1">
      <c r="A137" s="839" t="s">
        <v>56</v>
      </c>
      <c r="B137" s="833" t="s">
        <v>445</v>
      </c>
      <c r="C137" s="1064">
        <v>0.121</v>
      </c>
      <c r="D137" s="1064">
        <v>0.122</v>
      </c>
      <c r="E137" s="1064">
        <v>0.115</v>
      </c>
      <c r="F137" s="1076"/>
    </row>
    <row r="138" spans="1:6" ht="14.25" thickBot="1">
      <c r="A138" s="839" t="s">
        <v>56</v>
      </c>
      <c r="B138" s="833" t="s">
        <v>900</v>
      </c>
      <c r="C138" s="1064">
        <v>0.105</v>
      </c>
      <c r="D138" s="1064">
        <v>0.125</v>
      </c>
      <c r="E138" s="1064">
        <v>0.112</v>
      </c>
      <c r="F138" s="1076"/>
    </row>
    <row r="139" spans="1:6" ht="14.25" thickBot="1">
      <c r="A139" s="839" t="s">
        <v>56</v>
      </c>
      <c r="B139" s="833" t="s">
        <v>901</v>
      </c>
      <c r="C139" s="1064">
        <v>0.127</v>
      </c>
      <c r="D139" s="1064">
        <v>0.127</v>
      </c>
      <c r="E139" s="1064">
        <v>0.122</v>
      </c>
      <c r="F139" s="1065">
        <v>0.13</v>
      </c>
    </row>
    <row r="140" spans="1:6" ht="14.25" thickBot="1">
      <c r="A140" s="839" t="s">
        <v>56</v>
      </c>
      <c r="B140" s="833" t="s">
        <v>902</v>
      </c>
      <c r="C140" s="1064">
        <v>0.125</v>
      </c>
      <c r="D140" s="1064">
        <v>0.125</v>
      </c>
      <c r="E140" s="1064">
        <v>0.11899999999999999</v>
      </c>
      <c r="F140" s="1065">
        <v>0.13</v>
      </c>
    </row>
    <row r="141" spans="1:6" ht="14.25" thickBot="1">
      <c r="A141" s="839" t="s">
        <v>56</v>
      </c>
      <c r="B141" s="833" t="s">
        <v>464</v>
      </c>
      <c r="C141" s="1064">
        <v>0.125</v>
      </c>
      <c r="D141" s="1064">
        <v>0.125</v>
      </c>
      <c r="E141" s="1064">
        <v>0.11700000000000001</v>
      </c>
      <c r="F141" s="1076"/>
    </row>
    <row r="142" spans="1:6" ht="14.25" thickBot="1">
      <c r="A142" s="839" t="s">
        <v>56</v>
      </c>
      <c r="B142" s="833" t="s">
        <v>469</v>
      </c>
      <c r="C142" s="1064">
        <v>0.125</v>
      </c>
      <c r="D142" s="1064">
        <v>0.125</v>
      </c>
      <c r="E142" s="1064">
        <v>0.115</v>
      </c>
      <c r="F142" s="1076"/>
    </row>
    <row r="143" spans="1:6" ht="14.25" thickBot="1">
      <c r="A143" s="839" t="s">
        <v>56</v>
      </c>
      <c r="B143" s="833" t="s">
        <v>474</v>
      </c>
      <c r="C143" s="1064">
        <v>0.121</v>
      </c>
      <c r="D143" s="1064">
        <v>0.121</v>
      </c>
      <c r="E143" s="1064">
        <v>0.108</v>
      </c>
      <c r="F143" s="1076"/>
    </row>
    <row r="144" spans="1:6" ht="14.25" thickBot="1">
      <c r="A144" s="839" t="s">
        <v>56</v>
      </c>
      <c r="B144" s="1068" t="s">
        <v>903</v>
      </c>
      <c r="C144" s="1069">
        <v>0.126</v>
      </c>
      <c r="D144" s="1069">
        <v>0.126</v>
      </c>
      <c r="E144" s="1069">
        <v>0.121</v>
      </c>
      <c r="F144" s="1076"/>
    </row>
    <row r="145" spans="1:6" ht="14.25" thickBot="1">
      <c r="A145" s="849" t="s">
        <v>56</v>
      </c>
      <c r="B145" s="1070" t="s">
        <v>904</v>
      </c>
      <c r="C145" s="1078"/>
      <c r="D145" s="1078"/>
      <c r="E145" s="1078"/>
      <c r="F145" s="1071">
        <v>0.05</v>
      </c>
    </row>
    <row r="146" spans="1:6" ht="24.75" thickBot="1">
      <c r="A146" s="1072" t="s">
        <v>56</v>
      </c>
      <c r="B146" s="843" t="s">
        <v>905</v>
      </c>
      <c r="C146" s="1077"/>
      <c r="D146" s="1077"/>
      <c r="E146" s="1077"/>
      <c r="F146" s="1073">
        <v>0.05</v>
      </c>
    </row>
    <row r="147" spans="1:6" ht="24.75" thickBot="1">
      <c r="A147" s="839" t="s">
        <v>56</v>
      </c>
      <c r="B147" s="833" t="s">
        <v>906</v>
      </c>
      <c r="C147" s="1077"/>
      <c r="D147" s="1077"/>
      <c r="E147" s="1077"/>
      <c r="F147" s="1065">
        <v>0.05</v>
      </c>
    </row>
    <row r="148" spans="1:6" ht="24.75" thickBot="1">
      <c r="A148" s="839" t="s">
        <v>56</v>
      </c>
      <c r="B148" s="833" t="s">
        <v>907</v>
      </c>
      <c r="C148" s="1077"/>
      <c r="D148" s="1077"/>
      <c r="E148" s="1077"/>
      <c r="F148" s="1065">
        <v>0.05</v>
      </c>
    </row>
    <row r="149" spans="1:6" ht="24.75" thickBot="1">
      <c r="A149" s="839" t="s">
        <v>56</v>
      </c>
      <c r="B149" s="833" t="s">
        <v>908</v>
      </c>
      <c r="C149" s="1077"/>
      <c r="D149" s="1077"/>
      <c r="E149" s="1077"/>
      <c r="F149" s="1065">
        <v>0.05</v>
      </c>
    </row>
    <row r="150" spans="1:6" ht="24.75" thickBot="1">
      <c r="A150" s="839" t="s">
        <v>56</v>
      </c>
      <c r="B150" s="833" t="s">
        <v>909</v>
      </c>
      <c r="C150" s="1077"/>
      <c r="D150" s="1077"/>
      <c r="E150" s="1077"/>
      <c r="F150" s="1065">
        <v>0.05</v>
      </c>
    </row>
    <row r="151" spans="1:6" ht="24.75" thickBot="1">
      <c r="A151" s="839" t="s">
        <v>56</v>
      </c>
      <c r="B151" s="833" t="s">
        <v>910</v>
      </c>
      <c r="C151" s="1077"/>
      <c r="D151" s="1077"/>
      <c r="E151" s="1077"/>
      <c r="F151" s="1065">
        <v>0.05</v>
      </c>
    </row>
    <row r="152" spans="1:6" ht="24.75" thickBot="1">
      <c r="A152" s="839" t="s">
        <v>56</v>
      </c>
      <c r="B152" s="833" t="s">
        <v>507</v>
      </c>
      <c r="C152" s="1077"/>
      <c r="D152" s="1077"/>
      <c r="E152" s="1077"/>
      <c r="F152" s="1065">
        <v>0.05</v>
      </c>
    </row>
    <row r="153" spans="1:6" ht="14.25" thickBot="1">
      <c r="A153" s="839" t="s">
        <v>56</v>
      </c>
      <c r="B153" s="833" t="s">
        <v>911</v>
      </c>
      <c r="C153" s="1077"/>
      <c r="D153" s="1077"/>
      <c r="E153" s="1077"/>
      <c r="F153" s="1065">
        <v>0.05</v>
      </c>
    </row>
    <row r="154" spans="1:6" ht="14.25" thickBot="1">
      <c r="A154" s="839" t="s">
        <v>56</v>
      </c>
      <c r="B154" s="833" t="s">
        <v>912</v>
      </c>
      <c r="C154" s="1077"/>
      <c r="D154" s="1077"/>
      <c r="E154" s="1077"/>
      <c r="F154" s="1065">
        <v>0.05</v>
      </c>
    </row>
    <row r="155" spans="1:6" ht="24.75" thickBot="1">
      <c r="A155" s="839" t="s">
        <v>56</v>
      </c>
      <c r="B155" s="833" t="s">
        <v>913</v>
      </c>
      <c r="C155" s="1077"/>
      <c r="D155" s="1077"/>
      <c r="E155" s="1077"/>
      <c r="F155" s="1065">
        <v>0.05</v>
      </c>
    </row>
    <row r="156" spans="1:6" ht="24.75" thickBot="1">
      <c r="A156" s="839" t="s">
        <v>56</v>
      </c>
      <c r="B156" s="833" t="s">
        <v>914</v>
      </c>
      <c r="C156" s="1077"/>
      <c r="D156" s="1077"/>
      <c r="E156" s="1077"/>
      <c r="F156" s="1065">
        <v>0.05</v>
      </c>
    </row>
    <row r="157" spans="1:6" ht="14.25" thickBot="1">
      <c r="A157" s="849" t="s">
        <v>56</v>
      </c>
      <c r="B157" s="845" t="s">
        <v>915</v>
      </c>
      <c r="C157" s="1074"/>
      <c r="D157" s="1074"/>
      <c r="E157" s="1074"/>
      <c r="F157" s="1067">
        <v>0.05</v>
      </c>
    </row>
    <row r="158" spans="1:6" ht="14.25" thickBot="1">
      <c r="A158" s="839" t="s">
        <v>526</v>
      </c>
      <c r="B158" s="840" t="s">
        <v>916</v>
      </c>
      <c r="C158" s="1062">
        <v>0.13</v>
      </c>
      <c r="D158" s="1062">
        <v>0.13</v>
      </c>
      <c r="E158" s="1062">
        <v>0.13</v>
      </c>
      <c r="F158" s="1063">
        <v>0.13</v>
      </c>
    </row>
    <row r="159" spans="1:6" ht="14.25" thickBot="1">
      <c r="A159" s="839" t="s">
        <v>526</v>
      </c>
      <c r="B159" s="833" t="s">
        <v>193</v>
      </c>
      <c r="C159" s="1064">
        <v>0.13</v>
      </c>
      <c r="D159" s="1064">
        <v>0.13</v>
      </c>
      <c r="E159" s="1064">
        <v>0.13</v>
      </c>
      <c r="F159" s="1065">
        <v>0.13</v>
      </c>
    </row>
    <row r="160" spans="1:6" ht="14.25" thickBot="1">
      <c r="A160" s="839" t="s">
        <v>526</v>
      </c>
      <c r="B160" s="833" t="s">
        <v>206</v>
      </c>
      <c r="C160" s="1064">
        <v>0.13</v>
      </c>
      <c r="D160" s="1064">
        <v>0.13</v>
      </c>
      <c r="E160" s="1064">
        <v>0.129</v>
      </c>
      <c r="F160" s="1065">
        <v>0.13</v>
      </c>
    </row>
    <row r="161" spans="1:6" ht="14.25" thickBot="1">
      <c r="A161" s="839" t="s">
        <v>526</v>
      </c>
      <c r="B161" s="833" t="s">
        <v>219</v>
      </c>
      <c r="C161" s="1064">
        <v>0.128</v>
      </c>
      <c r="D161" s="1064">
        <v>0.128</v>
      </c>
      <c r="E161" s="1064">
        <v>0.125</v>
      </c>
      <c r="F161" s="1065">
        <v>0.13</v>
      </c>
    </row>
    <row r="162" spans="1:6" ht="14.25" thickBot="1">
      <c r="A162" s="839" t="s">
        <v>526</v>
      </c>
      <c r="B162" s="833" t="s">
        <v>231</v>
      </c>
      <c r="C162" s="1064">
        <v>0.122</v>
      </c>
      <c r="D162" s="1064">
        <v>0.122</v>
      </c>
      <c r="E162" s="1064">
        <v>0.126</v>
      </c>
      <c r="F162" s="1065">
        <v>0.122</v>
      </c>
    </row>
    <row r="163" spans="1:6" ht="14.25" thickBot="1">
      <c r="A163" s="839" t="s">
        <v>526</v>
      </c>
      <c r="B163" s="833" t="s">
        <v>242</v>
      </c>
      <c r="C163" s="1064">
        <v>0.13</v>
      </c>
      <c r="D163" s="1064">
        <v>0.13</v>
      </c>
      <c r="E163" s="1064">
        <v>0.125</v>
      </c>
      <c r="F163" s="1065">
        <v>0.13</v>
      </c>
    </row>
    <row r="164" spans="1:6" ht="14.25" thickBot="1">
      <c r="A164" s="839" t="s">
        <v>526</v>
      </c>
      <c r="B164" s="833" t="s">
        <v>253</v>
      </c>
      <c r="C164" s="1064">
        <v>0.13</v>
      </c>
      <c r="D164" s="1064">
        <v>0.13</v>
      </c>
      <c r="E164" s="1064">
        <v>0.13</v>
      </c>
      <c r="F164" s="1065">
        <v>0.13</v>
      </c>
    </row>
    <row r="165" spans="1:6" ht="14.25" thickBot="1">
      <c r="A165" s="839" t="s">
        <v>526</v>
      </c>
      <c r="B165" s="833" t="s">
        <v>264</v>
      </c>
      <c r="C165" s="1064">
        <v>0.13</v>
      </c>
      <c r="D165" s="1064">
        <v>0.13</v>
      </c>
      <c r="E165" s="1064">
        <v>0.124</v>
      </c>
      <c r="F165" s="1065">
        <v>0.13</v>
      </c>
    </row>
    <row r="166" spans="1:6" ht="14.25" thickBot="1">
      <c r="A166" s="839" t="s">
        <v>526</v>
      </c>
      <c r="B166" s="833" t="s">
        <v>276</v>
      </c>
      <c r="C166" s="1064">
        <v>0.13</v>
      </c>
      <c r="D166" s="1064">
        <v>0.13</v>
      </c>
      <c r="E166" s="1064">
        <v>0.13</v>
      </c>
      <c r="F166" s="1065">
        <v>0.13</v>
      </c>
    </row>
    <row r="167" spans="1:6" ht="14.25" thickBot="1">
      <c r="A167" s="839" t="s">
        <v>526</v>
      </c>
      <c r="B167" s="833" t="s">
        <v>286</v>
      </c>
      <c r="C167" s="1064">
        <v>0.125</v>
      </c>
      <c r="D167" s="1064">
        <v>0.125</v>
      </c>
      <c r="E167" s="1064">
        <v>0.121</v>
      </c>
      <c r="F167" s="1076"/>
    </row>
    <row r="168" spans="1:6" ht="14.25" thickBot="1">
      <c r="A168" s="839" t="s">
        <v>526</v>
      </c>
      <c r="B168" s="833" t="s">
        <v>296</v>
      </c>
      <c r="C168" s="1064">
        <v>0.13</v>
      </c>
      <c r="D168" s="1064">
        <v>0.13</v>
      </c>
      <c r="E168" s="1064">
        <v>0.126</v>
      </c>
      <c r="F168" s="1076"/>
    </row>
    <row r="169" spans="1:6" ht="14.25" thickBot="1">
      <c r="A169" s="839" t="s">
        <v>526</v>
      </c>
      <c r="B169" s="833" t="s">
        <v>306</v>
      </c>
      <c r="C169" s="1064">
        <v>0.128</v>
      </c>
      <c r="D169" s="1064">
        <v>0.129</v>
      </c>
      <c r="E169" s="1064">
        <v>0.13</v>
      </c>
      <c r="F169" s="1076"/>
    </row>
    <row r="170" spans="1:6" ht="14.25" thickBot="1">
      <c r="A170" s="839" t="s">
        <v>526</v>
      </c>
      <c r="B170" s="833" t="s">
        <v>316</v>
      </c>
      <c r="C170" s="1064">
        <v>0.14099999999999999</v>
      </c>
      <c r="D170" s="1064">
        <v>0.13</v>
      </c>
      <c r="E170" s="1064">
        <v>0.125</v>
      </c>
      <c r="F170" s="1076"/>
    </row>
    <row r="171" spans="1:6" ht="14.25" thickBot="1">
      <c r="A171" s="839" t="s">
        <v>526</v>
      </c>
      <c r="B171" s="833" t="s">
        <v>917</v>
      </c>
      <c r="C171" s="1064">
        <v>0.127</v>
      </c>
      <c r="D171" s="1064">
        <v>0.126</v>
      </c>
      <c r="E171" s="1064">
        <v>0.126</v>
      </c>
      <c r="F171" s="1065">
        <v>0.11799999999999999</v>
      </c>
    </row>
    <row r="172" spans="1:6" ht="14.25" thickBot="1">
      <c r="A172" s="839" t="s">
        <v>526</v>
      </c>
      <c r="B172" s="833" t="s">
        <v>918</v>
      </c>
      <c r="C172" s="1064">
        <v>0.13</v>
      </c>
      <c r="D172" s="1064">
        <v>0.13</v>
      </c>
      <c r="E172" s="1064">
        <v>0.13</v>
      </c>
      <c r="F172" s="1076"/>
    </row>
    <row r="173" spans="1:6" ht="14.25" thickBot="1">
      <c r="A173" s="839" t="s">
        <v>526</v>
      </c>
      <c r="B173" s="833" t="s">
        <v>348</v>
      </c>
      <c r="C173" s="1064">
        <v>0.13</v>
      </c>
      <c r="D173" s="1064">
        <v>0.13</v>
      </c>
      <c r="E173" s="1064">
        <v>0.13</v>
      </c>
      <c r="F173" s="1076"/>
    </row>
    <row r="174" spans="1:6" ht="14.25" thickBot="1">
      <c r="A174" s="839" t="s">
        <v>526</v>
      </c>
      <c r="B174" s="833" t="s">
        <v>919</v>
      </c>
      <c r="C174" s="1064">
        <v>0.13</v>
      </c>
      <c r="D174" s="1064">
        <v>0.13</v>
      </c>
      <c r="E174" s="1064">
        <v>0.13</v>
      </c>
      <c r="F174" s="1065">
        <v>0.13</v>
      </c>
    </row>
    <row r="175" spans="1:6" ht="14.25" thickBot="1">
      <c r="A175" s="839" t="s">
        <v>526</v>
      </c>
      <c r="B175" s="833" t="s">
        <v>920</v>
      </c>
      <c r="C175" s="1064">
        <v>0.13</v>
      </c>
      <c r="D175" s="1064">
        <v>0.13</v>
      </c>
      <c r="E175" s="1064">
        <v>0.13</v>
      </c>
      <c r="F175" s="1065">
        <v>0.13</v>
      </c>
    </row>
    <row r="176" spans="1:6" ht="14.25" thickBot="1">
      <c r="A176" s="839" t="s">
        <v>526</v>
      </c>
      <c r="B176" s="833" t="s">
        <v>378</v>
      </c>
      <c r="C176" s="1064">
        <v>0.13</v>
      </c>
      <c r="D176" s="1064">
        <v>0.13</v>
      </c>
      <c r="E176" s="1064">
        <v>0.13</v>
      </c>
      <c r="F176" s="1065">
        <v>0.13</v>
      </c>
    </row>
    <row r="177" spans="1:6" ht="14.25" thickBot="1">
      <c r="A177" s="839" t="s">
        <v>526</v>
      </c>
      <c r="B177" s="833" t="s">
        <v>921</v>
      </c>
      <c r="C177" s="1064">
        <v>0.13</v>
      </c>
      <c r="D177" s="1064">
        <v>0.13</v>
      </c>
      <c r="E177" s="1064">
        <v>0.13</v>
      </c>
      <c r="F177" s="1065">
        <v>0.13</v>
      </c>
    </row>
    <row r="178" spans="1:6" ht="14.25" thickBot="1">
      <c r="A178" s="839" t="s">
        <v>526</v>
      </c>
      <c r="B178" s="833" t="s">
        <v>396</v>
      </c>
      <c r="C178" s="1064">
        <v>0.13</v>
      </c>
      <c r="D178" s="1064">
        <v>0.13</v>
      </c>
      <c r="E178" s="1064">
        <v>0.13</v>
      </c>
      <c r="F178" s="1065">
        <v>0.127</v>
      </c>
    </row>
    <row r="179" spans="1:6" ht="14.25" thickBot="1">
      <c r="A179" s="839" t="s">
        <v>526</v>
      </c>
      <c r="B179" s="833" t="s">
        <v>404</v>
      </c>
      <c r="C179" s="1064">
        <v>0.13</v>
      </c>
      <c r="D179" s="1064">
        <v>0.13</v>
      </c>
      <c r="E179" s="1064">
        <v>0.13</v>
      </c>
      <c r="F179" s="1076"/>
    </row>
    <row r="180" spans="1:6" ht="14.25" thickBot="1">
      <c r="A180" s="839" t="s">
        <v>526</v>
      </c>
      <c r="B180" s="833" t="s">
        <v>922</v>
      </c>
      <c r="C180" s="1064">
        <v>0.13</v>
      </c>
      <c r="D180" s="1064">
        <v>0.13</v>
      </c>
      <c r="E180" s="1064">
        <v>0.125</v>
      </c>
      <c r="F180" s="1065">
        <v>0.13</v>
      </c>
    </row>
    <row r="181" spans="1:6" ht="14.25" thickBot="1">
      <c r="A181" s="839" t="s">
        <v>526</v>
      </c>
      <c r="B181" s="833" t="s">
        <v>418</v>
      </c>
      <c r="C181" s="1064">
        <v>0.122</v>
      </c>
      <c r="D181" s="1064">
        <v>0.123</v>
      </c>
      <c r="E181" s="1064">
        <v>0.126</v>
      </c>
      <c r="F181" s="1065">
        <v>0.121</v>
      </c>
    </row>
    <row r="182" spans="1:6" ht="14.25" thickBot="1">
      <c r="A182" s="839" t="s">
        <v>526</v>
      </c>
      <c r="B182" s="833" t="s">
        <v>425</v>
      </c>
      <c r="C182" s="1064">
        <v>0.125</v>
      </c>
      <c r="D182" s="1064">
        <v>0.125</v>
      </c>
      <c r="E182" s="1064">
        <v>0.11700000000000001</v>
      </c>
      <c r="F182" s="1065">
        <v>0.13</v>
      </c>
    </row>
    <row r="183" spans="1:6" ht="14.25" thickBot="1">
      <c r="A183" s="839" t="s">
        <v>526</v>
      </c>
      <c r="B183" s="833" t="s">
        <v>432</v>
      </c>
      <c r="C183" s="1064">
        <v>0.127</v>
      </c>
      <c r="D183" s="1064">
        <v>0.127</v>
      </c>
      <c r="E183" s="1064">
        <v>0.128</v>
      </c>
      <c r="F183" s="1076"/>
    </row>
    <row r="184" spans="1:6" ht="14.25" thickBot="1">
      <c r="A184" s="839" t="s">
        <v>526</v>
      </c>
      <c r="B184" s="833" t="s">
        <v>439</v>
      </c>
      <c r="C184" s="1064">
        <v>0.125</v>
      </c>
      <c r="D184" s="1064">
        <v>0.125</v>
      </c>
      <c r="E184" s="1064">
        <v>0.127</v>
      </c>
      <c r="F184" s="1076"/>
    </row>
    <row r="185" spans="1:6" ht="14.25" thickBot="1">
      <c r="A185" s="839" t="s">
        <v>526</v>
      </c>
      <c r="B185" s="833" t="s">
        <v>923</v>
      </c>
      <c r="C185" s="1064">
        <v>0.127</v>
      </c>
      <c r="D185" s="1064">
        <v>0.127</v>
      </c>
      <c r="E185" s="1064">
        <v>0.128</v>
      </c>
      <c r="F185" s="1065">
        <v>0.13</v>
      </c>
    </row>
    <row r="186" spans="1:6" ht="24.75" thickBot="1">
      <c r="A186" s="839" t="s">
        <v>526</v>
      </c>
      <c r="B186" s="833" t="s">
        <v>924</v>
      </c>
      <c r="C186" s="1077"/>
      <c r="D186" s="1077"/>
      <c r="E186" s="1077"/>
      <c r="F186" s="1065">
        <v>0.05</v>
      </c>
    </row>
    <row r="187" spans="1:6" ht="14.25" thickBot="1">
      <c r="A187" s="839" t="s">
        <v>526</v>
      </c>
      <c r="B187" s="833" t="s">
        <v>925</v>
      </c>
      <c r="C187" s="1077"/>
      <c r="D187" s="1077"/>
      <c r="E187" s="1077"/>
      <c r="F187" s="1065">
        <v>0.05</v>
      </c>
    </row>
    <row r="188" spans="1:6" ht="14.25" thickBot="1">
      <c r="A188" s="839" t="s">
        <v>526</v>
      </c>
      <c r="B188" s="833" t="s">
        <v>926</v>
      </c>
      <c r="C188" s="1077"/>
      <c r="D188" s="1077"/>
      <c r="E188" s="1077"/>
      <c r="F188" s="1065">
        <v>0.05</v>
      </c>
    </row>
    <row r="189" spans="1:6" ht="24.75" thickBot="1">
      <c r="A189" s="839" t="s">
        <v>526</v>
      </c>
      <c r="B189" s="833" t="s">
        <v>927</v>
      </c>
      <c r="C189" s="1077"/>
      <c r="D189" s="1077"/>
      <c r="E189" s="1077"/>
      <c r="F189" s="1065">
        <v>0.05</v>
      </c>
    </row>
    <row r="190" spans="1:6" ht="24.75" thickBot="1">
      <c r="A190" s="839" t="s">
        <v>526</v>
      </c>
      <c r="B190" s="833" t="s">
        <v>928</v>
      </c>
      <c r="C190" s="1077"/>
      <c r="D190" s="1077"/>
      <c r="E190" s="1077"/>
      <c r="F190" s="1065">
        <v>0.05</v>
      </c>
    </row>
    <row r="191" spans="1:6" ht="24.75" thickBot="1">
      <c r="A191" s="839" t="s">
        <v>526</v>
      </c>
      <c r="B191" s="833" t="s">
        <v>929</v>
      </c>
      <c r="C191" s="1077"/>
      <c r="D191" s="1077"/>
      <c r="E191" s="1077"/>
      <c r="F191" s="1065">
        <v>0.05</v>
      </c>
    </row>
    <row r="192" spans="1:6" ht="24.75" thickBot="1">
      <c r="A192" s="839" t="s">
        <v>526</v>
      </c>
      <c r="B192" s="833" t="s">
        <v>930</v>
      </c>
      <c r="C192" s="1077"/>
      <c r="D192" s="1077"/>
      <c r="E192" s="1077"/>
      <c r="F192" s="1065">
        <v>0.05</v>
      </c>
    </row>
    <row r="193" spans="1:6" ht="24.75" thickBot="1">
      <c r="A193" s="839" t="s">
        <v>526</v>
      </c>
      <c r="B193" s="833" t="s">
        <v>931</v>
      </c>
      <c r="C193" s="1077"/>
      <c r="D193" s="1077"/>
      <c r="E193" s="1077"/>
      <c r="F193" s="1065">
        <v>0.05</v>
      </c>
    </row>
    <row r="194" spans="1:6" ht="24.75" thickBot="1">
      <c r="A194" s="839" t="s">
        <v>526</v>
      </c>
      <c r="B194" s="833" t="s">
        <v>932</v>
      </c>
      <c r="C194" s="1077"/>
      <c r="D194" s="1077"/>
      <c r="E194" s="1077"/>
      <c r="F194" s="1065">
        <v>0.05</v>
      </c>
    </row>
    <row r="195" spans="1:6" ht="14.25" thickBot="1">
      <c r="A195" s="839" t="s">
        <v>526</v>
      </c>
      <c r="B195" s="833" t="s">
        <v>933</v>
      </c>
      <c r="C195" s="1077"/>
      <c r="D195" s="1077"/>
      <c r="E195" s="1077"/>
      <c r="F195" s="1065">
        <v>0.05</v>
      </c>
    </row>
    <row r="196" spans="1:6" ht="24.75" thickBot="1">
      <c r="A196" s="839" t="s">
        <v>526</v>
      </c>
      <c r="B196" s="833" t="s">
        <v>934</v>
      </c>
      <c r="C196" s="1077"/>
      <c r="D196" s="1077"/>
      <c r="E196" s="1077"/>
      <c r="F196" s="1065">
        <v>0.05</v>
      </c>
    </row>
    <row r="197" spans="1:6" ht="24.75" thickBot="1">
      <c r="A197" s="839" t="s">
        <v>526</v>
      </c>
      <c r="B197" s="833" t="s">
        <v>935</v>
      </c>
      <c r="C197" s="1077"/>
      <c r="D197" s="1077"/>
      <c r="E197" s="1077"/>
      <c r="F197" s="1065">
        <v>0.05</v>
      </c>
    </row>
    <row r="198" spans="1:6" ht="24.75" thickBot="1">
      <c r="A198" s="839" t="s">
        <v>526</v>
      </c>
      <c r="B198" s="833" t="s">
        <v>936</v>
      </c>
      <c r="C198" s="1077"/>
      <c r="D198" s="1077"/>
      <c r="E198" s="1077"/>
      <c r="F198" s="1065">
        <v>0.05</v>
      </c>
    </row>
    <row r="199" spans="1:6" ht="24.75" thickBot="1">
      <c r="A199" s="839" t="s">
        <v>526</v>
      </c>
      <c r="B199" s="833" t="s">
        <v>937</v>
      </c>
      <c r="C199" s="1077"/>
      <c r="D199" s="1077"/>
      <c r="E199" s="1077"/>
      <c r="F199" s="1065">
        <v>0.05</v>
      </c>
    </row>
    <row r="200" spans="1:6" ht="24.75" thickBot="1">
      <c r="A200" s="839" t="s">
        <v>526</v>
      </c>
      <c r="B200" s="833" t="s">
        <v>938</v>
      </c>
      <c r="C200" s="1077"/>
      <c r="D200" s="1077"/>
      <c r="E200" s="1077"/>
      <c r="F200" s="1065">
        <v>0.05</v>
      </c>
    </row>
    <row r="201" spans="1:6" ht="24.75" thickBot="1">
      <c r="A201" s="839" t="s">
        <v>526</v>
      </c>
      <c r="B201" s="833" t="s">
        <v>939</v>
      </c>
      <c r="C201" s="1077"/>
      <c r="D201" s="1077"/>
      <c r="E201" s="1077"/>
      <c r="F201" s="1065">
        <v>0.05</v>
      </c>
    </row>
    <row r="202" spans="1:6" ht="24.75" thickBot="1">
      <c r="A202" s="839" t="s">
        <v>526</v>
      </c>
      <c r="B202" s="833" t="s">
        <v>940</v>
      </c>
      <c r="C202" s="1077"/>
      <c r="D202" s="1077"/>
      <c r="E202" s="1077"/>
      <c r="F202" s="1065">
        <v>0.05</v>
      </c>
    </row>
    <row r="203" spans="1:6" ht="24.75" thickBot="1">
      <c r="A203" s="839" t="s">
        <v>526</v>
      </c>
      <c r="B203" s="833" t="s">
        <v>941</v>
      </c>
      <c r="C203" s="1077"/>
      <c r="D203" s="1077"/>
      <c r="E203" s="1077"/>
      <c r="F203" s="1065">
        <v>0.05</v>
      </c>
    </row>
    <row r="204" spans="1:6" ht="14.25" thickBot="1">
      <c r="A204" s="839" t="s">
        <v>526</v>
      </c>
      <c r="B204" s="833" t="s">
        <v>942</v>
      </c>
      <c r="C204" s="1077"/>
      <c r="D204" s="1077"/>
      <c r="E204" s="1077"/>
      <c r="F204" s="1065">
        <v>0.05</v>
      </c>
    </row>
    <row r="205" spans="1:6" ht="14.25" thickBot="1">
      <c r="A205" s="849" t="s">
        <v>526</v>
      </c>
      <c r="B205" s="845" t="s">
        <v>943</v>
      </c>
      <c r="C205" s="1074"/>
      <c r="D205" s="1074"/>
      <c r="E205" s="1074"/>
      <c r="F205" s="1067">
        <v>0.05</v>
      </c>
    </row>
    <row r="206" spans="1:6" ht="14.25" thickBot="1">
      <c r="A206" s="839" t="s">
        <v>528</v>
      </c>
      <c r="B206" s="840" t="s">
        <v>944</v>
      </c>
      <c r="C206" s="1062">
        <v>0.15</v>
      </c>
      <c r="D206" s="1062">
        <v>0.15</v>
      </c>
      <c r="E206" s="1062">
        <v>0.15</v>
      </c>
      <c r="F206" s="1063">
        <v>0.15</v>
      </c>
    </row>
    <row r="207" spans="1:6" ht="14.25" thickBot="1">
      <c r="A207" s="839" t="s">
        <v>528</v>
      </c>
      <c r="B207" s="833" t="s">
        <v>194</v>
      </c>
      <c r="C207" s="1064">
        <v>0.15</v>
      </c>
      <c r="D207" s="1064">
        <v>0.15</v>
      </c>
      <c r="E207" s="1064">
        <v>0.15</v>
      </c>
      <c r="F207" s="1065">
        <v>0.14399999999999999</v>
      </c>
    </row>
    <row r="208" spans="1:6" ht="14.25" thickBot="1">
      <c r="A208" s="839" t="s">
        <v>528</v>
      </c>
      <c r="B208" s="833" t="s">
        <v>207</v>
      </c>
      <c r="C208" s="1064">
        <v>0.15</v>
      </c>
      <c r="D208" s="1064">
        <v>0.15</v>
      </c>
      <c r="E208" s="1064">
        <v>0.15</v>
      </c>
      <c r="F208" s="1065">
        <v>0.15</v>
      </c>
    </row>
    <row r="209" spans="1:6" ht="14.25" thickBot="1">
      <c r="A209" s="839" t="s">
        <v>528</v>
      </c>
      <c r="B209" s="833" t="s">
        <v>220</v>
      </c>
      <c r="C209" s="1064">
        <v>0.13700000000000001</v>
      </c>
      <c r="D209" s="1064">
        <v>0.13700000000000001</v>
      </c>
      <c r="E209" s="1064">
        <v>0.14000000000000001</v>
      </c>
      <c r="F209" s="1065">
        <v>0.11700000000000001</v>
      </c>
    </row>
    <row r="210" spans="1:6" ht="14.25" thickBot="1">
      <c r="A210" s="839" t="s">
        <v>528</v>
      </c>
      <c r="B210" s="833" t="s">
        <v>945</v>
      </c>
      <c r="C210" s="1064">
        <v>0.15</v>
      </c>
      <c r="D210" s="1064">
        <v>0.15</v>
      </c>
      <c r="E210" s="1064">
        <v>0.15</v>
      </c>
      <c r="F210" s="1065">
        <v>0.13800000000000001</v>
      </c>
    </row>
    <row r="211" spans="1:6" ht="14.25" thickBot="1">
      <c r="A211" s="839" t="s">
        <v>528</v>
      </c>
      <c r="B211" s="833" t="s">
        <v>946</v>
      </c>
      <c r="C211" s="1064">
        <v>0.13700000000000001</v>
      </c>
      <c r="D211" s="1064">
        <v>0.13500000000000001</v>
      </c>
      <c r="E211" s="1064">
        <v>0.13600000000000001</v>
      </c>
      <c r="F211" s="1065">
        <v>0.1</v>
      </c>
    </row>
    <row r="212" spans="1:6" ht="14.25" thickBot="1">
      <c r="A212" s="839" t="s">
        <v>528</v>
      </c>
      <c r="B212" s="833" t="s">
        <v>947</v>
      </c>
      <c r="C212" s="1064">
        <v>0.15</v>
      </c>
      <c r="D212" s="1064">
        <v>0.15</v>
      </c>
      <c r="E212" s="1064">
        <v>0.14799999999999999</v>
      </c>
      <c r="F212" s="1065">
        <v>0.13600000000000001</v>
      </c>
    </row>
    <row r="213" spans="1:6" ht="14.25" thickBot="1">
      <c r="A213" s="839" t="s">
        <v>528</v>
      </c>
      <c r="B213" s="833" t="s">
        <v>265</v>
      </c>
      <c r="C213" s="1064">
        <v>0.15</v>
      </c>
      <c r="D213" s="1064">
        <v>0.15</v>
      </c>
      <c r="E213" s="1064">
        <v>0.15</v>
      </c>
      <c r="F213" s="1065">
        <v>0.13800000000000001</v>
      </c>
    </row>
    <row r="214" spans="1:6" ht="14.25" thickBot="1">
      <c r="A214" s="839" t="s">
        <v>528</v>
      </c>
      <c r="B214" s="833" t="s">
        <v>277</v>
      </c>
      <c r="C214" s="1064">
        <v>9.0999999999999998E-2</v>
      </c>
      <c r="D214" s="1064">
        <v>0.09</v>
      </c>
      <c r="E214" s="1064">
        <v>9.1999999999999998E-2</v>
      </c>
      <c r="F214" s="1076"/>
    </row>
    <row r="215" spans="1:6" ht="14.25" thickBot="1">
      <c r="A215" s="839" t="s">
        <v>528</v>
      </c>
      <c r="B215" s="833" t="s">
        <v>948</v>
      </c>
      <c r="C215" s="1064">
        <v>0.15</v>
      </c>
      <c r="D215" s="1064">
        <v>0.15</v>
      </c>
      <c r="E215" s="1064">
        <v>0.15</v>
      </c>
      <c r="F215" s="1065">
        <v>0.15</v>
      </c>
    </row>
    <row r="216" spans="1:6" ht="14.25" thickBot="1">
      <c r="A216" s="839" t="s">
        <v>528</v>
      </c>
      <c r="B216" s="833" t="s">
        <v>297</v>
      </c>
      <c r="C216" s="1064">
        <v>0.14699999999999999</v>
      </c>
      <c r="D216" s="1064">
        <v>0.14699999999999999</v>
      </c>
      <c r="E216" s="1064">
        <v>0.15</v>
      </c>
      <c r="F216" s="1065">
        <v>0.14000000000000001</v>
      </c>
    </row>
    <row r="217" spans="1:6" ht="14.25" thickBot="1">
      <c r="A217" s="839" t="s">
        <v>528</v>
      </c>
      <c r="B217" s="833" t="s">
        <v>307</v>
      </c>
      <c r="C217" s="1064">
        <v>0.15</v>
      </c>
      <c r="D217" s="1064">
        <v>0.15</v>
      </c>
      <c r="E217" s="1064">
        <v>0.15</v>
      </c>
      <c r="F217" s="1065">
        <v>0.15</v>
      </c>
    </row>
    <row r="218" spans="1:6" ht="14.25" thickBot="1">
      <c r="A218" s="839" t="s">
        <v>528</v>
      </c>
      <c r="B218" s="833" t="s">
        <v>949</v>
      </c>
      <c r="C218" s="1064">
        <v>0.15</v>
      </c>
      <c r="D218" s="1064">
        <v>0.15</v>
      </c>
      <c r="E218" s="1064">
        <v>0.15</v>
      </c>
      <c r="F218" s="1065">
        <v>0.15</v>
      </c>
    </row>
    <row r="219" spans="1:6" ht="14.25" thickBot="1">
      <c r="A219" s="839" t="s">
        <v>528</v>
      </c>
      <c r="B219" s="833" t="s">
        <v>328</v>
      </c>
      <c r="C219" s="1064">
        <v>0.15</v>
      </c>
      <c r="D219" s="1064">
        <v>0.15</v>
      </c>
      <c r="E219" s="1064">
        <v>0.15</v>
      </c>
      <c r="F219" s="1065">
        <v>0.14799999999999999</v>
      </c>
    </row>
    <row r="220" spans="1:6" ht="14.25" thickBot="1">
      <c r="A220" s="839" t="s">
        <v>528</v>
      </c>
      <c r="B220" s="833" t="s">
        <v>950</v>
      </c>
      <c r="C220" s="1064">
        <v>0.15</v>
      </c>
      <c r="D220" s="1064">
        <v>0.15</v>
      </c>
      <c r="E220" s="1064">
        <v>0.15</v>
      </c>
      <c r="F220" s="1065">
        <v>0.15</v>
      </c>
    </row>
    <row r="221" spans="1:6" ht="14.25" thickBot="1">
      <c r="A221" s="839" t="s">
        <v>528</v>
      </c>
      <c r="B221" s="833" t="s">
        <v>349</v>
      </c>
      <c r="C221" s="1064"/>
      <c r="D221" s="1077"/>
      <c r="E221" s="1077"/>
      <c r="F221" s="1065">
        <v>0.14799999999999999</v>
      </c>
    </row>
    <row r="222" spans="1:6" ht="14.25" thickBot="1">
      <c r="A222" s="839" t="s">
        <v>528</v>
      </c>
      <c r="B222" s="833" t="s">
        <v>359</v>
      </c>
      <c r="C222" s="1064"/>
      <c r="D222" s="1077"/>
      <c r="E222" s="1077"/>
      <c r="F222" s="1065">
        <v>0.1</v>
      </c>
    </row>
    <row r="223" spans="1:6" ht="14.25" thickBot="1">
      <c r="A223" s="839" t="s">
        <v>528</v>
      </c>
      <c r="B223" s="833" t="s">
        <v>369</v>
      </c>
      <c r="C223" s="1064"/>
      <c r="D223" s="1077"/>
      <c r="E223" s="1077"/>
      <c r="F223" s="1065">
        <v>0.15</v>
      </c>
    </row>
    <row r="224" spans="1:6" ht="14.25" thickBot="1">
      <c r="A224" s="839" t="s">
        <v>528</v>
      </c>
      <c r="B224" s="833" t="s">
        <v>379</v>
      </c>
      <c r="C224" s="1064"/>
      <c r="D224" s="1077"/>
      <c r="E224" s="1077"/>
      <c r="F224" s="1065">
        <v>0.15</v>
      </c>
    </row>
    <row r="225" spans="1:6" ht="14.25" thickBot="1">
      <c r="A225" s="839" t="s">
        <v>528</v>
      </c>
      <c r="B225" s="833" t="s">
        <v>951</v>
      </c>
      <c r="C225" s="1064">
        <v>0.15</v>
      </c>
      <c r="D225" s="1064">
        <v>0.15</v>
      </c>
      <c r="E225" s="1064">
        <v>0.15</v>
      </c>
      <c r="F225" s="1065">
        <v>0.15</v>
      </c>
    </row>
    <row r="226" spans="1:6" ht="14.25" thickBot="1">
      <c r="A226" s="839" t="s">
        <v>528</v>
      </c>
      <c r="B226" s="833" t="s">
        <v>397</v>
      </c>
      <c r="C226" s="1064">
        <v>0.15</v>
      </c>
      <c r="D226" s="1064">
        <v>0.15</v>
      </c>
      <c r="E226" s="1064">
        <v>0.15</v>
      </c>
      <c r="F226" s="1065">
        <v>0.14799999999999999</v>
      </c>
    </row>
    <row r="227" spans="1:6" ht="14.25" thickBot="1">
      <c r="A227" s="839" t="s">
        <v>528</v>
      </c>
      <c r="B227" s="833" t="s">
        <v>952</v>
      </c>
      <c r="C227" s="1064">
        <v>0.15</v>
      </c>
      <c r="D227" s="1064">
        <v>0.15</v>
      </c>
      <c r="E227" s="1064">
        <v>0.15</v>
      </c>
      <c r="F227" s="1065">
        <v>0.15</v>
      </c>
    </row>
    <row r="228" spans="1:6" ht="14.25" thickBot="1">
      <c r="A228" s="839" t="s">
        <v>528</v>
      </c>
      <c r="B228" s="833" t="s">
        <v>412</v>
      </c>
      <c r="C228" s="1064">
        <v>0.15</v>
      </c>
      <c r="D228" s="1064">
        <v>0.15</v>
      </c>
      <c r="E228" s="1064">
        <v>0.15</v>
      </c>
      <c r="F228" s="1065">
        <v>0.15</v>
      </c>
    </row>
    <row r="229" spans="1:6" ht="14.25" thickBot="1">
      <c r="A229" s="839" t="s">
        <v>528</v>
      </c>
      <c r="B229" s="833" t="s">
        <v>419</v>
      </c>
      <c r="C229" s="1064">
        <v>0.15</v>
      </c>
      <c r="D229" s="1064">
        <v>0.15</v>
      </c>
      <c r="E229" s="1064">
        <v>0.15</v>
      </c>
      <c r="F229" s="1076"/>
    </row>
    <row r="230" spans="1:6" ht="14.25" thickBot="1">
      <c r="A230" s="839" t="s">
        <v>528</v>
      </c>
      <c r="B230" s="833" t="s">
        <v>426</v>
      </c>
      <c r="C230" s="1064">
        <v>0.14499999999999999</v>
      </c>
      <c r="D230" s="1064">
        <v>0.14499999999999999</v>
      </c>
      <c r="E230" s="1064">
        <v>0.14399999999999999</v>
      </c>
      <c r="F230" s="1076"/>
    </row>
    <row r="231" spans="1:6" ht="14.25" thickBot="1">
      <c r="A231" s="839" t="s">
        <v>528</v>
      </c>
      <c r="B231" s="833" t="s">
        <v>953</v>
      </c>
      <c r="C231" s="1064">
        <v>0.128</v>
      </c>
      <c r="D231" s="1064">
        <v>0.125</v>
      </c>
      <c r="E231" s="1064">
        <v>0.13200000000000001</v>
      </c>
      <c r="F231" s="1076"/>
    </row>
    <row r="232" spans="1:6" ht="14.25" thickBot="1">
      <c r="A232" s="839" t="s">
        <v>528</v>
      </c>
      <c r="B232" s="833" t="s">
        <v>954</v>
      </c>
      <c r="C232" s="1064">
        <v>0.14499999999999999</v>
      </c>
      <c r="D232" s="1064">
        <v>0.14399999999999999</v>
      </c>
      <c r="E232" s="1064">
        <v>0.14599999999999999</v>
      </c>
      <c r="F232" s="1065">
        <v>0.13800000000000001</v>
      </c>
    </row>
    <row r="233" spans="1:6" ht="14.25" thickBot="1">
      <c r="A233" s="839" t="s">
        <v>528</v>
      </c>
      <c r="B233" s="833" t="s">
        <v>955</v>
      </c>
      <c r="C233" s="1064">
        <v>0.14499999999999999</v>
      </c>
      <c r="D233" s="1064">
        <v>0.14299999999999999</v>
      </c>
      <c r="E233" s="1064">
        <v>0.14199999999999999</v>
      </c>
      <c r="F233" s="1076"/>
    </row>
    <row r="234" spans="1:6" ht="14.25" thickBot="1">
      <c r="A234" s="839" t="s">
        <v>528</v>
      </c>
      <c r="B234" s="833" t="s">
        <v>956</v>
      </c>
      <c r="C234" s="1064">
        <v>0.14000000000000001</v>
      </c>
      <c r="D234" s="1064">
        <v>0.14000000000000001</v>
      </c>
      <c r="E234" s="1064">
        <v>0.14399999999999999</v>
      </c>
      <c r="F234" s="1076"/>
    </row>
    <row r="235" spans="1:6" ht="14.25" thickBot="1">
      <c r="A235" s="839" t="s">
        <v>528</v>
      </c>
      <c r="B235" s="833" t="s">
        <v>957</v>
      </c>
      <c r="C235" s="1064">
        <v>0.14099999999999999</v>
      </c>
      <c r="D235" s="1064">
        <v>0.14199999999999999</v>
      </c>
      <c r="E235" s="1064">
        <v>0.14499999999999999</v>
      </c>
      <c r="F235" s="1065">
        <v>0.15</v>
      </c>
    </row>
    <row r="236" spans="1:6" ht="14.25" thickBot="1">
      <c r="A236" s="839" t="s">
        <v>528</v>
      </c>
      <c r="B236" s="833" t="s">
        <v>461</v>
      </c>
      <c r="C236" s="1077"/>
      <c r="D236" s="1077"/>
      <c r="E236" s="1077"/>
      <c r="F236" s="1065">
        <v>0.14299999999999999</v>
      </c>
    </row>
    <row r="237" spans="1:6" ht="24.75" thickBot="1">
      <c r="A237" s="839" t="s">
        <v>528</v>
      </c>
      <c r="B237" s="833" t="s">
        <v>958</v>
      </c>
      <c r="C237" s="1077"/>
      <c r="D237" s="1077"/>
      <c r="E237" s="1077"/>
      <c r="F237" s="1065">
        <v>0.05</v>
      </c>
    </row>
    <row r="238" spans="1:6" ht="24.75" thickBot="1">
      <c r="A238" s="839" t="s">
        <v>528</v>
      </c>
      <c r="B238" s="833" t="s">
        <v>959</v>
      </c>
      <c r="C238" s="1077"/>
      <c r="D238" s="1077"/>
      <c r="E238" s="1077"/>
      <c r="F238" s="1065">
        <v>0.05</v>
      </c>
    </row>
    <row r="239" spans="1:6" ht="24.75" thickBot="1">
      <c r="A239" s="839" t="s">
        <v>528</v>
      </c>
      <c r="B239" s="833" t="s">
        <v>960</v>
      </c>
      <c r="C239" s="1077"/>
      <c r="D239" s="1077"/>
      <c r="E239" s="1077"/>
      <c r="F239" s="1065">
        <v>0.05</v>
      </c>
    </row>
    <row r="240" spans="1:6" ht="24.75" thickBot="1">
      <c r="A240" s="839" t="s">
        <v>528</v>
      </c>
      <c r="B240" s="833" t="s">
        <v>961</v>
      </c>
      <c r="C240" s="1077"/>
      <c r="D240" s="1077"/>
      <c r="E240" s="1077"/>
      <c r="F240" s="1065">
        <v>0.05</v>
      </c>
    </row>
    <row r="241" spans="1:6" ht="24.75" thickBot="1">
      <c r="A241" s="839" t="s">
        <v>528</v>
      </c>
      <c r="B241" s="833" t="s">
        <v>962</v>
      </c>
      <c r="C241" s="1077"/>
      <c r="D241" s="1077"/>
      <c r="E241" s="1077"/>
      <c r="F241" s="1065">
        <v>0.05</v>
      </c>
    </row>
    <row r="242" spans="1:6" ht="24.75" thickBot="1">
      <c r="A242" s="839" t="s">
        <v>528</v>
      </c>
      <c r="B242" s="833" t="s">
        <v>963</v>
      </c>
      <c r="C242" s="1077"/>
      <c r="D242" s="1077"/>
      <c r="E242" s="1077"/>
      <c r="F242" s="1065">
        <v>0.05</v>
      </c>
    </row>
    <row r="243" spans="1:6" ht="24.75" thickBot="1">
      <c r="A243" s="839" t="s">
        <v>528</v>
      </c>
      <c r="B243" s="833" t="s">
        <v>964</v>
      </c>
      <c r="C243" s="1077"/>
      <c r="D243" s="1077"/>
      <c r="E243" s="1077"/>
      <c r="F243" s="1065">
        <v>0.05</v>
      </c>
    </row>
    <row r="244" spans="1:6" ht="24.75" thickBot="1">
      <c r="A244" s="849" t="s">
        <v>528</v>
      </c>
      <c r="B244" s="845" t="s">
        <v>965</v>
      </c>
      <c r="C244" s="1074"/>
      <c r="D244" s="1074"/>
      <c r="E244" s="1074"/>
      <c r="F244" s="1067">
        <v>0.05</v>
      </c>
    </row>
    <row r="245" spans="1:6" ht="14.25" thickBot="1">
      <c r="A245" s="839" t="s">
        <v>530</v>
      </c>
      <c r="B245" s="840" t="s">
        <v>966</v>
      </c>
      <c r="C245" s="1062">
        <v>0.15</v>
      </c>
      <c r="D245" s="1062">
        <v>0.15</v>
      </c>
      <c r="E245" s="1062">
        <v>0.15</v>
      </c>
      <c r="F245" s="1063">
        <v>0.14299999999999999</v>
      </c>
    </row>
    <row r="246" spans="1:6" ht="14.25" thickBot="1">
      <c r="A246" s="839" t="s">
        <v>530</v>
      </c>
      <c r="B246" s="833" t="s">
        <v>195</v>
      </c>
      <c r="C246" s="1064">
        <v>0.15</v>
      </c>
      <c r="D246" s="1064">
        <v>0.15</v>
      </c>
      <c r="E246" s="1064">
        <v>0.15</v>
      </c>
      <c r="F246" s="1065">
        <v>0.114</v>
      </c>
    </row>
    <row r="247" spans="1:6" ht="14.25" thickBot="1">
      <c r="A247" s="839" t="s">
        <v>530</v>
      </c>
      <c r="B247" s="833" t="s">
        <v>967</v>
      </c>
      <c r="C247" s="1064">
        <v>0.15</v>
      </c>
      <c r="D247" s="1064">
        <v>0.15</v>
      </c>
      <c r="E247" s="1064">
        <v>0.15</v>
      </c>
      <c r="F247" s="1065">
        <v>0.15</v>
      </c>
    </row>
    <row r="248" spans="1:6" ht="14.25" thickBot="1">
      <c r="A248" s="839" t="s">
        <v>530</v>
      </c>
      <c r="B248" s="833" t="s">
        <v>968</v>
      </c>
      <c r="C248" s="1064">
        <v>0.15</v>
      </c>
      <c r="D248" s="1064">
        <v>0.15</v>
      </c>
      <c r="E248" s="1064">
        <v>0.15</v>
      </c>
      <c r="F248" s="1065">
        <v>0.14000000000000001</v>
      </c>
    </row>
    <row r="249" spans="1:6" ht="14.25" thickBot="1">
      <c r="A249" s="839" t="s">
        <v>530</v>
      </c>
      <c r="B249" s="833" t="s">
        <v>969</v>
      </c>
      <c r="C249" s="1064">
        <v>0.15</v>
      </c>
      <c r="D249" s="1064">
        <v>0.14899999999999999</v>
      </c>
      <c r="E249" s="1064">
        <v>0.15</v>
      </c>
      <c r="F249" s="1065">
        <v>0.1</v>
      </c>
    </row>
    <row r="250" spans="1:6" ht="14.25" thickBot="1">
      <c r="A250" s="839" t="s">
        <v>530</v>
      </c>
      <c r="B250" s="833" t="s">
        <v>970</v>
      </c>
      <c r="C250" s="1064">
        <v>0.15</v>
      </c>
      <c r="D250" s="1064">
        <v>0.15</v>
      </c>
      <c r="E250" s="1064">
        <v>0.15</v>
      </c>
      <c r="F250" s="1065">
        <v>0.14399999999999999</v>
      </c>
    </row>
    <row r="251" spans="1:6" ht="14.25" thickBot="1">
      <c r="A251" s="839" t="s">
        <v>530</v>
      </c>
      <c r="B251" s="833" t="s">
        <v>255</v>
      </c>
      <c r="C251" s="1064">
        <v>0.15</v>
      </c>
      <c r="D251" s="1064">
        <v>0.15</v>
      </c>
      <c r="E251" s="1064">
        <v>0.15</v>
      </c>
      <c r="F251" s="1065">
        <v>0.14299999999999999</v>
      </c>
    </row>
    <row r="252" spans="1:6" ht="14.25" thickBot="1">
      <c r="A252" s="839" t="s">
        <v>530</v>
      </c>
      <c r="B252" s="833" t="s">
        <v>266</v>
      </c>
      <c r="C252" s="1064">
        <v>0.15</v>
      </c>
      <c r="D252" s="1064">
        <v>0.15</v>
      </c>
      <c r="E252" s="1064">
        <v>0.15</v>
      </c>
      <c r="F252" s="1065">
        <v>0.1</v>
      </c>
    </row>
    <row r="253" spans="1:6" ht="14.25" thickBot="1">
      <c r="A253" s="839" t="s">
        <v>530</v>
      </c>
      <c r="B253" s="833" t="s">
        <v>278</v>
      </c>
      <c r="C253" s="1064">
        <v>0.15</v>
      </c>
      <c r="D253" s="1064">
        <v>0.15</v>
      </c>
      <c r="E253" s="1064">
        <v>0.15</v>
      </c>
      <c r="F253" s="1065">
        <v>0.1</v>
      </c>
    </row>
    <row r="254" spans="1:6" ht="14.25" thickBot="1">
      <c r="A254" s="839" t="s">
        <v>530</v>
      </c>
      <c r="B254" s="833" t="s">
        <v>288</v>
      </c>
      <c r="C254" s="1077"/>
      <c r="D254" s="1077"/>
      <c r="E254" s="1077"/>
      <c r="F254" s="1065">
        <v>0.15</v>
      </c>
    </row>
    <row r="255" spans="1:6" ht="14.25" thickBot="1">
      <c r="A255" s="839" t="s">
        <v>530</v>
      </c>
      <c r="B255" s="833" t="s">
        <v>298</v>
      </c>
      <c r="C255" s="1077"/>
      <c r="D255" s="1077"/>
      <c r="E255" s="1077"/>
      <c r="F255" s="1065">
        <v>0.14299999999999999</v>
      </c>
    </row>
    <row r="256" spans="1:6" ht="14.25" thickBot="1">
      <c r="A256" s="839" t="s">
        <v>530</v>
      </c>
      <c r="B256" s="833" t="s">
        <v>971</v>
      </c>
      <c r="C256" s="1064">
        <v>0.14599999999999999</v>
      </c>
      <c r="D256" s="1064">
        <v>0.14699999999999999</v>
      </c>
      <c r="E256" s="1064">
        <v>0.15</v>
      </c>
      <c r="F256" s="1065">
        <v>0.13200000000000001</v>
      </c>
    </row>
    <row r="257" spans="1:6" ht="14.25" thickBot="1">
      <c r="A257" s="839" t="s">
        <v>530</v>
      </c>
      <c r="B257" s="833" t="s">
        <v>318</v>
      </c>
      <c r="C257" s="1064">
        <v>0.15</v>
      </c>
      <c r="D257" s="1064">
        <v>0.15</v>
      </c>
      <c r="E257" s="1064">
        <v>0.15</v>
      </c>
      <c r="F257" s="1065">
        <v>0.13900000000000001</v>
      </c>
    </row>
    <row r="258" spans="1:6" ht="14.25" thickBot="1">
      <c r="A258" s="839" t="s">
        <v>530</v>
      </c>
      <c r="B258" s="833" t="s">
        <v>329</v>
      </c>
      <c r="C258" s="1064">
        <v>0.15</v>
      </c>
      <c r="D258" s="1064">
        <v>0.15</v>
      </c>
      <c r="E258" s="1064">
        <v>0.15</v>
      </c>
      <c r="F258" s="1065">
        <v>0.13</v>
      </c>
    </row>
    <row r="259" spans="1:6" ht="14.25" thickBot="1">
      <c r="A259" s="839" t="s">
        <v>530</v>
      </c>
      <c r="B259" s="833" t="s">
        <v>972</v>
      </c>
      <c r="C259" s="1064">
        <v>0.14799999999999999</v>
      </c>
      <c r="D259" s="1064">
        <v>0.14899999999999999</v>
      </c>
      <c r="E259" s="1064">
        <v>0.15</v>
      </c>
      <c r="F259" s="1065">
        <v>0.13700000000000001</v>
      </c>
    </row>
    <row r="260" spans="1:6" ht="14.25" thickBot="1">
      <c r="A260" s="839" t="s">
        <v>530</v>
      </c>
      <c r="B260" s="833" t="s">
        <v>350</v>
      </c>
      <c r="C260" s="1064">
        <v>0.15</v>
      </c>
      <c r="D260" s="1064">
        <v>0.15</v>
      </c>
      <c r="E260" s="1064">
        <v>0.15</v>
      </c>
      <c r="F260" s="1065">
        <v>0.14199999999999999</v>
      </c>
    </row>
    <row r="261" spans="1:6" ht="14.25" thickBot="1">
      <c r="A261" s="839" t="s">
        <v>530</v>
      </c>
      <c r="B261" s="833" t="s">
        <v>360</v>
      </c>
      <c r="C261" s="1064">
        <v>0.15</v>
      </c>
      <c r="D261" s="1064">
        <v>0.15</v>
      </c>
      <c r="E261" s="1064">
        <v>0.14899999999999999</v>
      </c>
      <c r="F261" s="1065">
        <v>0.14799999999999999</v>
      </c>
    </row>
    <row r="262" spans="1:6" ht="14.25" thickBot="1">
      <c r="A262" s="839" t="s">
        <v>530</v>
      </c>
      <c r="B262" s="833" t="s">
        <v>370</v>
      </c>
      <c r="C262" s="1064">
        <v>0.15</v>
      </c>
      <c r="D262" s="1064">
        <v>0.15</v>
      </c>
      <c r="E262" s="1064">
        <v>0.15</v>
      </c>
      <c r="F262" s="1076"/>
    </row>
    <row r="263" spans="1:6" ht="14.25" thickBot="1">
      <c r="A263" s="839" t="s">
        <v>530</v>
      </c>
      <c r="B263" s="833" t="s">
        <v>973</v>
      </c>
      <c r="C263" s="1064">
        <v>0.14899999999999999</v>
      </c>
      <c r="D263" s="1064">
        <v>0.14899999999999999</v>
      </c>
      <c r="E263" s="1064">
        <v>0.15</v>
      </c>
      <c r="F263" s="1065">
        <v>0.13</v>
      </c>
    </row>
    <row r="264" spans="1:6" ht="14.25" thickBot="1">
      <c r="A264" s="839" t="s">
        <v>530</v>
      </c>
      <c r="B264" s="833" t="s">
        <v>389</v>
      </c>
      <c r="C264" s="1064">
        <v>0.14799999999999999</v>
      </c>
      <c r="D264" s="1064">
        <v>0.14699999999999999</v>
      </c>
      <c r="E264" s="1064">
        <v>0.15</v>
      </c>
      <c r="F264" s="1065">
        <v>7.8E-2</v>
      </c>
    </row>
    <row r="265" spans="1:6" ht="14.25" thickBot="1">
      <c r="A265" s="839" t="s">
        <v>530</v>
      </c>
      <c r="B265" s="833" t="s">
        <v>398</v>
      </c>
      <c r="C265" s="1064">
        <v>0.15</v>
      </c>
      <c r="D265" s="1064">
        <v>0.15</v>
      </c>
      <c r="E265" s="1064">
        <v>0.15</v>
      </c>
      <c r="F265" s="1065">
        <v>7.3999999999999996E-2</v>
      </c>
    </row>
    <row r="266" spans="1:6" ht="14.25" thickBot="1">
      <c r="A266" s="839" t="s">
        <v>530</v>
      </c>
      <c r="B266" s="833" t="s">
        <v>406</v>
      </c>
      <c r="C266" s="1064">
        <v>0.14699999999999999</v>
      </c>
      <c r="D266" s="1064">
        <v>0.14699999999999999</v>
      </c>
      <c r="E266" s="1064">
        <v>0.15</v>
      </c>
      <c r="F266" s="1065">
        <v>0.14299999999999999</v>
      </c>
    </row>
    <row r="267" spans="1:6" ht="14.25" thickBot="1">
      <c r="A267" s="839" t="s">
        <v>530</v>
      </c>
      <c r="B267" s="833" t="s">
        <v>413</v>
      </c>
      <c r="C267" s="1064">
        <v>0.14199999999999999</v>
      </c>
      <c r="D267" s="1064">
        <v>0.14299999999999999</v>
      </c>
      <c r="E267" s="1064">
        <v>0.15</v>
      </c>
      <c r="F267" s="1076"/>
    </row>
    <row r="268" spans="1:6" ht="14.25" thickBot="1">
      <c r="A268" s="839" t="s">
        <v>530</v>
      </c>
      <c r="B268" s="833" t="s">
        <v>974</v>
      </c>
      <c r="C268" s="1064">
        <v>0.15</v>
      </c>
      <c r="D268" s="1064">
        <v>0.15</v>
      </c>
      <c r="E268" s="1064">
        <v>0.15</v>
      </c>
      <c r="F268" s="1065">
        <v>0.13</v>
      </c>
    </row>
    <row r="269" spans="1:6" ht="14.25" thickBot="1">
      <c r="A269" s="839" t="s">
        <v>530</v>
      </c>
      <c r="B269" s="833" t="s">
        <v>427</v>
      </c>
      <c r="C269" s="1064">
        <v>0.15</v>
      </c>
      <c r="D269" s="1064">
        <v>0.15</v>
      </c>
      <c r="E269" s="1064">
        <v>0.15</v>
      </c>
      <c r="F269" s="1065">
        <v>0.14299999999999999</v>
      </c>
    </row>
    <row r="270" spans="1:6" ht="14.25" thickBot="1">
      <c r="A270" s="839" t="s">
        <v>530</v>
      </c>
      <c r="B270" s="833" t="s">
        <v>434</v>
      </c>
      <c r="C270" s="1064">
        <v>0.14499999999999999</v>
      </c>
      <c r="D270" s="1064">
        <v>0.14499999999999999</v>
      </c>
      <c r="E270" s="1064">
        <v>0.15</v>
      </c>
      <c r="F270" s="1065">
        <v>0.14699999999999999</v>
      </c>
    </row>
    <row r="271" spans="1:6" ht="14.25" thickBot="1">
      <c r="A271" s="839" t="s">
        <v>530</v>
      </c>
      <c r="B271" s="833" t="s">
        <v>441</v>
      </c>
      <c r="C271" s="1064">
        <v>0.15</v>
      </c>
      <c r="D271" s="1064">
        <v>0.15</v>
      </c>
      <c r="E271" s="1064">
        <v>0.15</v>
      </c>
      <c r="F271" s="1065">
        <v>0.13800000000000001</v>
      </c>
    </row>
    <row r="272" spans="1:6" ht="14.25" thickBot="1">
      <c r="A272" s="839" t="s">
        <v>530</v>
      </c>
      <c r="B272" s="833" t="s">
        <v>448</v>
      </c>
      <c r="C272" s="1077"/>
      <c r="D272" s="1077"/>
      <c r="E272" s="1077"/>
      <c r="F272" s="1065">
        <v>0.14000000000000001</v>
      </c>
    </row>
    <row r="273" spans="1:6" ht="14.25" thickBot="1">
      <c r="A273" s="839" t="s">
        <v>530</v>
      </c>
      <c r="B273" s="833" t="s">
        <v>975</v>
      </c>
      <c r="C273" s="1064">
        <v>0.14199999999999999</v>
      </c>
      <c r="D273" s="1064">
        <v>0.14299999999999999</v>
      </c>
      <c r="E273" s="1064">
        <v>0.15</v>
      </c>
      <c r="F273" s="1065">
        <v>0.1</v>
      </c>
    </row>
    <row r="274" spans="1:6" ht="14.25" thickBot="1">
      <c r="A274" s="839" t="s">
        <v>530</v>
      </c>
      <c r="B274" s="833" t="s">
        <v>976</v>
      </c>
      <c r="C274" s="1064">
        <v>0.14799999999999999</v>
      </c>
      <c r="D274" s="1064">
        <v>0.14799999999999999</v>
      </c>
      <c r="E274" s="1064">
        <v>0.15</v>
      </c>
      <c r="F274" s="1065">
        <v>6.7000000000000004E-2</v>
      </c>
    </row>
    <row r="275" spans="1:6" ht="14.25" thickBot="1">
      <c r="A275" s="839" t="s">
        <v>530</v>
      </c>
      <c r="B275" s="833" t="s">
        <v>977</v>
      </c>
      <c r="C275" s="1064">
        <v>0.15</v>
      </c>
      <c r="D275" s="1064">
        <v>0.15</v>
      </c>
      <c r="E275" s="1064">
        <v>0.15</v>
      </c>
      <c r="F275" s="1065">
        <v>0.15</v>
      </c>
    </row>
    <row r="276" spans="1:6" ht="14.25" thickBot="1">
      <c r="A276" s="839" t="s">
        <v>530</v>
      </c>
      <c r="B276" s="833" t="s">
        <v>978</v>
      </c>
      <c r="C276" s="1064">
        <v>0.14499999999999999</v>
      </c>
      <c r="D276" s="1064">
        <v>0.14299999999999999</v>
      </c>
      <c r="E276" s="1064">
        <v>0.15</v>
      </c>
      <c r="F276" s="1065">
        <v>5.8999999999999997E-2</v>
      </c>
    </row>
    <row r="277" spans="1:6" ht="14.25" thickBot="1">
      <c r="A277" s="839" t="s">
        <v>530</v>
      </c>
      <c r="B277" s="833" t="s">
        <v>979</v>
      </c>
      <c r="C277" s="1064">
        <v>0.15</v>
      </c>
      <c r="D277" s="1064">
        <v>0.15</v>
      </c>
      <c r="E277" s="1064">
        <v>0.15</v>
      </c>
      <c r="F277" s="1065">
        <v>0.121</v>
      </c>
    </row>
    <row r="278" spans="1:6" ht="14.25" thickBot="1">
      <c r="A278" s="839" t="s">
        <v>530</v>
      </c>
      <c r="B278" s="833" t="s">
        <v>980</v>
      </c>
      <c r="C278" s="1064">
        <v>0.15</v>
      </c>
      <c r="D278" s="1064">
        <v>0.15</v>
      </c>
      <c r="E278" s="1064">
        <v>0.15</v>
      </c>
      <c r="F278" s="1065">
        <v>0.13800000000000001</v>
      </c>
    </row>
    <row r="279" spans="1:6" ht="24.75" thickBot="1">
      <c r="A279" s="839" t="s">
        <v>530</v>
      </c>
      <c r="B279" s="833" t="s">
        <v>981</v>
      </c>
      <c r="C279" s="1077"/>
      <c r="D279" s="1077"/>
      <c r="E279" s="1077"/>
      <c r="F279" s="1065">
        <v>0.05</v>
      </c>
    </row>
    <row r="280" spans="1:6" ht="24.75" thickBot="1">
      <c r="A280" s="839" t="s">
        <v>530</v>
      </c>
      <c r="B280" s="833" t="s">
        <v>982</v>
      </c>
      <c r="C280" s="1077"/>
      <c r="D280" s="1077"/>
      <c r="E280" s="1077"/>
      <c r="F280" s="1065">
        <v>0.05</v>
      </c>
    </row>
    <row r="281" spans="1:6" ht="24.75" thickBot="1">
      <c r="A281" s="839" t="s">
        <v>530</v>
      </c>
      <c r="B281" s="833" t="s">
        <v>983</v>
      </c>
      <c r="C281" s="1077"/>
      <c r="D281" s="1077"/>
      <c r="E281" s="1077"/>
      <c r="F281" s="1065">
        <v>0.05</v>
      </c>
    </row>
    <row r="282" spans="1:6" ht="24.75" thickBot="1">
      <c r="A282" s="839" t="s">
        <v>530</v>
      </c>
      <c r="B282" s="833" t="s">
        <v>984</v>
      </c>
      <c r="C282" s="1077"/>
      <c r="D282" s="1077"/>
      <c r="E282" s="1077"/>
      <c r="F282" s="1065">
        <v>0.05</v>
      </c>
    </row>
    <row r="283" spans="1:6" ht="24.75" thickBot="1">
      <c r="A283" s="839" t="s">
        <v>530</v>
      </c>
      <c r="B283" s="833" t="s">
        <v>985</v>
      </c>
      <c r="C283" s="1077"/>
      <c r="D283" s="1077"/>
      <c r="E283" s="1077"/>
      <c r="F283" s="1065">
        <v>0.05</v>
      </c>
    </row>
    <row r="284" spans="1:6" ht="24.75" thickBot="1">
      <c r="A284" s="839" t="s">
        <v>530</v>
      </c>
      <c r="B284" s="833" t="s">
        <v>986</v>
      </c>
      <c r="C284" s="1077"/>
      <c r="D284" s="1077"/>
      <c r="E284" s="1077"/>
      <c r="F284" s="1065">
        <v>0.05</v>
      </c>
    </row>
    <row r="285" spans="1:6" ht="24.75" thickBot="1">
      <c r="A285" s="839" t="s">
        <v>530</v>
      </c>
      <c r="B285" s="833" t="s">
        <v>987</v>
      </c>
      <c r="C285" s="1077"/>
      <c r="D285" s="1077"/>
      <c r="E285" s="1077"/>
      <c r="F285" s="1065">
        <v>0.05</v>
      </c>
    </row>
    <row r="286" spans="1:6" ht="24.75" thickBot="1">
      <c r="A286" s="839" t="s">
        <v>530</v>
      </c>
      <c r="B286" s="833" t="s">
        <v>988</v>
      </c>
      <c r="C286" s="1077"/>
      <c r="D286" s="1077"/>
      <c r="E286" s="1077"/>
      <c r="F286" s="1065">
        <v>0.05</v>
      </c>
    </row>
    <row r="287" spans="1:6" ht="24.75" thickBot="1">
      <c r="A287" s="839" t="s">
        <v>530</v>
      </c>
      <c r="B287" s="833" t="s">
        <v>989</v>
      </c>
      <c r="C287" s="1077"/>
      <c r="D287" s="1077"/>
      <c r="E287" s="1077"/>
      <c r="F287" s="1065">
        <v>0.05</v>
      </c>
    </row>
    <row r="288" spans="1:6" ht="24.75" thickBot="1">
      <c r="A288" s="839" t="s">
        <v>530</v>
      </c>
      <c r="B288" s="833" t="s">
        <v>990</v>
      </c>
      <c r="C288" s="1077"/>
      <c r="D288" s="1077"/>
      <c r="E288" s="1077"/>
      <c r="F288" s="1065">
        <v>0.05</v>
      </c>
    </row>
    <row r="289" spans="1:6" ht="24.75" thickBot="1">
      <c r="A289" s="849" t="s">
        <v>530</v>
      </c>
      <c r="B289" s="845" t="s">
        <v>991</v>
      </c>
      <c r="C289" s="1074"/>
      <c r="D289" s="1074"/>
      <c r="E289" s="1074"/>
      <c r="F289" s="1067">
        <v>0.05</v>
      </c>
    </row>
    <row r="290" spans="1:6" ht="14.25" thickBot="1">
      <c r="A290" s="839" t="s">
        <v>534</v>
      </c>
      <c r="B290" s="840" t="s">
        <v>992</v>
      </c>
      <c r="C290" s="1062">
        <v>0.15</v>
      </c>
      <c r="D290" s="1062">
        <v>0.15</v>
      </c>
      <c r="E290" s="1062">
        <v>0.15</v>
      </c>
      <c r="F290" s="1079"/>
    </row>
    <row r="291" spans="1:6" ht="14.25" thickBot="1">
      <c r="A291" s="839" t="s">
        <v>534</v>
      </c>
      <c r="B291" s="833" t="s">
        <v>196</v>
      </c>
      <c r="C291" s="1064">
        <v>0.15</v>
      </c>
      <c r="D291" s="1064">
        <v>0.15</v>
      </c>
      <c r="E291" s="1064">
        <v>0.15</v>
      </c>
      <c r="F291" s="1076"/>
    </row>
    <row r="292" spans="1:6" ht="14.25" thickBot="1">
      <c r="A292" s="839" t="s">
        <v>534</v>
      </c>
      <c r="B292" s="833" t="s">
        <v>993</v>
      </c>
      <c r="C292" s="1064">
        <v>0.15</v>
      </c>
      <c r="D292" s="1064">
        <v>0.15</v>
      </c>
      <c r="E292" s="1064">
        <v>0.15</v>
      </c>
      <c r="F292" s="1065">
        <v>0.14699999999999999</v>
      </c>
    </row>
    <row r="293" spans="1:6" ht="14.25" thickBot="1">
      <c r="A293" s="839" t="s">
        <v>534</v>
      </c>
      <c r="B293" s="833" t="s">
        <v>994</v>
      </c>
      <c r="C293" s="1077"/>
      <c r="D293" s="1077"/>
      <c r="E293" s="1077"/>
      <c r="F293" s="1065">
        <v>0.1</v>
      </c>
    </row>
    <row r="294" spans="1:6" ht="14.25" thickBot="1">
      <c r="A294" s="839" t="s">
        <v>534</v>
      </c>
      <c r="B294" s="833" t="s">
        <v>995</v>
      </c>
      <c r="C294" s="1064">
        <v>0.15</v>
      </c>
      <c r="D294" s="1064">
        <v>0.15</v>
      </c>
      <c r="E294" s="1064">
        <v>0.15</v>
      </c>
      <c r="F294" s="1065">
        <v>0.15</v>
      </c>
    </row>
    <row r="295" spans="1:6" ht="14.25" thickBot="1">
      <c r="A295" s="839" t="s">
        <v>534</v>
      </c>
      <c r="B295" s="833" t="s">
        <v>234</v>
      </c>
      <c r="C295" s="1064">
        <v>0.15</v>
      </c>
      <c r="D295" s="1064">
        <v>0.15</v>
      </c>
      <c r="E295" s="1064">
        <v>0.15</v>
      </c>
      <c r="F295" s="1065">
        <v>0.15</v>
      </c>
    </row>
    <row r="296" spans="1:6" ht="14.25" thickBot="1">
      <c r="A296" s="839" t="s">
        <v>534</v>
      </c>
      <c r="B296" s="833" t="s">
        <v>996</v>
      </c>
      <c r="C296" s="1064">
        <v>0.15</v>
      </c>
      <c r="D296" s="1064">
        <v>0.15</v>
      </c>
      <c r="E296" s="1064">
        <v>0.15</v>
      </c>
      <c r="F296" s="1065">
        <v>0.15</v>
      </c>
    </row>
    <row r="297" spans="1:6" ht="14.25" thickBot="1">
      <c r="A297" s="839" t="s">
        <v>534</v>
      </c>
      <c r="B297" s="833" t="s">
        <v>997</v>
      </c>
      <c r="C297" s="1064">
        <v>0.14799999999999999</v>
      </c>
      <c r="D297" s="1064">
        <v>0.14899999999999999</v>
      </c>
      <c r="E297" s="1064">
        <v>0.15</v>
      </c>
      <c r="F297" s="1065">
        <v>0.13700000000000001</v>
      </c>
    </row>
    <row r="298" spans="1:6" ht="14.25" thickBot="1">
      <c r="A298" s="839" t="s">
        <v>534</v>
      </c>
      <c r="B298" s="833" t="s">
        <v>267</v>
      </c>
      <c r="C298" s="1064">
        <v>0.13400000000000001</v>
      </c>
      <c r="D298" s="1064">
        <v>0.13400000000000001</v>
      </c>
      <c r="E298" s="1064">
        <v>0.14499999999999999</v>
      </c>
      <c r="F298" s="1065">
        <v>0.14799999999999999</v>
      </c>
    </row>
    <row r="299" spans="1:6" ht="14.25" thickBot="1">
      <c r="A299" s="839" t="s">
        <v>534</v>
      </c>
      <c r="B299" s="833" t="s">
        <v>279</v>
      </c>
      <c r="C299" s="1064">
        <v>0.15</v>
      </c>
      <c r="D299" s="1064">
        <v>0.15</v>
      </c>
      <c r="E299" s="1064">
        <v>0.15</v>
      </c>
      <c r="F299" s="1076"/>
    </row>
    <row r="300" spans="1:6" ht="14.25" thickBot="1">
      <c r="A300" s="839" t="s">
        <v>534</v>
      </c>
      <c r="B300" s="833" t="s">
        <v>998</v>
      </c>
      <c r="C300" s="1064">
        <v>0.15</v>
      </c>
      <c r="D300" s="1064">
        <v>0.15</v>
      </c>
      <c r="E300" s="1064">
        <v>0.15</v>
      </c>
      <c r="F300" s="1065">
        <v>0.15</v>
      </c>
    </row>
    <row r="301" spans="1:6" ht="14.25" thickBot="1">
      <c r="A301" s="839" t="s">
        <v>534</v>
      </c>
      <c r="B301" s="833" t="s">
        <v>299</v>
      </c>
      <c r="C301" s="1064">
        <v>0.15</v>
      </c>
      <c r="D301" s="1064">
        <v>0.15</v>
      </c>
      <c r="E301" s="1064">
        <v>0.15</v>
      </c>
      <c r="F301" s="1076"/>
    </row>
    <row r="302" spans="1:6" ht="14.25" thickBot="1">
      <c r="A302" s="839" t="s">
        <v>534</v>
      </c>
      <c r="B302" s="833" t="s">
        <v>999</v>
      </c>
      <c r="C302" s="1064">
        <v>0.15</v>
      </c>
      <c r="D302" s="1064">
        <v>0.15</v>
      </c>
      <c r="E302" s="1064">
        <v>0.15</v>
      </c>
      <c r="F302" s="1065">
        <v>0.15</v>
      </c>
    </row>
    <row r="303" spans="1:6" ht="14.25" thickBot="1">
      <c r="A303" s="839" t="s">
        <v>534</v>
      </c>
      <c r="B303" s="833" t="s">
        <v>319</v>
      </c>
      <c r="C303" s="1064">
        <v>0.15</v>
      </c>
      <c r="D303" s="1064">
        <v>0.15</v>
      </c>
      <c r="E303" s="1064">
        <v>0.15</v>
      </c>
      <c r="F303" s="1065">
        <v>0.15</v>
      </c>
    </row>
    <row r="304" spans="1:6" ht="14.25" thickBot="1">
      <c r="A304" s="839" t="s">
        <v>534</v>
      </c>
      <c r="B304" s="833" t="s">
        <v>330</v>
      </c>
      <c r="C304" s="1064">
        <v>0.15</v>
      </c>
      <c r="D304" s="1064">
        <v>0.15</v>
      </c>
      <c r="E304" s="1064">
        <v>0.15</v>
      </c>
      <c r="F304" s="1076"/>
    </row>
    <row r="305" spans="1:6" ht="14.25" thickBot="1">
      <c r="A305" s="839" t="s">
        <v>534</v>
      </c>
      <c r="B305" s="833" t="s">
        <v>1000</v>
      </c>
      <c r="C305" s="1064">
        <v>0.15</v>
      </c>
      <c r="D305" s="1064">
        <v>0.15</v>
      </c>
      <c r="E305" s="1064">
        <v>0.15</v>
      </c>
      <c r="F305" s="1065">
        <v>0.14000000000000001</v>
      </c>
    </row>
    <row r="306" spans="1:6" ht="14.25" thickBot="1">
      <c r="A306" s="839" t="s">
        <v>534</v>
      </c>
      <c r="B306" s="833" t="s">
        <v>351</v>
      </c>
      <c r="C306" s="1064">
        <v>0.15</v>
      </c>
      <c r="D306" s="1064">
        <v>0.15</v>
      </c>
      <c r="E306" s="1064">
        <v>0.15</v>
      </c>
      <c r="F306" s="1076"/>
    </row>
    <row r="307" spans="1:6" ht="14.25" thickBot="1">
      <c r="A307" s="839" t="s">
        <v>534</v>
      </c>
      <c r="B307" s="833" t="s">
        <v>1001</v>
      </c>
      <c r="C307" s="1064">
        <v>0.15</v>
      </c>
      <c r="D307" s="1064">
        <v>0.15</v>
      </c>
      <c r="E307" s="1064">
        <v>0.15</v>
      </c>
      <c r="F307" s="1065">
        <v>0.14299999999999999</v>
      </c>
    </row>
    <row r="308" spans="1:6" ht="14.25" thickBot="1">
      <c r="A308" s="839" t="s">
        <v>534</v>
      </c>
      <c r="B308" s="833" t="s">
        <v>371</v>
      </c>
      <c r="C308" s="1064">
        <v>0.15</v>
      </c>
      <c r="D308" s="1064">
        <v>0.15</v>
      </c>
      <c r="E308" s="1064">
        <v>0.15</v>
      </c>
      <c r="F308" s="1065">
        <v>0.15</v>
      </c>
    </row>
    <row r="309" spans="1:6" ht="14.25" thickBot="1">
      <c r="A309" s="839" t="s">
        <v>534</v>
      </c>
      <c r="B309" s="833" t="s">
        <v>381</v>
      </c>
      <c r="C309" s="1064">
        <v>0.15</v>
      </c>
      <c r="D309" s="1064">
        <v>0.15</v>
      </c>
      <c r="E309" s="1064">
        <v>0.15</v>
      </c>
      <c r="F309" s="1076"/>
    </row>
    <row r="310" spans="1:6" ht="14.25" thickBot="1">
      <c r="A310" s="839" t="s">
        <v>534</v>
      </c>
      <c r="B310" s="833" t="s">
        <v>1002</v>
      </c>
      <c r="C310" s="1064">
        <v>0.15</v>
      </c>
      <c r="D310" s="1064">
        <v>0.15</v>
      </c>
      <c r="E310" s="1064">
        <v>0.15</v>
      </c>
      <c r="F310" s="1065">
        <v>0.13700000000000001</v>
      </c>
    </row>
    <row r="311" spans="1:6" ht="14.25" thickBot="1">
      <c r="A311" s="839" t="s">
        <v>534</v>
      </c>
      <c r="B311" s="833" t="s">
        <v>1003</v>
      </c>
      <c r="C311" s="1064">
        <v>0.15</v>
      </c>
      <c r="D311" s="1064">
        <v>0.15</v>
      </c>
      <c r="E311" s="1064">
        <v>0.15</v>
      </c>
      <c r="F311" s="1065">
        <v>0.15</v>
      </c>
    </row>
    <row r="312" spans="1:6" ht="14.25" thickBot="1">
      <c r="A312" s="839" t="s">
        <v>534</v>
      </c>
      <c r="B312" s="833" t="s">
        <v>407</v>
      </c>
      <c r="C312" s="1064">
        <v>0.15</v>
      </c>
      <c r="D312" s="1064">
        <v>0.15</v>
      </c>
      <c r="E312" s="1064">
        <v>0.15</v>
      </c>
      <c r="F312" s="1065">
        <v>0.1</v>
      </c>
    </row>
    <row r="313" spans="1:6" ht="14.25" thickBot="1">
      <c r="A313" s="839" t="s">
        <v>534</v>
      </c>
      <c r="B313" s="833" t="s">
        <v>1004</v>
      </c>
      <c r="C313" s="1064">
        <v>0.15</v>
      </c>
      <c r="D313" s="1064">
        <v>0.15</v>
      </c>
      <c r="E313" s="1064">
        <v>0.15</v>
      </c>
      <c r="F313" s="1065">
        <v>0.15</v>
      </c>
    </row>
    <row r="314" spans="1:6" ht="24.75" thickBot="1">
      <c r="A314" s="839" t="s">
        <v>534</v>
      </c>
      <c r="B314" s="833" t="s">
        <v>1005</v>
      </c>
      <c r="C314" s="1077"/>
      <c r="D314" s="1077"/>
      <c r="E314" s="1077"/>
      <c r="F314" s="1065">
        <v>0.05</v>
      </c>
    </row>
    <row r="315" spans="1:6" ht="24.75" thickBot="1">
      <c r="A315" s="839" t="s">
        <v>534</v>
      </c>
      <c r="B315" s="833" t="s">
        <v>1006</v>
      </c>
      <c r="C315" s="1077"/>
      <c r="D315" s="1077"/>
      <c r="E315" s="1077"/>
      <c r="F315" s="1065">
        <v>0.05</v>
      </c>
    </row>
    <row r="316" spans="1:6" ht="24.75" thickBot="1">
      <c r="A316" s="849" t="s">
        <v>534</v>
      </c>
      <c r="B316" s="845" t="s">
        <v>1007</v>
      </c>
      <c r="C316" s="1074"/>
      <c r="D316" s="1074"/>
      <c r="E316" s="1074"/>
      <c r="F316" s="1067">
        <v>0.05</v>
      </c>
    </row>
    <row r="317" spans="1:6" ht="14.25" thickBot="1">
      <c r="A317" s="839" t="s">
        <v>1008</v>
      </c>
      <c r="B317" s="840" t="s">
        <v>1009</v>
      </c>
      <c r="C317" s="1062">
        <v>0.15</v>
      </c>
      <c r="D317" s="1062">
        <v>0.15</v>
      </c>
      <c r="E317" s="1062">
        <v>0.15</v>
      </c>
      <c r="F317" s="1063">
        <v>0.15</v>
      </c>
    </row>
    <row r="318" spans="1:6" ht="14.25" thickBot="1">
      <c r="A318" s="839" t="s">
        <v>1008</v>
      </c>
      <c r="B318" s="833" t="s">
        <v>1010</v>
      </c>
      <c r="C318" s="1064">
        <v>0.107</v>
      </c>
      <c r="D318" s="1064">
        <v>0.11</v>
      </c>
      <c r="E318" s="1064">
        <v>0.112</v>
      </c>
      <c r="F318" s="1076"/>
    </row>
    <row r="319" spans="1:6" ht="14.25" thickBot="1">
      <c r="A319" s="839" t="s">
        <v>1008</v>
      </c>
      <c r="B319" s="833" t="s">
        <v>1011</v>
      </c>
      <c r="C319" s="1064">
        <v>0.15</v>
      </c>
      <c r="D319" s="1064">
        <v>0.15</v>
      </c>
      <c r="E319" s="1064">
        <v>0.15</v>
      </c>
      <c r="F319" s="1065">
        <v>0.15</v>
      </c>
    </row>
    <row r="320" spans="1:6" ht="14.25" thickBot="1">
      <c r="A320" s="839" t="s">
        <v>1008</v>
      </c>
      <c r="B320" s="833" t="s">
        <v>223</v>
      </c>
      <c r="C320" s="1064">
        <v>0.15</v>
      </c>
      <c r="D320" s="1064">
        <v>0.15</v>
      </c>
      <c r="E320" s="1064">
        <v>0.15</v>
      </c>
      <c r="F320" s="1076"/>
    </row>
    <row r="321" spans="1:6" ht="14.25" thickBot="1">
      <c r="A321" s="839" t="s">
        <v>1008</v>
      </c>
      <c r="B321" s="833" t="s">
        <v>1012</v>
      </c>
      <c r="C321" s="1064">
        <v>0.15</v>
      </c>
      <c r="D321" s="1064">
        <v>0.15</v>
      </c>
      <c r="E321" s="1064">
        <v>0.15</v>
      </c>
      <c r="F321" s="1076"/>
    </row>
    <row r="322" spans="1:6" ht="14.25" thickBot="1">
      <c r="A322" s="839" t="s">
        <v>1008</v>
      </c>
      <c r="B322" s="833" t="s">
        <v>1013</v>
      </c>
      <c r="C322" s="1064">
        <v>0.15</v>
      </c>
      <c r="D322" s="1064">
        <v>0.15</v>
      </c>
      <c r="E322" s="1064">
        <v>0.15</v>
      </c>
      <c r="F322" s="1065">
        <v>0.15</v>
      </c>
    </row>
    <row r="323" spans="1:6" ht="14.25" thickBot="1">
      <c r="A323" s="839" t="s">
        <v>1008</v>
      </c>
      <c r="B323" s="833" t="s">
        <v>1014</v>
      </c>
      <c r="C323" s="1064">
        <v>0.15</v>
      </c>
      <c r="D323" s="1064">
        <v>0.15</v>
      </c>
      <c r="E323" s="1064">
        <v>0.15</v>
      </c>
      <c r="F323" s="1076"/>
    </row>
    <row r="324" spans="1:6" ht="14.25" thickBot="1">
      <c r="A324" s="839" t="s">
        <v>1008</v>
      </c>
      <c r="B324" s="833" t="s">
        <v>1015</v>
      </c>
      <c r="C324" s="1064">
        <v>0.15</v>
      </c>
      <c r="D324" s="1064">
        <v>0.15</v>
      </c>
      <c r="E324" s="1064">
        <v>0.15</v>
      </c>
      <c r="F324" s="1076"/>
    </row>
    <row r="325" spans="1:6" ht="14.25" thickBot="1">
      <c r="A325" s="839" t="s">
        <v>1008</v>
      </c>
      <c r="B325" s="833" t="s">
        <v>1016</v>
      </c>
      <c r="C325" s="1064">
        <v>0.15</v>
      </c>
      <c r="D325" s="1064">
        <v>0.15</v>
      </c>
      <c r="E325" s="1064">
        <v>0.15</v>
      </c>
      <c r="F325" s="1065">
        <v>0.14699999999999999</v>
      </c>
    </row>
    <row r="326" spans="1:6" ht="14.25" thickBot="1">
      <c r="A326" s="839" t="s">
        <v>1008</v>
      </c>
      <c r="B326" s="833" t="s">
        <v>290</v>
      </c>
      <c r="C326" s="1064">
        <v>0.15</v>
      </c>
      <c r="D326" s="1064">
        <v>0.15</v>
      </c>
      <c r="E326" s="1064">
        <v>0.15</v>
      </c>
      <c r="F326" s="1076"/>
    </row>
    <row r="327" spans="1:6" ht="14.25" thickBot="1">
      <c r="A327" s="839" t="s">
        <v>1008</v>
      </c>
      <c r="B327" s="833" t="s">
        <v>1017</v>
      </c>
      <c r="C327" s="1064">
        <v>0.15</v>
      </c>
      <c r="D327" s="1064">
        <v>0.15</v>
      </c>
      <c r="E327" s="1064">
        <v>0.15</v>
      </c>
      <c r="F327" s="1065">
        <v>0.15</v>
      </c>
    </row>
    <row r="328" spans="1:6" ht="14.25" thickBot="1">
      <c r="A328" s="839" t="s">
        <v>1008</v>
      </c>
      <c r="B328" s="833" t="s">
        <v>310</v>
      </c>
      <c r="C328" s="1064">
        <v>0.15</v>
      </c>
      <c r="D328" s="1064">
        <v>0.15</v>
      </c>
      <c r="E328" s="1064">
        <v>0.15</v>
      </c>
      <c r="F328" s="1065">
        <v>0.14099999999999999</v>
      </c>
    </row>
    <row r="329" spans="1:6" ht="14.25" thickBot="1">
      <c r="A329" s="839" t="s">
        <v>1008</v>
      </c>
      <c r="B329" s="833" t="s">
        <v>320</v>
      </c>
      <c r="C329" s="1064">
        <v>0.15</v>
      </c>
      <c r="D329" s="1064">
        <v>0.15</v>
      </c>
      <c r="E329" s="1064">
        <v>0.15</v>
      </c>
      <c r="F329" s="1065">
        <v>0.15</v>
      </c>
    </row>
    <row r="330" spans="1:6" ht="14.25" thickBot="1">
      <c r="A330" s="839" t="s">
        <v>1008</v>
      </c>
      <c r="B330" s="833" t="s">
        <v>331</v>
      </c>
      <c r="C330" s="1064">
        <v>0.15</v>
      </c>
      <c r="D330" s="1064">
        <v>0.15</v>
      </c>
      <c r="E330" s="1064">
        <v>0.15</v>
      </c>
      <c r="F330" s="1076"/>
    </row>
    <row r="331" spans="1:6" ht="14.25" thickBot="1">
      <c r="A331" s="839" t="s">
        <v>1008</v>
      </c>
      <c r="B331" s="833" t="s">
        <v>1018</v>
      </c>
      <c r="C331" s="1064">
        <v>0.15</v>
      </c>
      <c r="D331" s="1064">
        <v>0.15</v>
      </c>
      <c r="E331" s="1064">
        <v>0.15</v>
      </c>
      <c r="F331" s="1065">
        <v>0.15</v>
      </c>
    </row>
    <row r="332" spans="1:6" ht="14.25" thickBot="1">
      <c r="A332" s="839" t="s">
        <v>1008</v>
      </c>
      <c r="B332" s="833" t="s">
        <v>352</v>
      </c>
      <c r="C332" s="1064">
        <v>0.15</v>
      </c>
      <c r="D332" s="1064">
        <v>0.15</v>
      </c>
      <c r="E332" s="1064">
        <v>0.15</v>
      </c>
      <c r="F332" s="1065">
        <v>0.15</v>
      </c>
    </row>
    <row r="333" spans="1:6" ht="14.25" thickBot="1">
      <c r="A333" s="839" t="s">
        <v>1008</v>
      </c>
      <c r="B333" s="833" t="s">
        <v>1019</v>
      </c>
      <c r="C333" s="1064">
        <v>0.15</v>
      </c>
      <c r="D333" s="1064">
        <v>0.15</v>
      </c>
      <c r="E333" s="1064">
        <v>0.15</v>
      </c>
      <c r="F333" s="1065">
        <v>0.14099999999999999</v>
      </c>
    </row>
    <row r="334" spans="1:6" ht="14.25" thickBot="1">
      <c r="A334" s="839" t="s">
        <v>1008</v>
      </c>
      <c r="B334" s="833" t="s">
        <v>372</v>
      </c>
      <c r="C334" s="1064">
        <v>0.15</v>
      </c>
      <c r="D334" s="1064">
        <v>0.15</v>
      </c>
      <c r="E334" s="1064">
        <v>0.15</v>
      </c>
      <c r="F334" s="1065">
        <v>0.15</v>
      </c>
    </row>
    <row r="335" spans="1:6" ht="14.25" thickBot="1">
      <c r="A335" s="839" t="s">
        <v>1008</v>
      </c>
      <c r="B335" s="833" t="s">
        <v>382</v>
      </c>
      <c r="C335" s="1064">
        <v>0.15</v>
      </c>
      <c r="D335" s="1064">
        <v>0.15</v>
      </c>
      <c r="E335" s="1064">
        <v>0.15</v>
      </c>
      <c r="F335" s="1076"/>
    </row>
    <row r="336" spans="1:6" ht="14.25" thickBot="1">
      <c r="A336" s="839" t="s">
        <v>1008</v>
      </c>
      <c r="B336" s="833" t="s">
        <v>1020</v>
      </c>
      <c r="C336" s="1064">
        <v>0.15</v>
      </c>
      <c r="D336" s="1064">
        <v>0.15</v>
      </c>
      <c r="E336" s="1064">
        <v>0.15</v>
      </c>
      <c r="F336" s="1065">
        <v>0.11799999999999999</v>
      </c>
    </row>
    <row r="337" spans="1:6" ht="14.25" thickBot="1">
      <c r="A337" s="849" t="s">
        <v>1008</v>
      </c>
      <c r="B337" s="845" t="s">
        <v>400</v>
      </c>
      <c r="C337" s="1074"/>
      <c r="D337" s="1074"/>
      <c r="E337" s="1074"/>
      <c r="F337" s="1067">
        <v>0.14299999999999999</v>
      </c>
    </row>
    <row r="338" spans="1:6" ht="14.25" thickBot="1">
      <c r="A338" s="839" t="s">
        <v>1021</v>
      </c>
      <c r="B338" s="840" t="s">
        <v>1022</v>
      </c>
      <c r="C338" s="1062">
        <v>0.15</v>
      </c>
      <c r="D338" s="1062">
        <v>0.15</v>
      </c>
      <c r="E338" s="1062">
        <v>0.15</v>
      </c>
      <c r="F338" s="1079"/>
    </row>
    <row r="339" spans="1:6" ht="14.25" thickBot="1">
      <c r="A339" s="839" t="s">
        <v>1021</v>
      </c>
      <c r="B339" s="833" t="s">
        <v>1023</v>
      </c>
      <c r="C339" s="1064">
        <v>0.15</v>
      </c>
      <c r="D339" s="1064">
        <v>0.15</v>
      </c>
      <c r="E339" s="1064">
        <v>0.15</v>
      </c>
      <c r="F339" s="1076"/>
    </row>
    <row r="340" spans="1:6" ht="14.25" thickBot="1">
      <c r="A340" s="839" t="s">
        <v>1021</v>
      </c>
      <c r="B340" s="833" t="s">
        <v>1024</v>
      </c>
      <c r="C340" s="1064">
        <v>0.15</v>
      </c>
      <c r="D340" s="1064">
        <v>0.15</v>
      </c>
      <c r="E340" s="1064">
        <v>0.15</v>
      </c>
      <c r="F340" s="1076"/>
    </row>
    <row r="341" spans="1:6" ht="14.25" thickBot="1">
      <c r="A341" s="839" t="s">
        <v>1021</v>
      </c>
      <c r="B341" s="833" t="s">
        <v>1025</v>
      </c>
      <c r="C341" s="1064">
        <v>0.15</v>
      </c>
      <c r="D341" s="1064">
        <v>0.15</v>
      </c>
      <c r="E341" s="1064">
        <v>0.15</v>
      </c>
      <c r="F341" s="1065">
        <v>0.15</v>
      </c>
    </row>
    <row r="342" spans="1:6" ht="14.25" thickBot="1">
      <c r="A342" s="839" t="s">
        <v>1021</v>
      </c>
      <c r="B342" s="833" t="s">
        <v>1026</v>
      </c>
      <c r="C342" s="1064">
        <v>0.15</v>
      </c>
      <c r="D342" s="1064">
        <v>0.15</v>
      </c>
      <c r="E342" s="1064">
        <v>0.15</v>
      </c>
      <c r="F342" s="1065">
        <v>0.15</v>
      </c>
    </row>
    <row r="343" spans="1:6" ht="14.25" thickBot="1">
      <c r="A343" s="839" t="s">
        <v>1021</v>
      </c>
      <c r="B343" s="833" t="s">
        <v>1027</v>
      </c>
      <c r="C343" s="1064">
        <v>0.15</v>
      </c>
      <c r="D343" s="1064">
        <v>0.15</v>
      </c>
      <c r="E343" s="1064">
        <v>0.15</v>
      </c>
      <c r="F343" s="1065">
        <v>0.15</v>
      </c>
    </row>
    <row r="344" spans="1:6" ht="14.25" thickBot="1">
      <c r="A344" s="849" t="s">
        <v>1021</v>
      </c>
      <c r="B344" s="845"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43452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K55" sqref="K55"/>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2517</v>
      </c>
      <c r="B1" s="2668" t="s">
        <v>2675</v>
      </c>
      <c r="C1" s="1618" t="s">
        <v>2519</v>
      </c>
      <c r="D1" s="1619" t="s">
        <v>3117</v>
      </c>
      <c r="E1" s="1628"/>
      <c r="F1" s="2583" t="s">
        <v>3140</v>
      </c>
      <c r="G1" s="1629" t="s">
        <v>2521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1394</v>
      </c>
      <c r="B2" s="1417">
        <f>IF(C2="——",ROUND(C50*D3/10000,0),ROUND(C50*D3/10000,0)-D2)</f>
        <v>30931</v>
      </c>
      <c r="C2" s="2585" t="s">
        <v>70</v>
      </c>
      <c r="D2" s="1365" t="e">
        <f ca="1">SUMIF(INDIRECT("'"&amp;F2&amp;"'"&amp;"!A:A"),"承租人权益价值",INDIRECT("'"&amp;F2&amp;"'"&amp;"!c:c"))</f>
        <v>#REF!</v>
      </c>
      <c r="E2" s="2586" t="s">
        <v>2317</v>
      </c>
      <c r="F2" s="2587"/>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7" customFormat="1" ht="28.5" customHeight="1" thickBot="1">
      <c r="A3" s="246" t="s">
        <v>1395</v>
      </c>
      <c r="B3" s="2958">
        <f>IF(C2="——",C50,ROUND(B2*10000/D3,0))</f>
        <v>37371</v>
      </c>
      <c r="C3" s="399" t="s">
        <v>2523</v>
      </c>
      <c r="D3" s="398">
        <f>IF(D1="",'数据-汇总表'!E3,SUMIF('数据-汇总表'!$C19:$C33,D1,'数据-汇总表'!$E19:$E33))</f>
        <v>8276.64</v>
      </c>
      <c r="E3" s="2662"/>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0" t="s">
        <v>2524</v>
      </c>
      <c r="B4" s="401"/>
      <c r="C4" s="3232" t="s">
        <v>2525</v>
      </c>
      <c r="D4" s="3233"/>
      <c r="E4" s="3234" t="s">
        <v>2526</v>
      </c>
      <c r="F4" s="3235"/>
      <c r="G4" s="3232" t="s">
        <v>2527</v>
      </c>
      <c r="H4" s="3233"/>
      <c r="I4" s="3232" t="s">
        <v>2528</v>
      </c>
      <c r="J4" s="3233"/>
      <c r="K4" s="609" t="s">
        <v>2529</v>
      </c>
      <c r="L4" s="1130"/>
      <c r="M4" s="1131"/>
      <c r="N4" s="1131"/>
      <c r="O4" s="1131"/>
      <c r="P4" s="3267" t="s">
        <v>2530</v>
      </c>
      <c r="Q4" s="3268"/>
      <c r="R4" s="3261" t="s">
        <v>2526</v>
      </c>
      <c r="S4" s="3262"/>
      <c r="T4" s="3261" t="s">
        <v>2527</v>
      </c>
      <c r="U4" s="3262"/>
      <c r="V4" s="3271" t="s">
        <v>2528</v>
      </c>
      <c r="W4" s="3271"/>
      <c r="X4" s="2973"/>
      <c r="Y4" s="3261" t="s">
        <v>2530</v>
      </c>
      <c r="Z4" s="3262"/>
      <c r="AA4" s="3260" t="s">
        <v>2526</v>
      </c>
      <c r="AB4" s="3260" t="s">
        <v>2527</v>
      </c>
      <c r="AC4" s="3264" t="s">
        <v>2528</v>
      </c>
    </row>
    <row r="5" spans="1:29" ht="15" customHeight="1">
      <c r="A5" s="403"/>
      <c r="B5" s="404"/>
      <c r="C5" s="3263" t="s">
        <v>3133</v>
      </c>
      <c r="D5" s="3226"/>
      <c r="E5" s="3263" t="s">
        <v>3142</v>
      </c>
      <c r="F5" s="3226"/>
      <c r="G5" s="3263" t="s">
        <v>3142</v>
      </c>
      <c r="H5" s="3226"/>
      <c r="I5" s="3263" t="s">
        <v>3141</v>
      </c>
      <c r="J5" s="3226"/>
      <c r="K5" s="609"/>
      <c r="L5" s="1130"/>
      <c r="M5" s="1131"/>
      <c r="N5" s="1131"/>
      <c r="O5" s="1131"/>
      <c r="P5" s="3269"/>
      <c r="Q5" s="3239"/>
      <c r="R5" s="3221"/>
      <c r="S5" s="3222"/>
      <c r="T5" s="3221"/>
      <c r="U5" s="3222"/>
      <c r="V5" s="3244"/>
      <c r="W5" s="3244"/>
      <c r="X5" s="2968"/>
      <c r="Y5" s="3221"/>
      <c r="Z5" s="3222"/>
      <c r="AA5" s="3215"/>
      <c r="AB5" s="3215"/>
      <c r="AC5" s="3265"/>
    </row>
    <row r="6" spans="1:29" ht="15.75" thickBot="1">
      <c r="A6" s="405"/>
      <c r="B6" s="406"/>
      <c r="C6" s="3227" t="s">
        <v>3120</v>
      </c>
      <c r="D6" s="3228"/>
      <c r="E6" s="3304" t="s">
        <v>3143</v>
      </c>
      <c r="F6" s="3230"/>
      <c r="G6" s="3304" t="s">
        <v>3143</v>
      </c>
      <c r="H6" s="3230"/>
      <c r="I6" s="3227" t="s">
        <v>3132</v>
      </c>
      <c r="J6" s="3228"/>
      <c r="K6" s="609" t="s">
        <v>2536</v>
      </c>
      <c r="L6" s="1130"/>
      <c r="M6" s="1131"/>
      <c r="N6" s="1131"/>
      <c r="O6" s="1131"/>
      <c r="P6" s="3270"/>
      <c r="Q6" s="3241"/>
      <c r="R6" s="3221"/>
      <c r="S6" s="3222"/>
      <c r="T6" s="3242"/>
      <c r="U6" s="3243"/>
      <c r="V6" s="3244"/>
      <c r="W6" s="3244"/>
      <c r="X6" s="2968"/>
      <c r="Y6" s="3242"/>
      <c r="Z6" s="3243"/>
      <c r="AA6" s="3216"/>
      <c r="AB6" s="3216"/>
      <c r="AC6" s="3266"/>
    </row>
    <row r="7" spans="1:29" s="116" customFormat="1" ht="15.75" thickBot="1">
      <c r="A7" s="407" t="s">
        <v>2537</v>
      </c>
      <c r="B7" s="408"/>
      <c r="C7" s="409">
        <f>'数据-取费表'!B2</f>
        <v>43452</v>
      </c>
      <c r="D7" s="410">
        <v>100</v>
      </c>
      <c r="E7" s="411">
        <v>43431</v>
      </c>
      <c r="F7" s="412">
        <f>SUMIF(59:59,YEAR(E7)&amp;"-"&amp;MONTH(E7),60:60)</f>
        <v>100</v>
      </c>
      <c r="G7" s="411">
        <v>43422</v>
      </c>
      <c r="H7" s="410">
        <f>SUMIF(59:59,YEAR(G7)&amp;"-"&amp;MONTH(G7),60:60)</f>
        <v>100</v>
      </c>
      <c r="I7" s="411">
        <v>43452</v>
      </c>
      <c r="J7" s="410">
        <f>SUMIF(59:59,YEAR(I7)&amp;"-"&amp;MONTH(I7),60:60)</f>
        <v>100</v>
      </c>
      <c r="K7" s="610"/>
      <c r="L7" s="1132"/>
      <c r="M7" s="1133"/>
      <c r="N7" s="1133"/>
      <c r="O7" s="1133"/>
      <c r="P7" s="3272" t="s">
        <v>2538</v>
      </c>
      <c r="Q7" s="3245"/>
      <c r="R7" s="769" t="s">
        <v>17</v>
      </c>
      <c r="S7" s="770">
        <f t="shared" ref="S7:S15" si="0">F7</f>
        <v>100</v>
      </c>
      <c r="T7" s="769" t="s">
        <v>17</v>
      </c>
      <c r="U7" s="770">
        <f t="shared" ref="U7:U15" si="1">H7</f>
        <v>100</v>
      </c>
      <c r="V7" s="769" t="s">
        <v>17</v>
      </c>
      <c r="W7" s="770">
        <f t="shared" ref="W7:W15" si="2">J7</f>
        <v>100</v>
      </c>
      <c r="X7" s="771"/>
      <c r="Y7" s="3217" t="s">
        <v>2538</v>
      </c>
      <c r="Z7" s="3218"/>
      <c r="AA7" s="772">
        <f>D7/F7</f>
        <v>1</v>
      </c>
      <c r="AB7" s="772">
        <f>D7/H7</f>
        <v>1</v>
      </c>
      <c r="AC7" s="2670">
        <f>D7/J7</f>
        <v>1</v>
      </c>
    </row>
    <row r="8" spans="1:29" s="116" customFormat="1" ht="15.75" thickBot="1">
      <c r="A8" s="407" t="s">
        <v>2539</v>
      </c>
      <c r="B8" s="408"/>
      <c r="C8" s="413" t="s">
        <v>2576</v>
      </c>
      <c r="D8" s="410">
        <v>100</v>
      </c>
      <c r="E8" s="413" t="s">
        <v>3057</v>
      </c>
      <c r="F8" s="412">
        <f>SUMIF(62:62,E8,63:63)-SUMIF(62:62,C8,63:63)+100</f>
        <v>100</v>
      </c>
      <c r="G8" s="413" t="s">
        <v>3057</v>
      </c>
      <c r="H8" s="410">
        <f>SUMIF(62:62,G8,63:63)-SUMIF(62:62,C8,63:63)+100</f>
        <v>100</v>
      </c>
      <c r="I8" s="413" t="s">
        <v>3057</v>
      </c>
      <c r="J8" s="410">
        <f>SUMIF(62:62,I8,63:63)-SUMIF(62:62,C8,63:63)+100</f>
        <v>100</v>
      </c>
      <c r="K8" s="610"/>
      <c r="L8" s="1132"/>
      <c r="M8" s="1133"/>
      <c r="N8" s="1133"/>
      <c r="O8" s="1133"/>
      <c r="P8" s="3272" t="s">
        <v>2541</v>
      </c>
      <c r="Q8" s="3218"/>
      <c r="R8" s="769" t="s">
        <v>17</v>
      </c>
      <c r="S8" s="770">
        <f t="shared" si="0"/>
        <v>100</v>
      </c>
      <c r="T8" s="769" t="s">
        <v>17</v>
      </c>
      <c r="U8" s="770">
        <f t="shared" si="1"/>
        <v>100</v>
      </c>
      <c r="V8" s="769" t="s">
        <v>17</v>
      </c>
      <c r="W8" s="770">
        <f t="shared" si="2"/>
        <v>100</v>
      </c>
      <c r="X8" s="771"/>
      <c r="Y8" s="3217" t="s">
        <v>2541</v>
      </c>
      <c r="Z8" s="3218"/>
      <c r="AA8" s="772">
        <f t="shared" ref="AA8:AA47" si="3">D8/F8</f>
        <v>1</v>
      </c>
      <c r="AB8" s="772">
        <f t="shared" ref="AB8:AB47" si="4">D8/H8</f>
        <v>1</v>
      </c>
      <c r="AC8" s="2670">
        <f t="shared" ref="AC8:AC47" si="5">D8/J8</f>
        <v>1</v>
      </c>
    </row>
    <row r="9" spans="1:29" s="116" customFormat="1">
      <c r="A9" s="414" t="s">
        <v>2542</v>
      </c>
      <c r="B9" s="70" t="s">
        <v>2543</v>
      </c>
      <c r="C9" s="2954" t="s">
        <v>3113</v>
      </c>
      <c r="D9" s="134">
        <v>100</v>
      </c>
      <c r="E9" s="418" t="s">
        <v>27</v>
      </c>
      <c r="F9" s="134">
        <f>SUMIF(64:64,E9,65:65)-SUMIF(64:64,C9,65:65)+100</f>
        <v>100</v>
      </c>
      <c r="G9" s="418" t="s">
        <v>27</v>
      </c>
      <c r="H9" s="134">
        <f>SUMIF(64:64,G9,65:65)-SUMIF(64:64,C9,65:65)+100</f>
        <v>100</v>
      </c>
      <c r="I9" s="416" t="s">
        <v>27</v>
      </c>
      <c r="J9" s="134">
        <f>SUMIF(64:64,I9,65:65)-SUMIF(64:64,C9,65:65)+100</f>
        <v>100</v>
      </c>
      <c r="K9" s="610"/>
      <c r="L9" s="1132"/>
      <c r="M9" s="1133"/>
      <c r="N9" s="1133"/>
      <c r="O9" s="1133"/>
      <c r="P9" s="3231" t="s">
        <v>2544</v>
      </c>
      <c r="Q9" s="2965" t="str">
        <f t="shared" ref="Q9:Q15" si="6">B9</f>
        <v>用途</v>
      </c>
      <c r="R9" s="769" t="s">
        <v>17</v>
      </c>
      <c r="S9" s="770">
        <f t="shared" si="0"/>
        <v>100</v>
      </c>
      <c r="T9" s="769" t="s">
        <v>17</v>
      </c>
      <c r="U9" s="770">
        <f t="shared" si="1"/>
        <v>100</v>
      </c>
      <c r="V9" s="769" t="s">
        <v>17</v>
      </c>
      <c r="W9" s="770">
        <f t="shared" si="2"/>
        <v>100</v>
      </c>
      <c r="X9" s="771"/>
      <c r="Y9" s="3044" t="s">
        <v>2545</v>
      </c>
      <c r="Z9" s="2966" t="str">
        <f t="shared" ref="Z9:Z15" si="7">Q9</f>
        <v>用途</v>
      </c>
      <c r="AA9" s="772">
        <f t="shared" si="3"/>
        <v>1</v>
      </c>
      <c r="AB9" s="772">
        <f t="shared" si="4"/>
        <v>1</v>
      </c>
      <c r="AC9" s="2670">
        <f t="shared" si="5"/>
        <v>1</v>
      </c>
    </row>
    <row r="10" spans="1:29" s="426" customFormat="1" ht="27">
      <c r="A10" s="420"/>
      <c r="B10" s="2967" t="s">
        <v>2546</v>
      </c>
      <c r="C10" s="422" t="s">
        <v>3087</v>
      </c>
      <c r="D10" s="135">
        <v>100</v>
      </c>
      <c r="E10" s="422" t="s">
        <v>3087</v>
      </c>
      <c r="F10" s="135">
        <f>SUMIF(66:66,E10,67:67)-SUMIF(66:66,C10,67:67)+100</f>
        <v>100</v>
      </c>
      <c r="G10" s="422" t="s">
        <v>3087</v>
      </c>
      <c r="H10" s="135">
        <f>SUMIF(66:66,G10,67:67)-SUMIF(66:66,C10,67:67)+100</f>
        <v>100</v>
      </c>
      <c r="I10" s="422" t="s">
        <v>3087</v>
      </c>
      <c r="J10" s="135">
        <f>SUMIF(66:66,I10,67:67)-SUMIF(66:66,C10,67:67)+100</f>
        <v>100</v>
      </c>
      <c r="K10" s="611">
        <v>1</v>
      </c>
      <c r="L10" s="1135"/>
      <c r="M10" s="1136"/>
      <c r="N10" s="1136"/>
      <c r="O10" s="1136"/>
      <c r="P10" s="3231"/>
      <c r="Q10" s="2965" t="str">
        <f t="shared" si="6"/>
        <v>土地使用年限（年）</v>
      </c>
      <c r="R10" s="769" t="s">
        <v>17</v>
      </c>
      <c r="S10" s="770">
        <f t="shared" si="0"/>
        <v>100</v>
      </c>
      <c r="T10" s="769" t="s">
        <v>17</v>
      </c>
      <c r="U10" s="770">
        <f t="shared" si="1"/>
        <v>100</v>
      </c>
      <c r="V10" s="769" t="s">
        <v>17</v>
      </c>
      <c r="W10" s="770">
        <f t="shared" si="2"/>
        <v>100</v>
      </c>
      <c r="X10" s="771"/>
      <c r="Y10" s="3044"/>
      <c r="Z10" s="2966" t="str">
        <f t="shared" si="7"/>
        <v>土地使用年限（年）</v>
      </c>
      <c r="AA10" s="772">
        <f t="shared" si="3"/>
        <v>1</v>
      </c>
      <c r="AB10" s="772">
        <f t="shared" si="4"/>
        <v>1</v>
      </c>
      <c r="AC10" s="2670">
        <f t="shared" si="5"/>
        <v>1</v>
      </c>
    </row>
    <row r="11" spans="1:29" ht="15">
      <c r="A11" s="427"/>
      <c r="B11" s="2967" t="s">
        <v>2547</v>
      </c>
      <c r="C11" s="428"/>
      <c r="D11" s="135">
        <v>100</v>
      </c>
      <c r="E11" s="428"/>
      <c r="F11" s="135">
        <f>LOOKUP(E11,69:69,70:70)-LOOKUP(C11,69:69,70:70)+100</f>
        <v>100</v>
      </c>
      <c r="G11" s="429"/>
      <c r="H11" s="135">
        <f>LOOKUP(G11,69:69,70:70)-LOOKUP(C11,69:69,70:70)+100</f>
        <v>100</v>
      </c>
      <c r="I11" s="428"/>
      <c r="J11" s="135">
        <f>LOOKUP(I11,69:69,70:70)-LOOKUP(C11,69:69,70:70)+100</f>
        <v>100</v>
      </c>
      <c r="K11" s="611">
        <v>0</v>
      </c>
      <c r="L11" s="1138"/>
      <c r="M11" s="1131"/>
      <c r="N11" s="1131"/>
      <c r="O11" s="1131"/>
      <c r="P11" s="3231"/>
      <c r="Q11" s="2965" t="str">
        <f t="shared" si="6"/>
        <v>容积率</v>
      </c>
      <c r="R11" s="769" t="s">
        <v>17</v>
      </c>
      <c r="S11" s="770">
        <f t="shared" si="0"/>
        <v>100</v>
      </c>
      <c r="T11" s="769" t="s">
        <v>17</v>
      </c>
      <c r="U11" s="770">
        <f t="shared" si="1"/>
        <v>100</v>
      </c>
      <c r="V11" s="769" t="s">
        <v>17</v>
      </c>
      <c r="W11" s="770">
        <f t="shared" si="2"/>
        <v>100</v>
      </c>
      <c r="X11" s="771"/>
      <c r="Y11" s="3044"/>
      <c r="Z11" s="2966" t="str">
        <f t="shared" si="7"/>
        <v>容积率</v>
      </c>
      <c r="AA11" s="772">
        <f t="shared" si="3"/>
        <v>1</v>
      </c>
      <c r="AB11" s="772">
        <f t="shared" si="4"/>
        <v>1</v>
      </c>
      <c r="AC11" s="2670">
        <f t="shared" si="5"/>
        <v>1</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2"/>
      <c r="M12" s="1133"/>
      <c r="N12" s="1133"/>
      <c r="O12" s="1133"/>
      <c r="P12" s="3231"/>
      <c r="Q12" s="2965">
        <f t="shared" si="6"/>
        <v>111</v>
      </c>
      <c r="R12" s="769" t="s">
        <v>17</v>
      </c>
      <c r="S12" s="770">
        <f t="shared" si="0"/>
        <v>100</v>
      </c>
      <c r="T12" s="769" t="s">
        <v>17</v>
      </c>
      <c r="U12" s="770">
        <f t="shared" si="1"/>
        <v>100</v>
      </c>
      <c r="V12" s="769" t="s">
        <v>17</v>
      </c>
      <c r="W12" s="770">
        <f t="shared" si="2"/>
        <v>100</v>
      </c>
      <c r="X12" s="771"/>
      <c r="Y12" s="3044"/>
      <c r="Z12" s="2966">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0"/>
      <c r="M13" s="1131"/>
      <c r="N13" s="1131"/>
      <c r="O13" s="1131"/>
      <c r="P13" s="3231"/>
      <c r="Q13" s="2965">
        <f t="shared" si="6"/>
        <v>111</v>
      </c>
      <c r="R13" s="769" t="s">
        <v>17</v>
      </c>
      <c r="S13" s="770">
        <f t="shared" si="0"/>
        <v>100</v>
      </c>
      <c r="T13" s="769" t="s">
        <v>17</v>
      </c>
      <c r="U13" s="770">
        <f t="shared" si="1"/>
        <v>100</v>
      </c>
      <c r="V13" s="769" t="s">
        <v>17</v>
      </c>
      <c r="W13" s="770">
        <f t="shared" si="2"/>
        <v>100</v>
      </c>
      <c r="X13" s="771"/>
      <c r="Y13" s="3044"/>
      <c r="Z13" s="2966">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0"/>
      <c r="M14" s="1131"/>
      <c r="N14" s="1131"/>
      <c r="O14" s="1131"/>
      <c r="P14" s="3231"/>
      <c r="Q14" s="2965">
        <f t="shared" si="6"/>
        <v>111</v>
      </c>
      <c r="R14" s="769" t="s">
        <v>17</v>
      </c>
      <c r="S14" s="770">
        <f t="shared" si="0"/>
        <v>100</v>
      </c>
      <c r="T14" s="769" t="s">
        <v>17</v>
      </c>
      <c r="U14" s="770">
        <f t="shared" si="1"/>
        <v>100</v>
      </c>
      <c r="V14" s="769" t="s">
        <v>17</v>
      </c>
      <c r="W14" s="770">
        <f t="shared" si="2"/>
        <v>100</v>
      </c>
      <c r="X14" s="771"/>
      <c r="Y14" s="3044"/>
      <c r="Z14" s="2966">
        <f t="shared" si="7"/>
        <v>111</v>
      </c>
      <c r="AA14" s="772">
        <f t="shared" si="3"/>
        <v>1</v>
      </c>
      <c r="AB14" s="772">
        <f t="shared" si="4"/>
        <v>1</v>
      </c>
      <c r="AC14" s="2670">
        <f t="shared" si="5"/>
        <v>1</v>
      </c>
    </row>
    <row r="15" spans="1:29" ht="99.75">
      <c r="A15" s="439" t="s">
        <v>2548</v>
      </c>
      <c r="B15" s="628" t="s">
        <v>2676</v>
      </c>
      <c r="C15" s="2672" t="str">
        <f>估价对象房地状况!C5</f>
        <v>好</v>
      </c>
      <c r="D15" s="440">
        <v>100</v>
      </c>
      <c r="E15" s="443"/>
      <c r="F15" s="440">
        <f>SUMIF(77:77,E16,78:78)-SUMIF(77:77,C16,78:78)+100</f>
        <v>100</v>
      </c>
      <c r="G15" s="441"/>
      <c r="H15" s="440">
        <f>SUMIF(77:77,G16,78:78)-SUMIF(77:77,C16,78:78)+100</f>
        <v>100</v>
      </c>
      <c r="I15" s="441"/>
      <c r="J15" s="440">
        <f>SUMIF(77:77,I16,78:78)-SUMIF(77:77,C16,78:78)+100</f>
        <v>100</v>
      </c>
      <c r="K15" s="613">
        <v>2</v>
      </c>
      <c r="L15" s="1140"/>
      <c r="M15" s="1131"/>
      <c r="N15" s="1131"/>
      <c r="O15" s="1131"/>
      <c r="P15" s="3258" t="s">
        <v>2549</v>
      </c>
      <c r="Q15" s="2971" t="str">
        <f t="shared" si="6"/>
        <v>办公集聚程度</v>
      </c>
      <c r="R15" s="773" t="s">
        <v>17</v>
      </c>
      <c r="S15" s="774">
        <f t="shared" si="0"/>
        <v>100</v>
      </c>
      <c r="T15" s="773" t="s">
        <v>17</v>
      </c>
      <c r="U15" s="774">
        <f t="shared" si="1"/>
        <v>100</v>
      </c>
      <c r="V15" s="773" t="s">
        <v>17</v>
      </c>
      <c r="W15" s="774">
        <f t="shared" si="2"/>
        <v>100</v>
      </c>
      <c r="X15" s="2968"/>
      <c r="Y15" s="3251" t="s">
        <v>2549</v>
      </c>
      <c r="Z15" s="2969" t="str">
        <f t="shared" si="7"/>
        <v>办公集聚程度</v>
      </c>
      <c r="AA15" s="2972">
        <f t="shared" si="3"/>
        <v>1</v>
      </c>
      <c r="AB15" s="2972">
        <f t="shared" si="4"/>
        <v>1</v>
      </c>
      <c r="AC15" s="2673">
        <f t="shared" si="5"/>
        <v>1</v>
      </c>
    </row>
    <row r="16" spans="1:29" ht="15">
      <c r="A16" s="427"/>
      <c r="B16" s="629"/>
      <c r="C16" s="2610" t="s">
        <v>3080</v>
      </c>
      <c r="D16" s="447"/>
      <c r="E16" s="446" t="s">
        <v>3080</v>
      </c>
      <c r="F16" s="447"/>
      <c r="G16" s="2610" t="s">
        <v>3080</v>
      </c>
      <c r="H16" s="449"/>
      <c r="I16" s="446" t="s">
        <v>3080</v>
      </c>
      <c r="J16" s="447"/>
      <c r="K16" s="614"/>
      <c r="L16" s="1140"/>
      <c r="M16" s="1131"/>
      <c r="N16" s="1131"/>
      <c r="O16" s="1131"/>
      <c r="P16" s="3259"/>
      <c r="Q16" s="2971"/>
      <c r="R16" s="773"/>
      <c r="S16" s="774"/>
      <c r="T16" s="773"/>
      <c r="U16" s="774"/>
      <c r="V16" s="773"/>
      <c r="W16" s="774"/>
      <c r="X16" s="2968"/>
      <c r="Y16" s="3252"/>
      <c r="Z16" s="2969"/>
      <c r="AA16" s="2972">
        <v>1</v>
      </c>
      <c r="AB16" s="2972">
        <v>1</v>
      </c>
      <c r="AC16" s="2673">
        <v>1</v>
      </c>
    </row>
    <row r="17" spans="1:29" ht="142.5">
      <c r="A17" s="427"/>
      <c r="B17" s="630" t="s">
        <v>2091</v>
      </c>
      <c r="C17" s="2674" t="str">
        <f>估价对象房地状况!C6</f>
        <v>好</v>
      </c>
      <c r="D17" s="449">
        <v>100</v>
      </c>
      <c r="E17" s="453"/>
      <c r="F17" s="449">
        <f>SUMIF(79:79,E18,80:80)-SUMIF(79:79,C18,80:80)+100</f>
        <v>100</v>
      </c>
      <c r="G17" s="451"/>
      <c r="H17" s="454">
        <f>SUMIF(79:79,G18,80:80)-SUMIF(79:79,C18,80:80)+100</f>
        <v>100</v>
      </c>
      <c r="I17" s="451"/>
      <c r="J17" s="454">
        <f>SUMIF(79:79,I18,80:80)-SUMIF(79:79,C18,80:80)+100</f>
        <v>100</v>
      </c>
      <c r="K17" s="613">
        <v>2</v>
      </c>
      <c r="L17" s="1140"/>
      <c r="M17" s="1131"/>
      <c r="N17" s="1131"/>
      <c r="O17" s="1131"/>
      <c r="P17" s="3259"/>
      <c r="Q17" s="2971" t="str">
        <f>B17</f>
        <v>交通便捷度</v>
      </c>
      <c r="R17" s="773" t="s">
        <v>17</v>
      </c>
      <c r="S17" s="774">
        <f>F17</f>
        <v>100</v>
      </c>
      <c r="T17" s="773" t="s">
        <v>17</v>
      </c>
      <c r="U17" s="774">
        <f>H17</f>
        <v>100</v>
      </c>
      <c r="V17" s="773" t="s">
        <v>17</v>
      </c>
      <c r="W17" s="774">
        <f>J17</f>
        <v>100</v>
      </c>
      <c r="X17" s="2968"/>
      <c r="Y17" s="3252"/>
      <c r="Z17" s="2969" t="str">
        <f>Q17</f>
        <v>交通便捷度</v>
      </c>
      <c r="AA17" s="2972">
        <f t="shared" si="3"/>
        <v>1</v>
      </c>
      <c r="AB17" s="2972">
        <f t="shared" si="4"/>
        <v>1</v>
      </c>
      <c r="AC17" s="2673">
        <f t="shared" si="5"/>
        <v>1</v>
      </c>
    </row>
    <row r="18" spans="1:29" ht="15">
      <c r="A18" s="427"/>
      <c r="B18" s="631"/>
      <c r="C18" s="2675" t="s">
        <v>3080</v>
      </c>
      <c r="D18" s="449"/>
      <c r="E18" s="2608" t="s">
        <v>3080</v>
      </c>
      <c r="F18" s="449"/>
      <c r="G18" s="2609" t="s">
        <v>3080</v>
      </c>
      <c r="H18" s="447"/>
      <c r="I18" s="2609" t="s">
        <v>3080</v>
      </c>
      <c r="J18" s="447"/>
      <c r="K18" s="614"/>
      <c r="L18" s="1140"/>
      <c r="M18" s="1131"/>
      <c r="N18" s="1131"/>
      <c r="O18" s="1131"/>
      <c r="P18" s="3259"/>
      <c r="Q18" s="2971"/>
      <c r="R18" s="773"/>
      <c r="S18" s="774"/>
      <c r="T18" s="773"/>
      <c r="U18" s="774"/>
      <c r="V18" s="773"/>
      <c r="W18" s="774"/>
      <c r="X18" s="2968"/>
      <c r="Y18" s="3252"/>
      <c r="Z18" s="2969"/>
      <c r="AA18" s="2972">
        <v>1</v>
      </c>
      <c r="AB18" s="2972">
        <v>1</v>
      </c>
      <c r="AC18" s="2673">
        <v>1</v>
      </c>
    </row>
    <row r="19" spans="1:29" ht="71.25">
      <c r="A19" s="427"/>
      <c r="B19" s="630" t="s">
        <v>2677</v>
      </c>
      <c r="C19" s="2674" t="str">
        <f>估价对象房地状况!C7</f>
        <v>较好</v>
      </c>
      <c r="D19" s="454">
        <v>100</v>
      </c>
      <c r="E19" s="458"/>
      <c r="F19" s="454">
        <f>SUMIF(81:81,E20,82:82)-SUMIF(81:81,C20,82:82)+100</f>
        <v>100</v>
      </c>
      <c r="G19" s="456"/>
      <c r="H19" s="449">
        <f>SUMIF(81:81,G20,82:82)-SUMIF(81:81,C20,82:82)+100</f>
        <v>100</v>
      </c>
      <c r="I19" s="456"/>
      <c r="J19" s="449">
        <f>SUMIF(81:81,I20,82:82)-SUMIF(81:81,C20,82:82)+100</f>
        <v>100</v>
      </c>
      <c r="K19" s="613">
        <v>2</v>
      </c>
      <c r="L19" s="1140"/>
      <c r="M19" s="1131"/>
      <c r="N19" s="1131"/>
      <c r="O19" s="1131"/>
      <c r="P19" s="3259"/>
      <c r="Q19" s="2971" t="str">
        <f>B19</f>
        <v>公共配套设施</v>
      </c>
      <c r="R19" s="773" t="s">
        <v>17</v>
      </c>
      <c r="S19" s="774">
        <f>F19</f>
        <v>100</v>
      </c>
      <c r="T19" s="773" t="s">
        <v>17</v>
      </c>
      <c r="U19" s="774">
        <f>H19</f>
        <v>100</v>
      </c>
      <c r="V19" s="773" t="s">
        <v>17</v>
      </c>
      <c r="W19" s="774">
        <f>J19</f>
        <v>100</v>
      </c>
      <c r="X19" s="2968"/>
      <c r="Y19" s="3252"/>
      <c r="Z19" s="2969" t="str">
        <f>Q19</f>
        <v>公共配套设施</v>
      </c>
      <c r="AA19" s="2972">
        <f t="shared" si="3"/>
        <v>1</v>
      </c>
      <c r="AB19" s="2972">
        <f t="shared" si="4"/>
        <v>1</v>
      </c>
      <c r="AC19" s="2673">
        <f t="shared" si="5"/>
        <v>1</v>
      </c>
    </row>
    <row r="20" spans="1:29" ht="15">
      <c r="A20" s="427"/>
      <c r="B20" s="631"/>
      <c r="C20" s="2610" t="s">
        <v>3078</v>
      </c>
      <c r="D20" s="447"/>
      <c r="E20" s="2603" t="s">
        <v>3078</v>
      </c>
      <c r="F20" s="447"/>
      <c r="G20" s="2604" t="s">
        <v>3078</v>
      </c>
      <c r="H20" s="447"/>
      <c r="I20" s="2604" t="s">
        <v>3078</v>
      </c>
      <c r="J20" s="447"/>
      <c r="K20" s="614"/>
      <c r="L20" s="1140"/>
      <c r="M20" s="1131"/>
      <c r="N20" s="1131"/>
      <c r="O20" s="1131"/>
      <c r="P20" s="3259"/>
      <c r="Q20" s="2971"/>
      <c r="R20" s="773"/>
      <c r="S20" s="774"/>
      <c r="T20" s="773"/>
      <c r="U20" s="774"/>
      <c r="V20" s="773"/>
      <c r="W20" s="774"/>
      <c r="X20" s="2968"/>
      <c r="Y20" s="3252"/>
      <c r="Z20" s="2969"/>
      <c r="AA20" s="2972">
        <v>1</v>
      </c>
      <c r="AB20" s="2972">
        <v>1</v>
      </c>
      <c r="AC20" s="2673">
        <v>1</v>
      </c>
    </row>
    <row r="21" spans="1:29" ht="15">
      <c r="A21" s="427"/>
      <c r="B21" s="632" t="s">
        <v>2678</v>
      </c>
      <c r="C21" s="2674"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v>2</v>
      </c>
      <c r="L21" s="1140"/>
      <c r="M21" s="1131"/>
      <c r="N21" s="1131"/>
      <c r="O21" s="1131"/>
      <c r="P21" s="3259"/>
      <c r="Q21" s="2971" t="str">
        <f>B21</f>
        <v>基础设施水平</v>
      </c>
      <c r="R21" s="773" t="s">
        <v>17</v>
      </c>
      <c r="S21" s="774">
        <f>F21</f>
        <v>100</v>
      </c>
      <c r="T21" s="773" t="s">
        <v>17</v>
      </c>
      <c r="U21" s="774">
        <f>H21</f>
        <v>100</v>
      </c>
      <c r="V21" s="773" t="s">
        <v>17</v>
      </c>
      <c r="W21" s="774">
        <f>J21</f>
        <v>100</v>
      </c>
      <c r="X21" s="2968"/>
      <c r="Y21" s="3252"/>
      <c r="Z21" s="2969" t="str">
        <f>Q21</f>
        <v>基础设施水平</v>
      </c>
      <c r="AA21" s="2972">
        <f t="shared" ref="AA21" si="8">D21/F21</f>
        <v>1</v>
      </c>
      <c r="AB21" s="2972">
        <f t="shared" ref="AB21" si="9">D21/H21</f>
        <v>1</v>
      </c>
      <c r="AC21" s="2673">
        <f t="shared" ref="AC21" si="10">D21/J21</f>
        <v>1</v>
      </c>
    </row>
    <row r="22" spans="1:29" ht="15">
      <c r="A22" s="427"/>
      <c r="B22" s="632"/>
      <c r="C22" s="2675" t="s">
        <v>3088</v>
      </c>
      <c r="D22" s="447"/>
      <c r="E22" s="446" t="s">
        <v>3088</v>
      </c>
      <c r="F22" s="447"/>
      <c r="G22" s="2610" t="s">
        <v>3088</v>
      </c>
      <c r="H22" s="447"/>
      <c r="I22" s="2610" t="s">
        <v>3088</v>
      </c>
      <c r="J22" s="447"/>
      <c r="K22" s="1383"/>
      <c r="L22" s="1140"/>
      <c r="M22" s="1131"/>
      <c r="N22" s="1131"/>
      <c r="O22" s="1131"/>
      <c r="P22" s="3259"/>
      <c r="Q22" s="2971"/>
      <c r="R22" s="773"/>
      <c r="S22" s="774"/>
      <c r="T22" s="773"/>
      <c r="U22" s="774"/>
      <c r="V22" s="773"/>
      <c r="W22" s="774"/>
      <c r="X22" s="2968"/>
      <c r="Y22" s="3252"/>
      <c r="Z22" s="2969"/>
      <c r="AA22" s="2972">
        <v>1</v>
      </c>
      <c r="AB22" s="2972">
        <v>1</v>
      </c>
      <c r="AC22" s="2673">
        <v>1</v>
      </c>
    </row>
    <row r="23" spans="1:29" ht="114">
      <c r="A23" s="427"/>
      <c r="B23" s="630" t="s">
        <v>2679</v>
      </c>
      <c r="C23" s="2674" t="str">
        <f>估价对象房地状况!C9</f>
        <v>较好</v>
      </c>
      <c r="D23" s="449">
        <v>100</v>
      </c>
      <c r="E23" s="453"/>
      <c r="F23" s="449">
        <f>SUMIF(85:85,E24,86:86)-SUMIF(85:85,C24,86:86)+100</f>
        <v>100</v>
      </c>
      <c r="G23" s="451"/>
      <c r="H23" s="449">
        <f>SUMIF(85:85,G24,86:86)-SUMIF(85:85,C24,86:86)+100</f>
        <v>100</v>
      </c>
      <c r="I23" s="451"/>
      <c r="J23" s="449">
        <f>SUMIF(85:85,I24,86:86)-SUMIF(85:85,C24,86:86)+100</f>
        <v>100</v>
      </c>
      <c r="K23" s="613">
        <v>2</v>
      </c>
      <c r="L23" s="1140"/>
      <c r="M23" s="1131"/>
      <c r="N23" s="1131"/>
      <c r="O23" s="1131"/>
      <c r="P23" s="3259"/>
      <c r="Q23" s="2971" t="str">
        <f>B23</f>
        <v>环境质量</v>
      </c>
      <c r="R23" s="773" t="s">
        <v>17</v>
      </c>
      <c r="S23" s="774">
        <f>F23</f>
        <v>100</v>
      </c>
      <c r="T23" s="773" t="s">
        <v>17</v>
      </c>
      <c r="U23" s="774">
        <f>H23</f>
        <v>100</v>
      </c>
      <c r="V23" s="773" t="s">
        <v>17</v>
      </c>
      <c r="W23" s="774">
        <f>J23</f>
        <v>100</v>
      </c>
      <c r="X23" s="2968"/>
      <c r="Y23" s="3252"/>
      <c r="Z23" s="2969" t="str">
        <f>Q23</f>
        <v>环境质量</v>
      </c>
      <c r="AA23" s="2972">
        <f t="shared" si="3"/>
        <v>1</v>
      </c>
      <c r="AB23" s="2972">
        <f t="shared" si="4"/>
        <v>1</v>
      </c>
      <c r="AC23" s="2673">
        <f t="shared" si="5"/>
        <v>1</v>
      </c>
    </row>
    <row r="24" spans="1:29" ht="15">
      <c r="A24" s="427"/>
      <c r="B24" s="632"/>
      <c r="C24" s="2610" t="s">
        <v>3078</v>
      </c>
      <c r="D24" s="447"/>
      <c r="E24" s="2603" t="s">
        <v>3078</v>
      </c>
      <c r="F24" s="447"/>
      <c r="G24" s="2604" t="s">
        <v>3078</v>
      </c>
      <c r="H24" s="447"/>
      <c r="I24" s="2604" t="s">
        <v>3078</v>
      </c>
      <c r="J24" s="447"/>
      <c r="K24" s="614"/>
      <c r="L24" s="1140"/>
      <c r="M24" s="1131"/>
      <c r="N24" s="1131"/>
      <c r="O24" s="1131"/>
      <c r="P24" s="3259"/>
      <c r="Q24" s="2971"/>
      <c r="R24" s="773"/>
      <c r="S24" s="774"/>
      <c r="T24" s="773"/>
      <c r="U24" s="774"/>
      <c r="V24" s="773"/>
      <c r="W24" s="774"/>
      <c r="X24" s="2968"/>
      <c r="Y24" s="3252"/>
      <c r="Z24" s="2969"/>
      <c r="AA24" s="2972">
        <v>1</v>
      </c>
      <c r="AB24" s="2972">
        <v>1</v>
      </c>
      <c r="AC24" s="2673">
        <v>1</v>
      </c>
    </row>
    <row r="25" spans="1:29" ht="27.75">
      <c r="A25" s="403"/>
      <c r="B25" s="630" t="s">
        <v>2680</v>
      </c>
      <c r="C25" s="2614" t="s">
        <v>3125</v>
      </c>
      <c r="D25" s="434">
        <v>100</v>
      </c>
      <c r="E25" s="2614" t="s">
        <v>3125</v>
      </c>
      <c r="F25" s="434">
        <f>SUMIF(87:87,E26,88:88)-SUMIF(87:87,C26,88:88)+100</f>
        <v>100</v>
      </c>
      <c r="G25" s="2614" t="s">
        <v>3125</v>
      </c>
      <c r="H25" s="434">
        <f>SUMIF(87:87,G26,88:88)-SUMIF(87:87,C26,88:88)+100</f>
        <v>100</v>
      </c>
      <c r="I25" s="2614" t="s">
        <v>3134</v>
      </c>
      <c r="J25" s="434">
        <f>SUMIF(87:87,I26,88:88)-SUMIF(87:87,C26,88:88)+100</f>
        <v>100</v>
      </c>
      <c r="K25" s="613">
        <v>2</v>
      </c>
      <c r="L25" s="1140"/>
      <c r="M25" s="1131"/>
      <c r="N25" s="1131"/>
      <c r="O25" s="1131"/>
      <c r="P25" s="3259"/>
      <c r="Q25" s="2971" t="str">
        <f>B25</f>
        <v>毗邻道路的类型与等级</v>
      </c>
      <c r="R25" s="773" t="s">
        <v>17</v>
      </c>
      <c r="S25" s="774">
        <f>F25</f>
        <v>100</v>
      </c>
      <c r="T25" s="773" t="s">
        <v>17</v>
      </c>
      <c r="U25" s="774">
        <f>H25</f>
        <v>100</v>
      </c>
      <c r="V25" s="773" t="s">
        <v>17</v>
      </c>
      <c r="W25" s="774">
        <f>J25</f>
        <v>100</v>
      </c>
      <c r="X25" s="2968"/>
      <c r="Y25" s="3252"/>
      <c r="Z25" s="2969" t="str">
        <f>Q25</f>
        <v>毗邻道路的类型与等级</v>
      </c>
      <c r="AA25" s="2972">
        <f t="shared" si="3"/>
        <v>1</v>
      </c>
      <c r="AB25" s="2972">
        <f t="shared" si="4"/>
        <v>1</v>
      </c>
      <c r="AC25" s="2673">
        <f t="shared" si="5"/>
        <v>1</v>
      </c>
    </row>
    <row r="26" spans="1:29" ht="15">
      <c r="A26" s="403"/>
      <c r="B26" s="631"/>
      <c r="C26" s="633" t="s">
        <v>3089</v>
      </c>
      <c r="D26" s="434"/>
      <c r="E26" s="615" t="s">
        <v>3089</v>
      </c>
      <c r="F26" s="434"/>
      <c r="G26" s="633" t="s">
        <v>3089</v>
      </c>
      <c r="H26" s="434"/>
      <c r="I26" s="615" t="s">
        <v>3089</v>
      </c>
      <c r="J26" s="434"/>
      <c r="K26" s="614"/>
      <c r="L26" s="1140"/>
      <c r="M26" s="1131"/>
      <c r="N26" s="1131"/>
      <c r="O26" s="1131"/>
      <c r="P26" s="3259"/>
      <c r="Q26" s="2971"/>
      <c r="R26" s="773"/>
      <c r="S26" s="774"/>
      <c r="T26" s="773"/>
      <c r="U26" s="774"/>
      <c r="V26" s="773"/>
      <c r="W26" s="774"/>
      <c r="X26" s="2968"/>
      <c r="Y26" s="3252"/>
      <c r="Z26" s="2969"/>
      <c r="AA26" s="2972">
        <v>1</v>
      </c>
      <c r="AB26" s="2972">
        <v>1</v>
      </c>
      <c r="AC26" s="2673">
        <v>1</v>
      </c>
    </row>
    <row r="27" spans="1:29" ht="15">
      <c r="A27" s="427"/>
      <c r="B27" s="631" t="s">
        <v>2648</v>
      </c>
      <c r="C27" s="633" t="s">
        <v>3114</v>
      </c>
      <c r="D27" s="434">
        <v>100</v>
      </c>
      <c r="E27" s="615" t="s">
        <v>3114</v>
      </c>
      <c r="F27" s="434">
        <f>SUMIF(89:89,E27,90:90)-SUMIF(89:89,C27,90:90)+100</f>
        <v>100</v>
      </c>
      <c r="G27" s="633" t="s">
        <v>3090</v>
      </c>
      <c r="H27" s="434">
        <f>SUMIF(89:89,G27,90:90)-SUMIF(89:89,C27,90:90)+100</f>
        <v>102</v>
      </c>
      <c r="I27" s="615" t="s">
        <v>3130</v>
      </c>
      <c r="J27" s="434">
        <f>SUMIF(89:89,I27,90:90)-SUMIF(89:89,C27,90:90)+100</f>
        <v>104</v>
      </c>
      <c r="K27" s="611">
        <v>2</v>
      </c>
      <c r="L27" s="1140"/>
      <c r="M27" s="1131"/>
      <c r="N27" s="1131"/>
      <c r="O27" s="1131"/>
      <c r="P27" s="3259"/>
      <c r="Q27" s="2971" t="str">
        <f t="shared" ref="Q27:Q47" si="11">B27</f>
        <v>楼层</v>
      </c>
      <c r="R27" s="773" t="s">
        <v>17</v>
      </c>
      <c r="S27" s="774">
        <f>F27</f>
        <v>100</v>
      </c>
      <c r="T27" s="773" t="s">
        <v>17</v>
      </c>
      <c r="U27" s="774">
        <f>H27</f>
        <v>102</v>
      </c>
      <c r="V27" s="773" t="s">
        <v>17</v>
      </c>
      <c r="W27" s="774">
        <f>J27</f>
        <v>104</v>
      </c>
      <c r="X27" s="2968"/>
      <c r="Y27" s="3252"/>
      <c r="Z27" s="2969" t="str">
        <f>Q27</f>
        <v>楼层</v>
      </c>
      <c r="AA27" s="2972">
        <f t="shared" si="3"/>
        <v>1</v>
      </c>
      <c r="AB27" s="2972">
        <f t="shared" si="4"/>
        <v>0.98039215686274506</v>
      </c>
      <c r="AC27" s="2673">
        <f t="shared" si="5"/>
        <v>0.96153846153846156</v>
      </c>
    </row>
    <row r="28" spans="1:29" s="116" customFormat="1" ht="15">
      <c r="A28" s="430"/>
      <c r="B28" s="630" t="s">
        <v>2681</v>
      </c>
      <c r="C28" s="2676"/>
      <c r="D28" s="461">
        <v>100</v>
      </c>
      <c r="E28" s="2664"/>
      <c r="F28" s="461">
        <f>SUMIF(91:91,E28,92:92)-SUMIF(91:91,C28,92:92)+100</f>
        <v>100</v>
      </c>
      <c r="G28" s="2676"/>
      <c r="H28" s="461">
        <f>SUMIF(91:91,G28,92:92)-SUMIF(91:91,C28,92:92)+100</f>
        <v>100</v>
      </c>
      <c r="I28" s="2664"/>
      <c r="J28" s="461">
        <f>SUMIF(91:91,I28,92:92)-SUMIF(91:91,C28,92:92)+100</f>
        <v>100</v>
      </c>
      <c r="K28" s="611"/>
      <c r="L28" s="1132"/>
      <c r="M28" s="1133"/>
      <c r="N28" s="1133"/>
      <c r="O28" s="1133"/>
      <c r="P28" s="3259"/>
      <c r="Q28" s="2965" t="str">
        <f t="shared" si="11"/>
        <v>朝向</v>
      </c>
      <c r="R28" s="769" t="s">
        <v>17</v>
      </c>
      <c r="S28" s="770">
        <f>F28</f>
        <v>100</v>
      </c>
      <c r="T28" s="769" t="s">
        <v>17</v>
      </c>
      <c r="U28" s="770">
        <f>H28</f>
        <v>100</v>
      </c>
      <c r="V28" s="769" t="s">
        <v>17</v>
      </c>
      <c r="W28" s="770">
        <f>J28</f>
        <v>100</v>
      </c>
      <c r="X28" s="771"/>
      <c r="Y28" s="3252"/>
      <c r="Z28" s="2966" t="str">
        <f>Q28</f>
        <v>朝向</v>
      </c>
      <c r="AA28" s="2972">
        <f>D28/F28</f>
        <v>1</v>
      </c>
      <c r="AB28" s="2972">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0"/>
      <c r="M29" s="1131"/>
      <c r="N29" s="1131"/>
      <c r="O29" s="1131"/>
      <c r="P29" s="3259"/>
      <c r="Q29" s="2971">
        <f t="shared" si="11"/>
        <v>111</v>
      </c>
      <c r="R29" s="773" t="s">
        <v>17</v>
      </c>
      <c r="S29" s="774">
        <f t="shared" ref="S29:S47" si="12">F29</f>
        <v>100</v>
      </c>
      <c r="T29" s="773" t="s">
        <v>17</v>
      </c>
      <c r="U29" s="774">
        <f t="shared" ref="U29:U47" si="13">H29</f>
        <v>100</v>
      </c>
      <c r="V29" s="773" t="s">
        <v>17</v>
      </c>
      <c r="W29" s="774">
        <f t="shared" ref="W29:W47" si="14">J29</f>
        <v>100</v>
      </c>
      <c r="X29" s="2968"/>
      <c r="Y29" s="3252"/>
      <c r="Z29" s="2969">
        <f t="shared" ref="Z29:Z47" si="15">Q29</f>
        <v>111</v>
      </c>
      <c r="AA29" s="2972">
        <f t="shared" si="3"/>
        <v>1</v>
      </c>
      <c r="AB29" s="2972">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0"/>
      <c r="M30" s="1131"/>
      <c r="N30" s="1131"/>
      <c r="O30" s="1131"/>
      <c r="P30" s="3259"/>
      <c r="Q30" s="2971">
        <f t="shared" si="11"/>
        <v>111</v>
      </c>
      <c r="R30" s="773" t="s">
        <v>17</v>
      </c>
      <c r="S30" s="774">
        <f t="shared" si="12"/>
        <v>100</v>
      </c>
      <c r="T30" s="773" t="s">
        <v>17</v>
      </c>
      <c r="U30" s="774">
        <f t="shared" si="13"/>
        <v>100</v>
      </c>
      <c r="V30" s="773" t="s">
        <v>17</v>
      </c>
      <c r="W30" s="774">
        <f t="shared" si="14"/>
        <v>100</v>
      </c>
      <c r="X30" s="2968"/>
      <c r="Y30" s="3252"/>
      <c r="Z30" s="2969">
        <f t="shared" si="15"/>
        <v>111</v>
      </c>
      <c r="AA30" s="2972">
        <f t="shared" si="3"/>
        <v>1</v>
      </c>
      <c r="AB30" s="2972">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0"/>
      <c r="M31" s="1131"/>
      <c r="N31" s="1131"/>
      <c r="O31" s="1131"/>
      <c r="P31" s="3259"/>
      <c r="Q31" s="2971">
        <f t="shared" si="11"/>
        <v>111</v>
      </c>
      <c r="R31" s="773" t="s">
        <v>17</v>
      </c>
      <c r="S31" s="774">
        <f t="shared" si="12"/>
        <v>100</v>
      </c>
      <c r="T31" s="773" t="s">
        <v>17</v>
      </c>
      <c r="U31" s="774">
        <f t="shared" si="13"/>
        <v>100</v>
      </c>
      <c r="V31" s="773" t="s">
        <v>17</v>
      </c>
      <c r="W31" s="774">
        <f t="shared" si="14"/>
        <v>100</v>
      </c>
      <c r="X31" s="2968"/>
      <c r="Y31" s="3252"/>
      <c r="Z31" s="2969">
        <f t="shared" si="15"/>
        <v>111</v>
      </c>
      <c r="AA31" s="2972">
        <f t="shared" si="3"/>
        <v>1</v>
      </c>
      <c r="AB31" s="2972">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0"/>
      <c r="M32" s="1131"/>
      <c r="N32" s="1131"/>
      <c r="O32" s="1131"/>
      <c r="P32" s="3259"/>
      <c r="Q32" s="2971">
        <f t="shared" si="11"/>
        <v>111</v>
      </c>
      <c r="R32" s="773" t="s">
        <v>17</v>
      </c>
      <c r="S32" s="774">
        <f t="shared" si="12"/>
        <v>100</v>
      </c>
      <c r="T32" s="773" t="s">
        <v>17</v>
      </c>
      <c r="U32" s="774">
        <f t="shared" si="13"/>
        <v>100</v>
      </c>
      <c r="V32" s="773" t="s">
        <v>17</v>
      </c>
      <c r="W32" s="774">
        <f t="shared" si="14"/>
        <v>100</v>
      </c>
      <c r="X32" s="2968"/>
      <c r="Y32" s="3252"/>
      <c r="Z32" s="2969">
        <f t="shared" si="15"/>
        <v>111</v>
      </c>
      <c r="AA32" s="2972">
        <f t="shared" si="3"/>
        <v>1</v>
      </c>
      <c r="AB32" s="2972">
        <f t="shared" si="4"/>
        <v>1</v>
      </c>
      <c r="AC32" s="2673">
        <f t="shared" si="5"/>
        <v>1</v>
      </c>
    </row>
    <row r="33" spans="1:29" ht="15">
      <c r="A33" s="439" t="s">
        <v>2552</v>
      </c>
      <c r="B33" s="70" t="s">
        <v>2682</v>
      </c>
      <c r="C33" s="2678" t="s">
        <v>3091</v>
      </c>
      <c r="D33" s="466">
        <v>100</v>
      </c>
      <c r="E33" s="2678" t="s">
        <v>3091</v>
      </c>
      <c r="F33" s="460">
        <f>SUMIF(101:101,E33,102:102)-SUMIF(101:101,C33,102:102)+100</f>
        <v>100</v>
      </c>
      <c r="G33" s="2678" t="s">
        <v>3091</v>
      </c>
      <c r="H33" s="434">
        <f>SUMIF(101:101,G33,102:102)-SUMIF(101:101,C33,102:102)+100</f>
        <v>100</v>
      </c>
      <c r="I33" s="2678" t="s">
        <v>3091</v>
      </c>
      <c r="J33" s="466">
        <f>SUMIF(101:101,I33,102:102)-SUMIF(101:101,C33,102:102)+100</f>
        <v>100</v>
      </c>
      <c r="K33" s="611">
        <v>2</v>
      </c>
      <c r="L33" s="1140"/>
      <c r="M33" s="1131"/>
      <c r="N33" s="1131"/>
      <c r="O33" s="1131"/>
      <c r="P33" s="3253" t="s">
        <v>2554</v>
      </c>
      <c r="Q33" s="2971" t="str">
        <f t="shared" si="11"/>
        <v>建筑类型</v>
      </c>
      <c r="R33" s="773" t="s">
        <v>17</v>
      </c>
      <c r="S33" s="774">
        <f t="shared" si="12"/>
        <v>100</v>
      </c>
      <c r="T33" s="773" t="s">
        <v>17</v>
      </c>
      <c r="U33" s="774">
        <f t="shared" si="13"/>
        <v>100</v>
      </c>
      <c r="V33" s="773" t="s">
        <v>17</v>
      </c>
      <c r="W33" s="774">
        <f t="shared" si="14"/>
        <v>100</v>
      </c>
      <c r="X33" s="2968"/>
      <c r="Y33" s="3256" t="s">
        <v>2554</v>
      </c>
      <c r="Z33" s="2969" t="str">
        <f t="shared" si="15"/>
        <v>建筑类型</v>
      </c>
      <c r="AA33" s="2972">
        <f t="shared" si="3"/>
        <v>1</v>
      </c>
      <c r="AB33" s="2972">
        <f t="shared" si="4"/>
        <v>1</v>
      </c>
      <c r="AC33" s="2673">
        <f t="shared" si="5"/>
        <v>1</v>
      </c>
    </row>
    <row r="34" spans="1:29" s="470" customFormat="1" ht="15">
      <c r="A34" s="467"/>
      <c r="B34" s="2967" t="s">
        <v>2555</v>
      </c>
      <c r="C34" s="468">
        <f>'数据-汇总表'!E19</f>
        <v>8276.64</v>
      </c>
      <c r="D34" s="135">
        <v>100</v>
      </c>
      <c r="E34" s="429">
        <v>1100</v>
      </c>
      <c r="F34" s="424">
        <f>LOOKUP(E34,104:104,105:105)-LOOKUP(C34,104:104,105:105)+100</f>
        <v>108</v>
      </c>
      <c r="G34" s="429">
        <v>1062</v>
      </c>
      <c r="H34" s="135">
        <f>LOOKUP(G34,104:104,105:105)-LOOKUP(C34,104:104,105:105)+100</f>
        <v>108</v>
      </c>
      <c r="I34" s="428">
        <v>1300</v>
      </c>
      <c r="J34" s="135">
        <f>LOOKUP(I34,104:104,105:105)-LOOKUP(C34,104:104,105:105)+100</f>
        <v>108</v>
      </c>
      <c r="K34" s="612"/>
      <c r="L34" s="1138"/>
      <c r="M34" s="1141"/>
      <c r="N34" s="1141"/>
      <c r="O34" s="1141"/>
      <c r="P34" s="3254"/>
      <c r="Q34" s="775" t="str">
        <f t="shared" si="11"/>
        <v>项目建筑规模</v>
      </c>
      <c r="R34" s="776" t="s">
        <v>17</v>
      </c>
      <c r="S34" s="777">
        <f t="shared" si="12"/>
        <v>108</v>
      </c>
      <c r="T34" s="776" t="s">
        <v>17</v>
      </c>
      <c r="U34" s="777">
        <f t="shared" si="13"/>
        <v>108</v>
      </c>
      <c r="V34" s="776" t="s">
        <v>17</v>
      </c>
      <c r="W34" s="777">
        <f t="shared" si="14"/>
        <v>108</v>
      </c>
      <c r="X34" s="778"/>
      <c r="Y34" s="3256"/>
      <c r="Z34" s="779" t="str">
        <f t="shared" si="15"/>
        <v>项目建筑规模</v>
      </c>
      <c r="AA34" s="2972">
        <f t="shared" si="3"/>
        <v>0.92592592592592593</v>
      </c>
      <c r="AB34" s="2972">
        <f t="shared" si="4"/>
        <v>0.92592592592592593</v>
      </c>
      <c r="AC34" s="2673">
        <f t="shared" si="5"/>
        <v>0.92592592592592593</v>
      </c>
    </row>
    <row r="35" spans="1:29" ht="15">
      <c r="A35" s="471"/>
      <c r="B35" s="2967" t="s">
        <v>2556</v>
      </c>
      <c r="C35" s="459" t="s">
        <v>3085</v>
      </c>
      <c r="D35" s="434">
        <v>100</v>
      </c>
      <c r="E35" s="459" t="s">
        <v>3085</v>
      </c>
      <c r="F35" s="460">
        <f>SUMIF(106:106,E35,107:107)-SUMIF(106:106,C35,107:107)+100</f>
        <v>100</v>
      </c>
      <c r="G35" s="459" t="s">
        <v>3085</v>
      </c>
      <c r="H35" s="434">
        <f>SUMIF(106:106,G35,107:107)-SUMIF(106:106,C35,107:107)+100</f>
        <v>100</v>
      </c>
      <c r="I35" s="459" t="s">
        <v>3085</v>
      </c>
      <c r="J35" s="434">
        <f>SUMIF(106:106,I35,107:107)-SUMIF(106:106,C35,107:107)+100</f>
        <v>100</v>
      </c>
      <c r="K35" s="611">
        <v>3</v>
      </c>
      <c r="L35" s="1140"/>
      <c r="M35" s="1131"/>
      <c r="N35" s="1131"/>
      <c r="O35" s="1131"/>
      <c r="P35" s="3254"/>
      <c r="Q35" s="2971" t="str">
        <f t="shared" si="11"/>
        <v>建筑结构</v>
      </c>
      <c r="R35" s="773" t="s">
        <v>17</v>
      </c>
      <c r="S35" s="774">
        <f t="shared" si="12"/>
        <v>100</v>
      </c>
      <c r="T35" s="773" t="s">
        <v>17</v>
      </c>
      <c r="U35" s="774">
        <f t="shared" si="13"/>
        <v>100</v>
      </c>
      <c r="V35" s="773" t="s">
        <v>17</v>
      </c>
      <c r="W35" s="774">
        <f t="shared" si="14"/>
        <v>100</v>
      </c>
      <c r="X35" s="2968"/>
      <c r="Y35" s="3256"/>
      <c r="Z35" s="2969" t="str">
        <f t="shared" si="15"/>
        <v>建筑结构</v>
      </c>
      <c r="AA35" s="2972">
        <f t="shared" si="3"/>
        <v>1</v>
      </c>
      <c r="AB35" s="2972">
        <f t="shared" si="4"/>
        <v>1</v>
      </c>
      <c r="AC35" s="2673">
        <f t="shared" si="5"/>
        <v>1</v>
      </c>
    </row>
    <row r="36" spans="1:29" ht="15">
      <c r="A36" s="471"/>
      <c r="B36" s="2967" t="s">
        <v>2650</v>
      </c>
      <c r="C36" s="459" t="s">
        <v>3126</v>
      </c>
      <c r="D36" s="434">
        <v>100</v>
      </c>
      <c r="E36" s="459" t="s">
        <v>3092</v>
      </c>
      <c r="F36" s="460">
        <f>SUMIF(108:108,E36,109:109)-SUMIF(108:108,C36,109:109)+100</f>
        <v>102</v>
      </c>
      <c r="G36" s="459" t="s">
        <v>3092</v>
      </c>
      <c r="H36" s="434">
        <f>SUMIF(108:108,G36,109:109)-SUMIF(108:108,C36,109:109)+100</f>
        <v>102</v>
      </c>
      <c r="I36" s="459" t="s">
        <v>3092</v>
      </c>
      <c r="J36" s="434">
        <f>SUMIF(108:108,I36,109:109)-SUMIF(108:108,C36,109:109)+100</f>
        <v>102</v>
      </c>
      <c r="K36" s="611">
        <v>2</v>
      </c>
      <c r="L36" s="1140"/>
      <c r="M36" s="1131"/>
      <c r="N36" s="1131"/>
      <c r="O36" s="1131"/>
      <c r="P36" s="3254"/>
      <c r="Q36" s="2971" t="str">
        <f t="shared" si="11"/>
        <v>公共部分装修</v>
      </c>
      <c r="R36" s="773" t="s">
        <v>17</v>
      </c>
      <c r="S36" s="774">
        <f t="shared" si="12"/>
        <v>102</v>
      </c>
      <c r="T36" s="773" t="s">
        <v>17</v>
      </c>
      <c r="U36" s="774">
        <f t="shared" si="13"/>
        <v>102</v>
      </c>
      <c r="V36" s="773" t="s">
        <v>17</v>
      </c>
      <c r="W36" s="774">
        <f t="shared" si="14"/>
        <v>102</v>
      </c>
      <c r="X36" s="2968"/>
      <c r="Y36" s="3256"/>
      <c r="Z36" s="2969" t="str">
        <f t="shared" si="15"/>
        <v>公共部分装修</v>
      </c>
      <c r="AA36" s="2972">
        <f t="shared" si="3"/>
        <v>0.98039215686274506</v>
      </c>
      <c r="AB36" s="2972">
        <f t="shared" si="4"/>
        <v>0.98039215686274506</v>
      </c>
      <c r="AC36" s="2673">
        <f t="shared" si="5"/>
        <v>0.98039215686274506</v>
      </c>
    </row>
    <row r="37" spans="1:29" ht="15">
      <c r="A37" s="471"/>
      <c r="B37" s="2967" t="s">
        <v>2651</v>
      </c>
      <c r="C37" s="473">
        <v>0.77500000000000002</v>
      </c>
      <c r="D37" s="434">
        <v>100</v>
      </c>
      <c r="E37" s="473">
        <f>1-(1-0)*(2018-2005)/60</f>
        <v>0.78333333333333333</v>
      </c>
      <c r="F37" s="460">
        <f>LOOKUP(E37,111:111,112:112)-LOOKUP(C37,111:111,112:112)+100</f>
        <v>100</v>
      </c>
      <c r="G37" s="473">
        <v>0.77500000000000002</v>
      </c>
      <c r="H37" s="460">
        <f>LOOKUP(G37,111:111,112:112)-LOOKUP(C37,111:111,112:112)+100</f>
        <v>100</v>
      </c>
      <c r="I37" s="473">
        <f>1-(1-0)*(2018-2006)/60</f>
        <v>0.8</v>
      </c>
      <c r="J37" s="434">
        <f>LOOKUP(I37,111:111,112:112)-LOOKUP(C37,111:111,112:112)+100</f>
        <v>101</v>
      </c>
      <c r="K37" s="611">
        <v>1</v>
      </c>
      <c r="L37" s="1140"/>
      <c r="M37" s="1131"/>
      <c r="N37" s="1131"/>
      <c r="O37" s="1131"/>
      <c r="P37" s="3254"/>
      <c r="Q37" s="2971" t="str">
        <f t="shared" si="11"/>
        <v>成新度</v>
      </c>
      <c r="R37" s="773" t="s">
        <v>17</v>
      </c>
      <c r="S37" s="774">
        <f t="shared" si="12"/>
        <v>100</v>
      </c>
      <c r="T37" s="773" t="s">
        <v>17</v>
      </c>
      <c r="U37" s="774">
        <f t="shared" si="13"/>
        <v>100</v>
      </c>
      <c r="V37" s="773" t="s">
        <v>17</v>
      </c>
      <c r="W37" s="774">
        <f t="shared" si="14"/>
        <v>101</v>
      </c>
      <c r="X37" s="2968"/>
      <c r="Y37" s="3256"/>
      <c r="Z37" s="2969" t="str">
        <f t="shared" si="15"/>
        <v>成新度</v>
      </c>
      <c r="AA37" s="2972">
        <f t="shared" si="3"/>
        <v>1</v>
      </c>
      <c r="AB37" s="2972">
        <f t="shared" si="4"/>
        <v>1</v>
      </c>
      <c r="AC37" s="2673">
        <f t="shared" si="5"/>
        <v>0.99009900990099009</v>
      </c>
    </row>
    <row r="38" spans="1:29" s="116" customFormat="1" ht="15">
      <c r="A38" s="472"/>
      <c r="B38" s="2967" t="s">
        <v>2683</v>
      </c>
      <c r="C38" s="459" t="s">
        <v>3093</v>
      </c>
      <c r="D38" s="135">
        <v>100</v>
      </c>
      <c r="E38" s="459" t="s">
        <v>3093</v>
      </c>
      <c r="F38" s="460">
        <f>SUMIF(113:113,E38,114:114)-SUMIF(113:113,C38,114:114)+100</f>
        <v>100</v>
      </c>
      <c r="G38" s="459" t="s">
        <v>3093</v>
      </c>
      <c r="H38" s="434">
        <f>SUMIF(113:113,G38,114:114)-SUMIF(113:113,C38,114:114)+100</f>
        <v>100</v>
      </c>
      <c r="I38" s="459" t="s">
        <v>3093</v>
      </c>
      <c r="J38" s="434">
        <f>SUMIF(113:113,I38,114:114)-SUMIF(113:113,C38,114:114)+100</f>
        <v>100</v>
      </c>
      <c r="K38" s="611">
        <v>2</v>
      </c>
      <c r="L38" s="1132"/>
      <c r="M38" s="1133"/>
      <c r="N38" s="1133"/>
      <c r="O38" s="1133"/>
      <c r="P38" s="3254"/>
      <c r="Q38" s="2965" t="str">
        <f t="shared" si="11"/>
        <v>写字楼等级</v>
      </c>
      <c r="R38" s="769" t="s">
        <v>17</v>
      </c>
      <c r="S38" s="770">
        <f t="shared" si="12"/>
        <v>100</v>
      </c>
      <c r="T38" s="769" t="s">
        <v>17</v>
      </c>
      <c r="U38" s="770">
        <f t="shared" si="13"/>
        <v>100</v>
      </c>
      <c r="V38" s="769" t="s">
        <v>17</v>
      </c>
      <c r="W38" s="770">
        <f t="shared" si="14"/>
        <v>100</v>
      </c>
      <c r="X38" s="771"/>
      <c r="Y38" s="3256"/>
      <c r="Z38" s="2966" t="str">
        <f t="shared" si="15"/>
        <v>写字楼等级</v>
      </c>
      <c r="AA38" s="772">
        <f t="shared" si="3"/>
        <v>1</v>
      </c>
      <c r="AB38" s="772">
        <f t="shared" si="4"/>
        <v>1</v>
      </c>
      <c r="AC38" s="2670">
        <f t="shared" si="5"/>
        <v>1</v>
      </c>
    </row>
    <row r="39" spans="1:29" ht="15">
      <c r="A39" s="471"/>
      <c r="B39" s="2967" t="s">
        <v>2684</v>
      </c>
      <c r="C39" s="459" t="s">
        <v>3094</v>
      </c>
      <c r="D39" s="434">
        <v>100</v>
      </c>
      <c r="E39" s="459" t="s">
        <v>3094</v>
      </c>
      <c r="F39" s="460">
        <f>SUMIF(115:115,E39,116:116)-SUMIF(115:115,C39,116:116)+100</f>
        <v>100</v>
      </c>
      <c r="G39" s="459" t="s">
        <v>3094</v>
      </c>
      <c r="H39" s="434">
        <f>SUMIF(115:115,G39,116:116)-SUMIF(115:115,C39,116:116)+100</f>
        <v>100</v>
      </c>
      <c r="I39" s="459" t="s">
        <v>3094</v>
      </c>
      <c r="J39" s="434">
        <f>SUMIF(115:115,I39,116:116)-SUMIF(115:115,C39,116:116)+100</f>
        <v>100</v>
      </c>
      <c r="K39" s="611">
        <v>1</v>
      </c>
      <c r="L39" s="1140"/>
      <c r="M39" s="1131"/>
      <c r="N39" s="1131"/>
      <c r="O39" s="1131"/>
      <c r="P39" s="3254" t="s">
        <v>2554</v>
      </c>
      <c r="Q39" s="2971" t="str">
        <f t="shared" si="11"/>
        <v>物业管理</v>
      </c>
      <c r="R39" s="773" t="s">
        <v>17</v>
      </c>
      <c r="S39" s="774">
        <f t="shared" si="12"/>
        <v>100</v>
      </c>
      <c r="T39" s="773" t="s">
        <v>17</v>
      </c>
      <c r="U39" s="774">
        <f t="shared" si="13"/>
        <v>100</v>
      </c>
      <c r="V39" s="773" t="s">
        <v>17</v>
      </c>
      <c r="W39" s="774">
        <f t="shared" si="14"/>
        <v>100</v>
      </c>
      <c r="X39" s="2968"/>
      <c r="Y39" s="3256" t="s">
        <v>2554</v>
      </c>
      <c r="Z39" s="2969" t="str">
        <f t="shared" si="15"/>
        <v>物业管理</v>
      </c>
      <c r="AA39" s="2972">
        <f t="shared" si="3"/>
        <v>1</v>
      </c>
      <c r="AB39" s="2972">
        <f t="shared" si="4"/>
        <v>1</v>
      </c>
      <c r="AC39" s="2673">
        <f t="shared" si="5"/>
        <v>1</v>
      </c>
    </row>
    <row r="40" spans="1:29" ht="15">
      <c r="A40" s="471"/>
      <c r="B40" s="2967" t="s">
        <v>2652</v>
      </c>
      <c r="C40" s="459" t="s">
        <v>3095</v>
      </c>
      <c r="D40" s="434">
        <v>100</v>
      </c>
      <c r="E40" s="459" t="s">
        <v>3121</v>
      </c>
      <c r="F40" s="460">
        <f>SUMIF(117:117,E40,118:118)-SUMIF(117:117,C40,118:118)+100</f>
        <v>98</v>
      </c>
      <c r="G40" s="459" t="s">
        <v>3121</v>
      </c>
      <c r="H40" s="434">
        <f>SUMIF(117:117,G40,118:118)-SUMIF(117:117,C40,118:118)+100</f>
        <v>98</v>
      </c>
      <c r="I40" s="459" t="s">
        <v>3121</v>
      </c>
      <c r="J40" s="434">
        <f>SUMIF(117:117,I40,118:118)-SUMIF(117:117,C40,118:118)+100</f>
        <v>98</v>
      </c>
      <c r="K40" s="611">
        <v>2</v>
      </c>
      <c r="L40" s="1140"/>
      <c r="M40" s="1131"/>
      <c r="N40" s="1131"/>
      <c r="O40" s="1131"/>
      <c r="P40" s="3254"/>
      <c r="Q40" s="2971" t="str">
        <f t="shared" si="11"/>
        <v>市政基础设施</v>
      </c>
      <c r="R40" s="773" t="s">
        <v>17</v>
      </c>
      <c r="S40" s="774">
        <f t="shared" si="12"/>
        <v>98</v>
      </c>
      <c r="T40" s="773" t="s">
        <v>17</v>
      </c>
      <c r="U40" s="774">
        <f t="shared" si="13"/>
        <v>98</v>
      </c>
      <c r="V40" s="773" t="s">
        <v>17</v>
      </c>
      <c r="W40" s="774">
        <f t="shared" si="14"/>
        <v>98</v>
      </c>
      <c r="X40" s="2968"/>
      <c r="Y40" s="3256"/>
      <c r="Z40" s="2969" t="str">
        <f t="shared" si="15"/>
        <v>市政基础设施</v>
      </c>
      <c r="AA40" s="2972">
        <f t="shared" si="3"/>
        <v>1.0204081632653061</v>
      </c>
      <c r="AB40" s="2972">
        <f t="shared" si="4"/>
        <v>1.0204081632653061</v>
      </c>
      <c r="AC40" s="2673">
        <f t="shared" si="5"/>
        <v>1.0204081632653061</v>
      </c>
    </row>
    <row r="41" spans="1:29" ht="15">
      <c r="A41" s="471"/>
      <c r="B41" s="2967"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54"/>
      <c r="Q41" s="2971" t="str">
        <f t="shared" si="11"/>
        <v>层高</v>
      </c>
      <c r="R41" s="773" t="s">
        <v>17</v>
      </c>
      <c r="S41" s="774">
        <f t="shared" si="12"/>
        <v>100</v>
      </c>
      <c r="T41" s="773" t="s">
        <v>17</v>
      </c>
      <c r="U41" s="774">
        <f t="shared" si="13"/>
        <v>100</v>
      </c>
      <c r="V41" s="773" t="s">
        <v>17</v>
      </c>
      <c r="W41" s="774">
        <f t="shared" si="14"/>
        <v>100</v>
      </c>
      <c r="X41" s="2968"/>
      <c r="Y41" s="3256"/>
      <c r="Z41" s="2969" t="str">
        <f t="shared" si="15"/>
        <v>层高</v>
      </c>
      <c r="AA41" s="2972">
        <f t="shared" si="3"/>
        <v>1</v>
      </c>
      <c r="AB41" s="2972">
        <f t="shared" si="4"/>
        <v>1</v>
      </c>
      <c r="AC41" s="2673">
        <f t="shared" si="5"/>
        <v>1</v>
      </c>
    </row>
    <row r="42" spans="1:29" s="470" customFormat="1" ht="15">
      <c r="A42" s="467"/>
      <c r="B42" s="2970"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54"/>
      <c r="Q42" s="775" t="str">
        <f t="shared" si="11"/>
        <v>单套建筑面积</v>
      </c>
      <c r="R42" s="776" t="s">
        <v>17</v>
      </c>
      <c r="S42" s="777">
        <f t="shared" si="12"/>
        <v>100</v>
      </c>
      <c r="T42" s="776" t="s">
        <v>17</v>
      </c>
      <c r="U42" s="777">
        <f t="shared" si="13"/>
        <v>100</v>
      </c>
      <c r="V42" s="776" t="s">
        <v>17</v>
      </c>
      <c r="W42" s="777">
        <f t="shared" si="14"/>
        <v>100</v>
      </c>
      <c r="X42" s="778"/>
      <c r="Y42" s="3256"/>
      <c r="Z42" s="779" t="str">
        <f t="shared" si="15"/>
        <v>单套建筑面积</v>
      </c>
      <c r="AA42" s="2972">
        <f t="shared" si="3"/>
        <v>1</v>
      </c>
      <c r="AB42" s="2972">
        <f t="shared" si="4"/>
        <v>1</v>
      </c>
      <c r="AC42" s="2673">
        <f t="shared" si="5"/>
        <v>1</v>
      </c>
    </row>
    <row r="43" spans="1:29" ht="15">
      <c r="A43" s="471"/>
      <c r="B43" s="2967" t="s">
        <v>2657</v>
      </c>
      <c r="C43" s="459" t="s">
        <v>3092</v>
      </c>
      <c r="D43" s="434">
        <v>100</v>
      </c>
      <c r="E43" s="459" t="s">
        <v>3092</v>
      </c>
      <c r="F43" s="460">
        <f>SUMIF(123:123,E43,124:124)-SUMIF(123:123,C43,124:124)+100</f>
        <v>100</v>
      </c>
      <c r="G43" s="459" t="s">
        <v>3092</v>
      </c>
      <c r="H43" s="434">
        <f>SUMIF(123:123,G43,124:124)-SUMIF(123:123,C43,124:124)+100</f>
        <v>100</v>
      </c>
      <c r="I43" s="459" t="s">
        <v>3092</v>
      </c>
      <c r="J43" s="434">
        <f>SUMIF(123:123,I43,124:124)-SUMIF(123:123,C43,124:124)+100</f>
        <v>100</v>
      </c>
      <c r="K43" s="611">
        <v>2</v>
      </c>
      <c r="L43" s="1140"/>
      <c r="M43" s="1131"/>
      <c r="N43" s="1131"/>
      <c r="O43" s="1131"/>
      <c r="P43" s="3254"/>
      <c r="Q43" s="2971" t="str">
        <f t="shared" si="11"/>
        <v>内部装修</v>
      </c>
      <c r="R43" s="773" t="s">
        <v>17</v>
      </c>
      <c r="S43" s="774">
        <f t="shared" si="12"/>
        <v>100</v>
      </c>
      <c r="T43" s="773" t="s">
        <v>17</v>
      </c>
      <c r="U43" s="774">
        <f t="shared" si="13"/>
        <v>100</v>
      </c>
      <c r="V43" s="773" t="s">
        <v>17</v>
      </c>
      <c r="W43" s="774">
        <f t="shared" si="14"/>
        <v>100</v>
      </c>
      <c r="X43" s="2968"/>
      <c r="Y43" s="3256"/>
      <c r="Z43" s="2969" t="str">
        <f t="shared" si="15"/>
        <v>内部装修</v>
      </c>
      <c r="AA43" s="2972">
        <f t="shared" si="3"/>
        <v>1</v>
      </c>
      <c r="AB43" s="2972">
        <f t="shared" si="4"/>
        <v>1</v>
      </c>
      <c r="AC43" s="2673">
        <f t="shared" si="5"/>
        <v>1</v>
      </c>
    </row>
    <row r="44" spans="1:29" ht="15">
      <c r="A44" s="471"/>
      <c r="B44" s="2967" t="s">
        <v>2565</v>
      </c>
      <c r="C44" s="2612" t="s">
        <v>3078</v>
      </c>
      <c r="D44" s="434">
        <v>100</v>
      </c>
      <c r="E44" s="2612" t="s">
        <v>3078</v>
      </c>
      <c r="F44" s="460">
        <f>SUMIF(125:125,E44,126:126)-SUMIF(125:125,C44,126:126)+100</f>
        <v>100</v>
      </c>
      <c r="G44" s="2612" t="s">
        <v>3078</v>
      </c>
      <c r="H44" s="434">
        <f>SUMIF(125:125,G44,126:126)-SUMIF(125:125,C44,126:126)+100</f>
        <v>100</v>
      </c>
      <c r="I44" s="2612" t="s">
        <v>3078</v>
      </c>
      <c r="J44" s="434">
        <f>SUMIF(125:125,I44,126:126)-SUMIF(125:125,C44,126:126)+100</f>
        <v>100</v>
      </c>
      <c r="K44" s="611">
        <v>1</v>
      </c>
      <c r="L44" s="1140"/>
      <c r="M44" s="1131"/>
      <c r="N44" s="1131"/>
      <c r="O44" s="1131"/>
      <c r="P44" s="3254"/>
      <c r="Q44" s="2971" t="str">
        <f t="shared" si="11"/>
        <v>内部装修维护情况</v>
      </c>
      <c r="R44" s="773" t="s">
        <v>17</v>
      </c>
      <c r="S44" s="774">
        <f t="shared" si="12"/>
        <v>100</v>
      </c>
      <c r="T44" s="773" t="s">
        <v>17</v>
      </c>
      <c r="U44" s="774">
        <f t="shared" si="13"/>
        <v>100</v>
      </c>
      <c r="V44" s="773" t="s">
        <v>17</v>
      </c>
      <c r="W44" s="774">
        <f t="shared" si="14"/>
        <v>100</v>
      </c>
      <c r="X44" s="2968"/>
      <c r="Y44" s="3256"/>
      <c r="Z44" s="2969" t="str">
        <f t="shared" si="15"/>
        <v>内部装修维护情况</v>
      </c>
      <c r="AA44" s="2972">
        <f t="shared" si="3"/>
        <v>1</v>
      </c>
      <c r="AB44" s="2972">
        <f t="shared" si="4"/>
        <v>1</v>
      </c>
      <c r="AC44" s="2673">
        <f t="shared" si="5"/>
        <v>1</v>
      </c>
    </row>
    <row r="45" spans="1:29" s="116" customFormat="1" ht="15">
      <c r="A45" s="472"/>
      <c r="B45" s="1386">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2"/>
      <c r="M45" s="1133"/>
      <c r="N45" s="1133"/>
      <c r="O45" s="1133"/>
      <c r="P45" s="3254"/>
      <c r="Q45" s="2965">
        <f t="shared" si="11"/>
        <v>111</v>
      </c>
      <c r="R45" s="769" t="s">
        <v>17</v>
      </c>
      <c r="S45" s="770">
        <f t="shared" si="12"/>
        <v>100</v>
      </c>
      <c r="T45" s="769" t="s">
        <v>17</v>
      </c>
      <c r="U45" s="770">
        <f t="shared" si="13"/>
        <v>100</v>
      </c>
      <c r="V45" s="769" t="s">
        <v>17</v>
      </c>
      <c r="W45" s="770">
        <f t="shared" si="14"/>
        <v>100</v>
      </c>
      <c r="X45" s="771"/>
      <c r="Y45" s="3256"/>
      <c r="Z45" s="2966">
        <f t="shared" si="15"/>
        <v>111</v>
      </c>
      <c r="AA45" s="772">
        <f t="shared" si="3"/>
        <v>1</v>
      </c>
      <c r="AB45" s="772">
        <f t="shared" si="4"/>
        <v>1</v>
      </c>
      <c r="AC45" s="2670">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54"/>
      <c r="Q46" s="2971">
        <f t="shared" si="11"/>
        <v>111</v>
      </c>
      <c r="R46" s="773" t="s">
        <v>17</v>
      </c>
      <c r="S46" s="774">
        <f t="shared" si="12"/>
        <v>100</v>
      </c>
      <c r="T46" s="773" t="s">
        <v>17</v>
      </c>
      <c r="U46" s="774">
        <f t="shared" si="13"/>
        <v>100</v>
      </c>
      <c r="V46" s="773" t="s">
        <v>17</v>
      </c>
      <c r="W46" s="774">
        <f t="shared" si="14"/>
        <v>100</v>
      </c>
      <c r="X46" s="2968"/>
      <c r="Y46" s="3256"/>
      <c r="Z46" s="2969">
        <f t="shared" si="15"/>
        <v>111</v>
      </c>
      <c r="AA46" s="2972">
        <f t="shared" si="3"/>
        <v>1</v>
      </c>
      <c r="AB46" s="2972">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55"/>
      <c r="Q47" s="2971">
        <f t="shared" si="11"/>
        <v>111</v>
      </c>
      <c r="R47" s="773" t="s">
        <v>17</v>
      </c>
      <c r="S47" s="774">
        <f t="shared" si="12"/>
        <v>100</v>
      </c>
      <c r="T47" s="773" t="s">
        <v>17</v>
      </c>
      <c r="U47" s="774">
        <f t="shared" si="13"/>
        <v>100</v>
      </c>
      <c r="V47" s="773" t="s">
        <v>17</v>
      </c>
      <c r="W47" s="774">
        <f t="shared" si="14"/>
        <v>100</v>
      </c>
      <c r="X47" s="2968"/>
      <c r="Y47" s="3257"/>
      <c r="Z47" s="2969">
        <f t="shared" si="15"/>
        <v>111</v>
      </c>
      <c r="AA47" s="2972">
        <f t="shared" si="3"/>
        <v>1</v>
      </c>
      <c r="AB47" s="2972">
        <f t="shared" si="4"/>
        <v>1</v>
      </c>
      <c r="AC47" s="2673">
        <f t="shared" si="5"/>
        <v>1</v>
      </c>
    </row>
    <row r="48" spans="1:29" ht="15">
      <c r="A48" s="478" t="s">
        <v>2566</v>
      </c>
      <c r="B48" s="479"/>
      <c r="C48" s="1406" t="s">
        <v>1</v>
      </c>
      <c r="D48" s="1407"/>
      <c r="E48" s="2974">
        <f>ROUND(43000*C51,0)</f>
        <v>42570</v>
      </c>
      <c r="F48" s="2975"/>
      <c r="G48" s="2974">
        <f>ROUND(42000*C51,1)</f>
        <v>41580</v>
      </c>
      <c r="H48" s="2976"/>
      <c r="I48" s="2974">
        <f>ROUND(40000*C51,1)</f>
        <v>39600</v>
      </c>
      <c r="J48" s="484"/>
      <c r="K48" s="782"/>
      <c r="L48" s="1143"/>
      <c r="M48" s="1131"/>
      <c r="N48" s="1131"/>
      <c r="O48" s="1131"/>
      <c r="P48" s="3231" t="str">
        <f>A48</f>
        <v>成交单价（元/平方米）</v>
      </c>
      <c r="Q48" s="3249"/>
      <c r="R48" s="3250">
        <f>E48</f>
        <v>42570</v>
      </c>
      <c r="S48" s="3250"/>
      <c r="T48" s="3250">
        <f>G48</f>
        <v>41580</v>
      </c>
      <c r="U48" s="3250"/>
      <c r="V48" s="3250">
        <f>I48</f>
        <v>39600</v>
      </c>
      <c r="W48" s="3250"/>
      <c r="X48" s="445"/>
      <c r="Y48" s="780"/>
      <c r="Z48" s="445"/>
      <c r="AA48" s="445"/>
      <c r="AB48" s="445"/>
      <c r="AC48" s="629"/>
    </row>
    <row r="49" spans="1:29" ht="15.75" thickBot="1">
      <c r="A49" s="485" t="s">
        <v>2567</v>
      </c>
      <c r="B49" s="486"/>
      <c r="C49" s="2956">
        <f>R50</f>
        <v>37371</v>
      </c>
      <c r="D49" s="1413"/>
      <c r="E49" s="1414">
        <f>R49</f>
        <v>39432</v>
      </c>
      <c r="F49" s="1414"/>
      <c r="G49" s="2977">
        <f>T49</f>
        <v>37760</v>
      </c>
      <c r="H49" s="1413"/>
      <c r="I49" s="1414">
        <f>V49</f>
        <v>34921</v>
      </c>
      <c r="J49" s="488"/>
      <c r="K49" s="783"/>
      <c r="L49" s="1143"/>
      <c r="M49" s="1131"/>
      <c r="N49" s="1131"/>
      <c r="O49" s="1131"/>
      <c r="P49" s="3231" t="str">
        <f>A49</f>
        <v>比较价值（元/平方米）</v>
      </c>
      <c r="Q49" s="3249"/>
      <c r="R49" s="3250">
        <f>IF(F1="售价",ROUND(PRODUCT(R48,AA7:AA47),0),ROUND(PRODUCT(R48,AA7:AA47),1))</f>
        <v>39432</v>
      </c>
      <c r="S49" s="3250"/>
      <c r="T49" s="3250">
        <f>IF(F1="售价",ROUND(PRODUCT(T48,AB7:AB47),0),ROUND(PRODUCT(T48,AB7:AB47),1))</f>
        <v>37760</v>
      </c>
      <c r="U49" s="3250"/>
      <c r="V49" s="3250">
        <f>IF(F1="售价",ROUND(PRODUCT(V48,AC7:AC47),0),ROUND(PRODUCT(V48,AC7:AC47),1))</f>
        <v>34921</v>
      </c>
      <c r="W49" s="3250"/>
      <c r="X49" s="445"/>
      <c r="Y49" s="445"/>
      <c r="Z49" s="445"/>
      <c r="AA49" s="445"/>
      <c r="AB49" s="445"/>
      <c r="AC49" s="629"/>
    </row>
    <row r="50" spans="1:29" ht="15.75" thickBot="1">
      <c r="A50" s="491" t="s">
        <v>2568</v>
      </c>
      <c r="B50" s="492"/>
      <c r="C50" s="2957">
        <f>R50</f>
        <v>37371</v>
      </c>
      <c r="D50" s="1416"/>
      <c r="E50" s="1416"/>
      <c r="F50" s="1416"/>
      <c r="G50" s="1416"/>
      <c r="H50" s="1416"/>
      <c r="I50" s="1416"/>
      <c r="J50" s="493"/>
      <c r="K50" s="784"/>
      <c r="L50" s="1143"/>
      <c r="M50" s="1131"/>
      <c r="N50" s="1131"/>
      <c r="O50" s="1131"/>
      <c r="P50" s="3273" t="str">
        <f>A50</f>
        <v>估价对象XX用房的比较价值（楼面单价，元/平方米）</v>
      </c>
      <c r="Q50" s="3274"/>
      <c r="R50" s="3275">
        <f>IF(F1="售价",ROUND(AVERAGE(R49:V49),0),ROUND(AVERAGE(R49:V49),1))</f>
        <v>37371</v>
      </c>
      <c r="S50" s="3275"/>
      <c r="T50" s="3275"/>
      <c r="U50" s="3275"/>
      <c r="V50" s="3275"/>
      <c r="W50" s="3275"/>
      <c r="X50" s="2653"/>
      <c r="Y50" s="2653"/>
      <c r="Z50" s="2653"/>
      <c r="AA50" s="2653"/>
      <c r="AB50" s="2653"/>
      <c r="AC50" s="2654"/>
    </row>
    <row r="51" spans="1:29">
      <c r="A51" s="1144"/>
      <c r="B51" s="1144"/>
      <c r="C51" s="2955">
        <v>0.99</v>
      </c>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2569</v>
      </c>
      <c r="D53" s="497"/>
      <c r="E53" s="498">
        <f>IF(E48&lt;E49,E49/E48-1,E48/E49-1)</f>
        <v>7.9580036518563713E-2</v>
      </c>
      <c r="F53" s="499" t="str">
        <f>IF(OR(E53&gt;=0.3,E53&lt;=-0.3),"超过30%","")</f>
        <v/>
      </c>
      <c r="G53" s="498">
        <f>IF(G48&lt;G49,G49/G48-1,G48/G49-1)</f>
        <v>0.10116525423728806</v>
      </c>
      <c r="H53" s="499" t="str">
        <f>IF(OR(G53&gt;=0.3,G53&lt;=-0.3),"超过30%","")</f>
        <v/>
      </c>
      <c r="I53" s="498">
        <f>IF(I48&lt;I49,I49/I48-1,I48/I49-1)</f>
        <v>0.13398814466939668</v>
      </c>
      <c r="J53" s="499" t="str">
        <f>IF(OR(I53&gt;=0.3,I53&lt;=-0.3),"超过30%","")</f>
        <v/>
      </c>
      <c r="K53" s="1105"/>
      <c r="L53" s="1106"/>
      <c r="M53" s="1144"/>
      <c r="N53" s="1144"/>
      <c r="O53" s="1144"/>
    </row>
    <row r="54" spans="1:29" ht="13.5" customHeight="1">
      <c r="A54" s="1144"/>
      <c r="B54" s="1144"/>
      <c r="C54" s="496" t="s">
        <v>2570</v>
      </c>
      <c r="D54" s="500"/>
      <c r="E54" s="498">
        <f>IF(E49&lt;G49,G49/E49-1,E49/G49-1)</f>
        <v>4.4279661016949134E-2</v>
      </c>
      <c r="F54" s="499" t="str">
        <f>IF(OR(E54&gt;=0.2,E54&lt;=-0.2),"超过20%","")</f>
        <v/>
      </c>
      <c r="G54" s="498">
        <f>IF(G49&lt;I49,I49/G49-1,G49/I49-1)</f>
        <v>8.1297786432232844E-2</v>
      </c>
      <c r="H54" s="499" t="str">
        <f>IF(OR(G54&gt;=0.2,G54&lt;=-0.2),"超过20%","")</f>
        <v/>
      </c>
      <c r="I54" s="498">
        <f>IF(I49&lt;E49,E49/I49-1,I49/E49-1)</f>
        <v>0.12917728587382959</v>
      </c>
      <c r="J54" s="499" t="str">
        <f>IF(OR(I54&gt;=0.2,I54&lt;=-0.2),"超过20%","")</f>
        <v/>
      </c>
      <c r="K54" s="1105"/>
      <c r="L54" s="1106"/>
      <c r="M54" s="1144"/>
      <c r="N54" s="1144"/>
      <c r="O54" s="1144"/>
    </row>
    <row r="55" spans="1:29" s="501" customFormat="1" ht="13.5" customHeight="1">
      <c r="A55" s="1145"/>
      <c r="B55" s="1145"/>
      <c r="C55" s="496" t="s">
        <v>2571</v>
      </c>
      <c r="D55" s="500"/>
      <c r="E55" s="498">
        <f>IF(E48&lt;G48,G48/E48-1,E48/G48-1)</f>
        <v>2.3809523809523725E-2</v>
      </c>
      <c r="F55" s="499" t="str">
        <f>IF(OR(E55&gt;=0.3,E55&lt;=-0.3),"超过30%","")</f>
        <v/>
      </c>
      <c r="G55" s="498">
        <f>IF(G48&lt;I48,I48/G48-1,G48/I48-1)</f>
        <v>5.0000000000000044E-2</v>
      </c>
      <c r="H55" s="499" t="str">
        <f>IF(OR(G55&gt;=0.3,G55&lt;=-0.3),"超过30%","")</f>
        <v/>
      </c>
      <c r="I55" s="498">
        <f>IF(I48&lt;E48,E48/I48-1,I48/E48-1)</f>
        <v>7.4999999999999956E-2</v>
      </c>
      <c r="J55" s="499" t="str">
        <f>IF(OR(I55&gt;=0.3,I55&lt;=-0.3),"超过30%","")</f>
        <v/>
      </c>
      <c r="K55" s="1148"/>
      <c r="L55" s="1149"/>
      <c r="M55" s="1145"/>
      <c r="N55" s="1145"/>
      <c r="O55" s="1145"/>
      <c r="P55" s="2679"/>
    </row>
    <row r="56" spans="1:29" s="501"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2" t="s">
        <v>2572</v>
      </c>
      <c r="B58" s="758"/>
      <c r="C58" s="763"/>
      <c r="D58" s="763"/>
      <c r="E58" s="763"/>
      <c r="F58" s="764"/>
      <c r="G58" s="764"/>
      <c r="H58" s="763"/>
      <c r="I58" s="763"/>
      <c r="J58" s="763"/>
      <c r="K58" s="765"/>
      <c r="L58" s="1161"/>
      <c r="M58" s="1159"/>
      <c r="N58" s="1159"/>
      <c r="O58" s="1159"/>
      <c r="P58" s="2680"/>
      <c r="Q58" s="503"/>
    </row>
    <row r="59" spans="1:29" s="507" customFormat="1" ht="15">
      <c r="A59" s="504" t="s">
        <v>2537</v>
      </c>
      <c r="B59" s="505"/>
      <c r="C59" s="1572" t="str">
        <f>YEAR(C7)&amp;"-"&amp;MONTH(C7)</f>
        <v>2018-12</v>
      </c>
      <c r="D59" s="1573">
        <f>EDATE(C59,-1)</f>
        <v>43405</v>
      </c>
      <c r="E59" s="1573">
        <f>EDATE(D59,-1)</f>
        <v>43374</v>
      </c>
      <c r="F59" s="1573">
        <f t="shared" ref="F59:O59" si="16">EDATE(E59,-1)</f>
        <v>43344</v>
      </c>
      <c r="G59" s="1573">
        <f t="shared" si="16"/>
        <v>43313</v>
      </c>
      <c r="H59" s="1573">
        <f t="shared" si="16"/>
        <v>43282</v>
      </c>
      <c r="I59" s="1573">
        <f t="shared" si="16"/>
        <v>43252</v>
      </c>
      <c r="J59" s="1573">
        <f t="shared" si="16"/>
        <v>43221</v>
      </c>
      <c r="K59" s="1573">
        <f t="shared" si="16"/>
        <v>43191</v>
      </c>
      <c r="L59" s="1573">
        <f t="shared" si="16"/>
        <v>43160</v>
      </c>
      <c r="M59" s="1573">
        <f t="shared" si="16"/>
        <v>43132</v>
      </c>
      <c r="N59" s="1573">
        <f t="shared" si="16"/>
        <v>43101</v>
      </c>
      <c r="O59" s="1573">
        <f t="shared" si="16"/>
        <v>43070</v>
      </c>
      <c r="P59" s="1569"/>
    </row>
    <row r="60" spans="1:29" s="116" customFormat="1" ht="15">
      <c r="A60" s="508"/>
      <c r="B60" s="509"/>
      <c r="C60" s="1571">
        <v>100</v>
      </c>
      <c r="D60" s="511">
        <v>100</v>
      </c>
      <c r="E60" s="511">
        <f>D60-1</f>
        <v>99</v>
      </c>
      <c r="F60" s="511">
        <f t="shared" ref="F60:M60" si="17">E60-1</f>
        <v>98</v>
      </c>
      <c r="G60" s="511">
        <f t="shared" si="17"/>
        <v>97</v>
      </c>
      <c r="H60" s="511">
        <f t="shared" si="17"/>
        <v>96</v>
      </c>
      <c r="I60" s="511">
        <f t="shared" si="17"/>
        <v>95</v>
      </c>
      <c r="J60" s="511">
        <f t="shared" si="17"/>
        <v>94</v>
      </c>
      <c r="K60" s="511">
        <f t="shared" si="17"/>
        <v>93</v>
      </c>
      <c r="L60" s="511">
        <f t="shared" si="17"/>
        <v>92</v>
      </c>
      <c r="M60" s="511">
        <f t="shared" si="17"/>
        <v>91</v>
      </c>
      <c r="N60" s="511"/>
      <c r="O60" s="512"/>
      <c r="P60" s="2681"/>
    </row>
    <row r="61" spans="1:29" s="116" customFormat="1" ht="15.75" thickBot="1">
      <c r="A61" s="514" t="s">
        <v>2574</v>
      </c>
      <c r="B61" s="515"/>
      <c r="C61" s="516"/>
      <c r="D61" s="517"/>
      <c r="E61" s="517"/>
      <c r="F61" s="517"/>
      <c r="G61" s="517"/>
      <c r="H61" s="517"/>
      <c r="I61" s="517"/>
      <c r="J61" s="517"/>
      <c r="K61" s="517"/>
      <c r="L61" s="517"/>
      <c r="M61" s="518"/>
      <c r="N61" s="517"/>
      <c r="O61" s="518"/>
      <c r="P61" s="2681"/>
      <c r="Q61" s="503"/>
    </row>
    <row r="62" spans="1:29" s="116" customFormat="1" ht="15">
      <c r="A62" s="520" t="s">
        <v>2539</v>
      </c>
      <c r="B62" s="509"/>
      <c r="C62" s="521" t="s">
        <v>2576</v>
      </c>
      <c r="D62" s="522"/>
      <c r="E62" s="522"/>
      <c r="F62" s="522"/>
      <c r="G62" s="522"/>
      <c r="H62" s="522"/>
      <c r="I62" s="522"/>
      <c r="J62" s="522"/>
      <c r="K62" s="522"/>
      <c r="L62" s="523"/>
      <c r="M62" s="524"/>
      <c r="N62" s="1151"/>
      <c r="O62" s="1151"/>
      <c r="P62" s="2682"/>
      <c r="Q62" s="503"/>
    </row>
    <row r="63" spans="1:29" s="116" customFormat="1" ht="15.75" thickBot="1">
      <c r="A63" s="520"/>
      <c r="B63" s="509"/>
      <c r="C63" s="510">
        <v>100</v>
      </c>
      <c r="D63" s="511"/>
      <c r="E63" s="511"/>
      <c r="F63" s="511"/>
      <c r="G63" s="511"/>
      <c r="H63" s="511"/>
      <c r="I63" s="511"/>
      <c r="J63" s="511"/>
      <c r="K63" s="511"/>
      <c r="L63" s="511"/>
      <c r="M63" s="513"/>
      <c r="N63" s="1151"/>
      <c r="O63" s="1151"/>
      <c r="P63" s="2681"/>
      <c r="Q63" s="503"/>
    </row>
    <row r="64" spans="1:29">
      <c r="A64" s="526" t="s">
        <v>2577</v>
      </c>
      <c r="B64" s="527" t="s">
        <v>2543</v>
      </c>
      <c r="C64" s="528" t="str">
        <f>C9</f>
        <v>办公</v>
      </c>
      <c r="D64" s="529"/>
      <c r="E64" s="529"/>
      <c r="F64" s="529"/>
      <c r="G64" s="529"/>
      <c r="H64" s="529"/>
      <c r="I64" s="529"/>
      <c r="J64" s="529"/>
      <c r="K64" s="530"/>
      <c r="L64" s="531"/>
      <c r="M64" s="532"/>
      <c r="N64" s="1152"/>
      <c r="O64" s="1152"/>
      <c r="P64" s="2683"/>
      <c r="Q64" s="503"/>
    </row>
    <row r="65" spans="1:17" ht="15.75" thickBot="1">
      <c r="A65" s="533"/>
      <c r="B65" s="534"/>
      <c r="C65" s="535">
        <v>100</v>
      </c>
      <c r="D65" s="535"/>
      <c r="E65" s="535"/>
      <c r="F65" s="535"/>
      <c r="G65" s="535"/>
      <c r="H65" s="535"/>
      <c r="I65" s="535"/>
      <c r="J65" s="535"/>
      <c r="K65" s="535"/>
      <c r="L65" s="535"/>
      <c r="M65" s="536"/>
      <c r="N65" s="1153"/>
      <c r="O65" s="1153"/>
      <c r="P65" s="2683"/>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2"/>
      <c r="O66" s="1152"/>
      <c r="P66" s="2683"/>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3"/>
      <c r="O67" s="1153"/>
      <c r="P67" s="2683"/>
      <c r="Q67" s="503"/>
    </row>
    <row r="68" spans="1:17" ht="15.75" thickTop="1">
      <c r="A68" s="533"/>
      <c r="B68" s="545" t="s">
        <v>2547</v>
      </c>
      <c r="C68" s="546" t="str">
        <f>C69&amp;"（含）"&amp;"-"&amp;D69</f>
        <v>0（含）-2</v>
      </c>
      <c r="D68" s="546" t="str">
        <f t="shared" ref="D68:L68" si="18">D69&amp;"（含）"&amp;"-"&amp;E69</f>
        <v>2（含）-</v>
      </c>
      <c r="E68" s="546" t="str">
        <f t="shared" si="18"/>
        <v>（含）-</v>
      </c>
      <c r="F68" s="546" t="str">
        <f t="shared" si="18"/>
        <v>（含）-</v>
      </c>
      <c r="G68" s="546" t="str">
        <f t="shared" si="18"/>
        <v>（含）-</v>
      </c>
      <c r="H68" s="546" t="str">
        <f t="shared" si="18"/>
        <v>（含）-</v>
      </c>
      <c r="I68" s="546" t="str">
        <f t="shared" si="18"/>
        <v>（含）-</v>
      </c>
      <c r="J68" s="546" t="str">
        <f t="shared" si="18"/>
        <v>（含）-</v>
      </c>
      <c r="K68" s="546" t="str">
        <f t="shared" si="18"/>
        <v>（含）-</v>
      </c>
      <c r="L68" s="546" t="str">
        <f t="shared" si="18"/>
        <v>（含）-</v>
      </c>
      <c r="M68" s="447" t="str">
        <f>M69&amp;"（含）"&amp;"-"&amp;P69</f>
        <v>（含）-</v>
      </c>
      <c r="N68" s="1153"/>
      <c r="O68" s="1153"/>
      <c r="P68" s="2683"/>
      <c r="Q68" s="503"/>
    </row>
    <row r="69" spans="1:17" ht="15">
      <c r="A69" s="533"/>
      <c r="B69" s="547"/>
      <c r="C69" s="548">
        <v>0</v>
      </c>
      <c r="D69" s="548">
        <v>2</v>
      </c>
      <c r="E69" s="548"/>
      <c r="F69" s="548"/>
      <c r="G69" s="548"/>
      <c r="H69" s="548"/>
      <c r="I69" s="548"/>
      <c r="J69" s="548"/>
      <c r="K69" s="549"/>
      <c r="L69" s="550"/>
      <c r="M69" s="551"/>
      <c r="N69" s="1152"/>
      <c r="O69" s="1152"/>
      <c r="P69" s="2683"/>
      <c r="Q69" s="503"/>
    </row>
    <row r="70" spans="1:17" ht="15.75" thickBot="1">
      <c r="A70" s="533"/>
      <c r="B70" s="534"/>
      <c r="C70" s="543">
        <v>100</v>
      </c>
      <c r="D70" s="543">
        <f t="shared" ref="D70:M70" si="19">C70-$K11</f>
        <v>100</v>
      </c>
      <c r="E70" s="543">
        <f t="shared" si="19"/>
        <v>100</v>
      </c>
      <c r="F70" s="543">
        <f t="shared" si="19"/>
        <v>100</v>
      </c>
      <c r="G70" s="543">
        <f t="shared" si="19"/>
        <v>100</v>
      </c>
      <c r="H70" s="543">
        <f t="shared" si="19"/>
        <v>100</v>
      </c>
      <c r="I70" s="543">
        <f t="shared" si="19"/>
        <v>100</v>
      </c>
      <c r="J70" s="543">
        <f t="shared" si="19"/>
        <v>100</v>
      </c>
      <c r="K70" s="543">
        <f t="shared" si="19"/>
        <v>100</v>
      </c>
      <c r="L70" s="543">
        <f t="shared" si="19"/>
        <v>100</v>
      </c>
      <c r="M70" s="544">
        <f t="shared" si="19"/>
        <v>100</v>
      </c>
      <c r="N70" s="1153"/>
      <c r="O70" s="1153"/>
      <c r="P70" s="2683"/>
      <c r="Q70" s="503"/>
    </row>
    <row r="71" spans="1:17" s="470" customFormat="1" ht="15.75" thickTop="1">
      <c r="A71" s="552"/>
      <c r="B71" s="537">
        <f>B12</f>
        <v>111</v>
      </c>
      <c r="C71" s="553"/>
      <c r="D71" s="553"/>
      <c r="E71" s="553"/>
      <c r="F71" s="553"/>
      <c r="G71" s="553"/>
      <c r="H71" s="554"/>
      <c r="I71" s="554"/>
      <c r="J71" s="554"/>
      <c r="K71" s="554"/>
      <c r="L71" s="555"/>
      <c r="M71" s="556"/>
      <c r="N71" s="1154"/>
      <c r="O71" s="1154"/>
      <c r="P71" s="2684"/>
      <c r="Q71" s="558"/>
    </row>
    <row r="72" spans="1:17" s="470" customFormat="1" ht="15.75" thickBot="1">
      <c r="A72" s="552"/>
      <c r="B72" s="542"/>
      <c r="C72" s="559"/>
      <c r="D72" s="535"/>
      <c r="E72" s="535"/>
      <c r="F72" s="535"/>
      <c r="G72" s="535"/>
      <c r="H72" s="535"/>
      <c r="I72" s="535"/>
      <c r="J72" s="535"/>
      <c r="K72" s="535"/>
      <c r="L72" s="535"/>
      <c r="M72" s="536"/>
      <c r="N72" s="1153"/>
      <c r="O72" s="1153"/>
      <c r="P72" s="2684"/>
      <c r="Q72" s="558"/>
    </row>
    <row r="73" spans="1:17" s="470" customFormat="1" ht="15.75" thickTop="1">
      <c r="A73" s="552"/>
      <c r="B73" s="537">
        <f>B13</f>
        <v>111</v>
      </c>
      <c r="C73" s="553"/>
      <c r="D73" s="553"/>
      <c r="E73" s="553"/>
      <c r="F73" s="553"/>
      <c r="G73" s="553"/>
      <c r="H73" s="554"/>
      <c r="I73" s="554"/>
      <c r="J73" s="554"/>
      <c r="K73" s="554"/>
      <c r="L73" s="555"/>
      <c r="M73" s="556"/>
      <c r="N73" s="1154"/>
      <c r="O73" s="1154"/>
      <c r="P73" s="2685"/>
      <c r="Q73" s="560"/>
    </row>
    <row r="74" spans="1:17" s="470" customFormat="1" ht="15.75" thickBot="1">
      <c r="A74" s="552"/>
      <c r="B74" s="542"/>
      <c r="C74" s="559"/>
      <c r="D74" s="559"/>
      <c r="E74" s="559"/>
      <c r="F74" s="559"/>
      <c r="G74" s="559"/>
      <c r="H74" s="561"/>
      <c r="I74" s="561"/>
      <c r="J74" s="561"/>
      <c r="K74" s="561"/>
      <c r="L74" s="561"/>
      <c r="M74" s="562"/>
      <c r="N74" s="1154"/>
      <c r="O74" s="1154"/>
      <c r="P74" s="2684"/>
      <c r="Q74" s="558"/>
    </row>
    <row r="75" spans="1:17" s="470" customFormat="1" ht="15.75" thickTop="1">
      <c r="A75" s="552"/>
      <c r="B75" s="545">
        <f>B14</f>
        <v>111</v>
      </c>
      <c r="C75" s="522"/>
      <c r="D75" s="522"/>
      <c r="E75" s="522"/>
      <c r="F75" s="522"/>
      <c r="G75" s="522"/>
      <c r="H75" s="563"/>
      <c r="I75" s="563"/>
      <c r="J75" s="563"/>
      <c r="K75" s="563"/>
      <c r="L75" s="564"/>
      <c r="M75" s="565"/>
      <c r="N75" s="1154"/>
      <c r="O75" s="1154"/>
      <c r="P75" s="2686"/>
      <c r="Q75" s="558"/>
    </row>
    <row r="76" spans="1:17" s="470" customFormat="1" ht="15.75" thickBot="1">
      <c r="A76" s="567"/>
      <c r="B76" s="568"/>
      <c r="C76" s="569"/>
      <c r="D76" s="569"/>
      <c r="E76" s="569"/>
      <c r="F76" s="569"/>
      <c r="G76" s="569"/>
      <c r="H76" s="570"/>
      <c r="I76" s="570"/>
      <c r="J76" s="570"/>
      <c r="K76" s="570"/>
      <c r="L76" s="570"/>
      <c r="M76" s="571"/>
      <c r="N76" s="1154"/>
      <c r="O76" s="1154"/>
      <c r="P76" s="2684"/>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2"/>
      <c r="O77" s="1152"/>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3"/>
      <c r="O78" s="1153"/>
      <c r="P78" s="2683"/>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2"/>
      <c r="O79" s="1152"/>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3"/>
      <c r="O80" s="1153"/>
      <c r="P80" s="2683"/>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2"/>
      <c r="O81" s="1152"/>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3"/>
      <c r="O82" s="1153"/>
      <c r="P82" s="2683"/>
      <c r="Q82" s="503"/>
    </row>
    <row r="83" spans="1:17" ht="15.75" thickTop="1">
      <c r="A83" s="533"/>
      <c r="B83" s="545" t="s">
        <v>2678</v>
      </c>
      <c r="C83" s="659" t="s">
        <v>2664</v>
      </c>
      <c r="D83" s="659" t="s">
        <v>2665</v>
      </c>
      <c r="E83" s="659" t="s">
        <v>2666</v>
      </c>
      <c r="F83" s="659" t="s">
        <v>2667</v>
      </c>
      <c r="G83" s="659" t="s">
        <v>2668</v>
      </c>
      <c r="H83" s="538"/>
      <c r="I83" s="538"/>
      <c r="J83" s="538"/>
      <c r="K83" s="538"/>
      <c r="L83" s="538"/>
      <c r="M83" s="1382"/>
      <c r="N83" s="1153"/>
      <c r="O83" s="1153"/>
      <c r="P83" s="2683"/>
      <c r="Q83" s="503"/>
    </row>
    <row r="84" spans="1:17" ht="15.75" thickBot="1">
      <c r="A84" s="533"/>
      <c r="B84" s="545"/>
      <c r="C84" s="543">
        <v>100</v>
      </c>
      <c r="D84" s="543">
        <f>C84-$K21</f>
        <v>98</v>
      </c>
      <c r="E84" s="543">
        <f>D84-$K21</f>
        <v>96</v>
      </c>
      <c r="F84" s="543">
        <f>E84-$K21</f>
        <v>94</v>
      </c>
      <c r="G84" s="543">
        <f>F84-$K21</f>
        <v>92</v>
      </c>
      <c r="H84" s="659"/>
      <c r="I84" s="659"/>
      <c r="J84" s="659"/>
      <c r="K84" s="659"/>
      <c r="L84" s="659"/>
      <c r="M84" s="449"/>
      <c r="N84" s="1153"/>
      <c r="O84" s="1153"/>
      <c r="P84" s="2683"/>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2"/>
      <c r="O85" s="1152"/>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3"/>
      <c r="O86" s="1153"/>
      <c r="P86" s="2683"/>
      <c r="Q86" s="503"/>
    </row>
    <row r="87" spans="1:17" s="116" customFormat="1" ht="27.75" thickTop="1">
      <c r="A87" s="578"/>
      <c r="B87" s="537" t="s">
        <v>2688</v>
      </c>
      <c r="C87" s="2952" t="s">
        <v>3096</v>
      </c>
      <c r="D87" s="2952" t="s">
        <v>3097</v>
      </c>
      <c r="E87" s="2952" t="s">
        <v>3098</v>
      </c>
      <c r="F87" s="2952" t="s">
        <v>3099</v>
      </c>
      <c r="G87" s="2952" t="s">
        <v>3100</v>
      </c>
      <c r="H87" s="553"/>
      <c r="I87" s="553"/>
      <c r="J87" s="553"/>
      <c r="K87" s="553"/>
      <c r="L87" s="579"/>
      <c r="M87" s="580"/>
      <c r="N87" s="1151"/>
      <c r="O87" s="1151"/>
      <c r="P87" s="2683"/>
      <c r="Q87" s="503"/>
    </row>
    <row r="88" spans="1:17" s="116" customFormat="1" ht="15.75" thickBot="1">
      <c r="A88" s="578"/>
      <c r="B88" s="542"/>
      <c r="C88" s="581">
        <v>100</v>
      </c>
      <c r="D88" s="543">
        <f t="shared" ref="D88:M88" si="20">C88-$K25</f>
        <v>98</v>
      </c>
      <c r="E88" s="543">
        <f t="shared" si="20"/>
        <v>96</v>
      </c>
      <c r="F88" s="543">
        <f t="shared" si="20"/>
        <v>94</v>
      </c>
      <c r="G88" s="543">
        <f t="shared" si="20"/>
        <v>92</v>
      </c>
      <c r="H88" s="543">
        <f t="shared" si="20"/>
        <v>90</v>
      </c>
      <c r="I88" s="543">
        <f t="shared" si="20"/>
        <v>88</v>
      </c>
      <c r="J88" s="543">
        <f t="shared" si="20"/>
        <v>86</v>
      </c>
      <c r="K88" s="543">
        <f t="shared" si="20"/>
        <v>84</v>
      </c>
      <c r="L88" s="543">
        <f t="shared" si="20"/>
        <v>82</v>
      </c>
      <c r="M88" s="543">
        <f t="shared" si="20"/>
        <v>80</v>
      </c>
      <c r="N88" s="1153"/>
      <c r="O88" s="1153"/>
      <c r="P88" s="2683"/>
      <c r="Q88" s="503"/>
    </row>
    <row r="89" spans="1:17" s="116" customFormat="1" ht="15.75" thickTop="1">
      <c r="A89" s="578"/>
      <c r="B89" s="537" t="str">
        <f>B27</f>
        <v>楼层</v>
      </c>
      <c r="C89" s="2952" t="s">
        <v>3101</v>
      </c>
      <c r="D89" s="2952" t="s">
        <v>3102</v>
      </c>
      <c r="E89" s="2952" t="s">
        <v>3103</v>
      </c>
      <c r="F89" s="2634"/>
      <c r="G89" s="553"/>
      <c r="H89" s="553"/>
      <c r="I89" s="553"/>
      <c r="J89" s="553"/>
      <c r="K89" s="553"/>
      <c r="L89" s="553"/>
      <c r="M89" s="580"/>
      <c r="N89" s="1151"/>
      <c r="O89" s="1151"/>
      <c r="P89" s="2683"/>
      <c r="Q89" s="503"/>
    </row>
    <row r="90" spans="1:17" s="116" customFormat="1" ht="15.75" thickBot="1">
      <c r="A90" s="578"/>
      <c r="B90" s="542"/>
      <c r="C90" s="581">
        <v>100</v>
      </c>
      <c r="D90" s="543">
        <f>C90-$K27</f>
        <v>98</v>
      </c>
      <c r="E90" s="543">
        <f t="shared" ref="E90:M90" si="21">D90-$K27</f>
        <v>96</v>
      </c>
      <c r="F90" s="543">
        <f t="shared" si="21"/>
        <v>94</v>
      </c>
      <c r="G90" s="543">
        <f t="shared" si="21"/>
        <v>92</v>
      </c>
      <c r="H90" s="543">
        <f t="shared" si="21"/>
        <v>90</v>
      </c>
      <c r="I90" s="543">
        <f t="shared" si="21"/>
        <v>88</v>
      </c>
      <c r="J90" s="543">
        <f t="shared" si="21"/>
        <v>86</v>
      </c>
      <c r="K90" s="543">
        <f t="shared" si="21"/>
        <v>84</v>
      </c>
      <c r="L90" s="543">
        <f t="shared" si="21"/>
        <v>82</v>
      </c>
      <c r="M90" s="543">
        <f t="shared" si="21"/>
        <v>80</v>
      </c>
      <c r="N90" s="1153"/>
      <c r="O90" s="1153"/>
      <c r="P90" s="2683"/>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4"/>
      <c r="Q91" s="558"/>
    </row>
    <row r="92" spans="1:17" s="470" customFormat="1" ht="15.75" thickBot="1">
      <c r="A92" s="552"/>
      <c r="B92" s="542"/>
      <c r="C92" s="581">
        <v>100</v>
      </c>
      <c r="D92" s="543">
        <f t="shared" ref="D92:M92" si="22">C92-$K28</f>
        <v>100</v>
      </c>
      <c r="E92" s="543">
        <f t="shared" si="22"/>
        <v>100</v>
      </c>
      <c r="F92" s="543">
        <f t="shared" si="22"/>
        <v>100</v>
      </c>
      <c r="G92" s="543">
        <f t="shared" si="22"/>
        <v>100</v>
      </c>
      <c r="H92" s="543">
        <f t="shared" si="22"/>
        <v>100</v>
      </c>
      <c r="I92" s="543">
        <f t="shared" si="22"/>
        <v>100</v>
      </c>
      <c r="J92" s="543">
        <f t="shared" si="22"/>
        <v>100</v>
      </c>
      <c r="K92" s="543">
        <f t="shared" si="22"/>
        <v>100</v>
      </c>
      <c r="L92" s="543">
        <f t="shared" si="22"/>
        <v>100</v>
      </c>
      <c r="M92" s="543">
        <f t="shared" si="22"/>
        <v>100</v>
      </c>
      <c r="N92" s="1154"/>
      <c r="O92" s="1154"/>
      <c r="P92" s="2684"/>
      <c r="Q92" s="558"/>
    </row>
    <row r="93" spans="1:17" ht="15.75" thickTop="1">
      <c r="A93" s="533"/>
      <c r="B93" s="537">
        <f>B29</f>
        <v>111</v>
      </c>
      <c r="C93" s="553"/>
      <c r="D93" s="553"/>
      <c r="E93" s="553"/>
      <c r="F93" s="553"/>
      <c r="G93" s="553"/>
      <c r="H93" s="553"/>
      <c r="I93" s="553"/>
      <c r="J93" s="553"/>
      <c r="K93" s="553"/>
      <c r="L93" s="579"/>
      <c r="M93" s="580"/>
      <c r="N93" s="1152"/>
      <c r="O93" s="1152"/>
      <c r="P93" s="2683"/>
      <c r="Q93" s="503"/>
    </row>
    <row r="94" spans="1:17" ht="15.75" thickBot="1">
      <c r="A94" s="533"/>
      <c r="B94" s="542"/>
      <c r="C94" s="559"/>
      <c r="D94" s="535"/>
      <c r="E94" s="535"/>
      <c r="F94" s="535"/>
      <c r="G94" s="535"/>
      <c r="H94" s="535"/>
      <c r="I94" s="535"/>
      <c r="J94" s="535"/>
      <c r="K94" s="535"/>
      <c r="L94" s="535"/>
      <c r="M94" s="536"/>
      <c r="N94" s="1153"/>
      <c r="O94" s="1153"/>
      <c r="P94" s="2683"/>
      <c r="Q94" s="503"/>
    </row>
    <row r="95" spans="1:17" ht="15.75" thickTop="1">
      <c r="A95" s="533"/>
      <c r="B95" s="537">
        <f>B30</f>
        <v>111</v>
      </c>
      <c r="C95" s="553"/>
      <c r="D95" s="553"/>
      <c r="E95" s="553"/>
      <c r="F95" s="553"/>
      <c r="G95" s="582"/>
      <c r="H95" s="582"/>
      <c r="I95" s="582"/>
      <c r="J95" s="582"/>
      <c r="K95" s="583"/>
      <c r="L95" s="584"/>
      <c r="M95" s="585"/>
      <c r="N95" s="1152"/>
      <c r="O95" s="1152"/>
      <c r="P95" s="2683"/>
      <c r="Q95" s="503"/>
    </row>
    <row r="96" spans="1:17" ht="15.75" thickBot="1">
      <c r="A96" s="533"/>
      <c r="B96" s="542"/>
      <c r="C96" s="559"/>
      <c r="D96" s="559"/>
      <c r="E96" s="559"/>
      <c r="F96" s="559"/>
      <c r="G96" s="535"/>
      <c r="H96" s="535"/>
      <c r="I96" s="535"/>
      <c r="J96" s="535"/>
      <c r="K96" s="535"/>
      <c r="L96" s="535"/>
      <c r="M96" s="536"/>
      <c r="N96" s="1153"/>
      <c r="O96" s="1153"/>
      <c r="P96" s="2683"/>
      <c r="Q96" s="503"/>
    </row>
    <row r="97" spans="1:17" ht="15.75" thickTop="1">
      <c r="A97" s="533"/>
      <c r="B97" s="537">
        <f>B31</f>
        <v>111</v>
      </c>
      <c r="C97" s="553"/>
      <c r="D97" s="553"/>
      <c r="E97" s="553"/>
      <c r="F97" s="553"/>
      <c r="G97" s="582"/>
      <c r="H97" s="582"/>
      <c r="I97" s="582"/>
      <c r="J97" s="582"/>
      <c r="K97" s="583"/>
      <c r="L97" s="584"/>
      <c r="M97" s="585"/>
      <c r="N97" s="1152"/>
      <c r="O97" s="1152"/>
      <c r="P97" s="2683"/>
      <c r="Q97" s="503"/>
    </row>
    <row r="98" spans="1:17" ht="15.75" thickBot="1">
      <c r="A98" s="533"/>
      <c r="B98" s="542"/>
      <c r="C98" s="559"/>
      <c r="D98" s="535"/>
      <c r="E98" s="535"/>
      <c r="F98" s="535"/>
      <c r="G98" s="535"/>
      <c r="H98" s="535"/>
      <c r="I98" s="535"/>
      <c r="J98" s="535"/>
      <c r="K98" s="535"/>
      <c r="L98" s="535"/>
      <c r="M98" s="536"/>
      <c r="N98" s="1153"/>
      <c r="O98" s="1153"/>
      <c r="P98" s="2683"/>
      <c r="Q98" s="503"/>
    </row>
    <row r="99" spans="1:17" ht="15.75" thickTop="1">
      <c r="A99" s="533"/>
      <c r="B99" s="545">
        <f>B32</f>
        <v>111</v>
      </c>
      <c r="C99" s="522"/>
      <c r="D99" s="522"/>
      <c r="E99" s="522"/>
      <c r="F99" s="522"/>
      <c r="G99" s="586"/>
      <c r="H99" s="586"/>
      <c r="I99" s="586"/>
      <c r="J99" s="586"/>
      <c r="K99" s="587"/>
      <c r="L99" s="588"/>
      <c r="M99" s="589"/>
      <c r="N99" s="1152"/>
      <c r="O99" s="1152"/>
      <c r="P99" s="2683"/>
      <c r="Q99" s="503"/>
    </row>
    <row r="100" spans="1:17" ht="15.75" thickBot="1">
      <c r="A100" s="2635"/>
      <c r="B100" s="568"/>
      <c r="C100" s="569"/>
      <c r="D100" s="569"/>
      <c r="E100" s="569"/>
      <c r="F100" s="569"/>
      <c r="G100" s="590"/>
      <c r="H100" s="590"/>
      <c r="I100" s="590"/>
      <c r="J100" s="590"/>
      <c r="K100" s="590"/>
      <c r="L100" s="590"/>
      <c r="M100" s="591"/>
      <c r="N100" s="1153"/>
      <c r="O100" s="1153"/>
      <c r="P100" s="2683"/>
      <c r="Q100" s="503"/>
    </row>
    <row r="101" spans="1:17">
      <c r="A101" s="526" t="s">
        <v>2552</v>
      </c>
      <c r="B101" s="527" t="s">
        <v>2601</v>
      </c>
      <c r="C101" s="2953" t="s">
        <v>3104</v>
      </c>
      <c r="D101" s="529"/>
      <c r="E101" s="529"/>
      <c r="F101" s="529"/>
      <c r="G101" s="529"/>
      <c r="H101" s="529"/>
      <c r="I101" s="529"/>
      <c r="J101" s="529"/>
      <c r="K101" s="530"/>
      <c r="L101" s="531"/>
      <c r="M101" s="532"/>
      <c r="N101" s="1152"/>
      <c r="O101" s="1152"/>
      <c r="P101" s="2683"/>
      <c r="Q101" s="503"/>
    </row>
    <row r="102" spans="1:17" ht="15.75" thickBot="1">
      <c r="A102" s="533"/>
      <c r="B102" s="542"/>
      <c r="C102" s="543">
        <v>100</v>
      </c>
      <c r="D102" s="543">
        <f t="shared" ref="D102:M102" si="23">C102-$K33</f>
        <v>98</v>
      </c>
      <c r="E102" s="543">
        <f t="shared" si="23"/>
        <v>96</v>
      </c>
      <c r="F102" s="543">
        <f t="shared" si="23"/>
        <v>94</v>
      </c>
      <c r="G102" s="543">
        <f t="shared" si="23"/>
        <v>92</v>
      </c>
      <c r="H102" s="543">
        <f t="shared" si="23"/>
        <v>90</v>
      </c>
      <c r="I102" s="543">
        <f t="shared" si="23"/>
        <v>88</v>
      </c>
      <c r="J102" s="543">
        <f t="shared" si="23"/>
        <v>86</v>
      </c>
      <c r="K102" s="543">
        <f t="shared" si="23"/>
        <v>84</v>
      </c>
      <c r="L102" s="543">
        <f t="shared" si="23"/>
        <v>82</v>
      </c>
      <c r="M102" s="544">
        <f t="shared" si="23"/>
        <v>80</v>
      </c>
      <c r="N102" s="1153"/>
      <c r="O102" s="1153"/>
      <c r="P102" s="2683"/>
      <c r="Q102" s="503"/>
    </row>
    <row r="103" spans="1:17" ht="29.25" thickTop="1">
      <c r="A103" s="533"/>
      <c r="B103" s="537" t="s">
        <v>2602</v>
      </c>
      <c r="C103" s="577" t="str">
        <f>C104&amp;"(含)"&amp;"-"&amp;D104</f>
        <v>0(含)-2000</v>
      </c>
      <c r="D103" s="577" t="str">
        <f t="shared" ref="D103:L103" si="24">D104&amp;"(含)"&amp;"-"&amp;E104</f>
        <v>2000(含)-4000</v>
      </c>
      <c r="E103" s="577" t="str">
        <f t="shared" si="24"/>
        <v>4000(含)-6000</v>
      </c>
      <c r="F103" s="577" t="str">
        <f t="shared" si="24"/>
        <v>6000(含)-8000</v>
      </c>
      <c r="G103" s="577" t="str">
        <f t="shared" si="24"/>
        <v>8000(含)-9000</v>
      </c>
      <c r="H103" s="577" t="str">
        <f t="shared" si="24"/>
        <v>9000(含)-</v>
      </c>
      <c r="I103" s="577" t="str">
        <f t="shared" si="24"/>
        <v>(含)-</v>
      </c>
      <c r="J103" s="577" t="str">
        <f t="shared" si="24"/>
        <v>(含)-</v>
      </c>
      <c r="K103" s="577" t="str">
        <f t="shared" si="24"/>
        <v>(含)-</v>
      </c>
      <c r="L103" s="577" t="str">
        <f t="shared" si="24"/>
        <v>(含)-</v>
      </c>
      <c r="M103" s="621" t="str">
        <f>M104&amp;"(含)"&amp;"-"&amp;P104</f>
        <v>(含)-</v>
      </c>
      <c r="N103" s="1151"/>
      <c r="O103" s="1151"/>
      <c r="P103" s="2683"/>
      <c r="Q103" s="503"/>
    </row>
    <row r="104" spans="1:17" s="470" customFormat="1">
      <c r="A104" s="592"/>
      <c r="B104" s="593"/>
      <c r="C104" s="594">
        <v>0</v>
      </c>
      <c r="D104" s="594">
        <v>2000</v>
      </c>
      <c r="E104" s="594">
        <v>4000</v>
      </c>
      <c r="F104" s="594">
        <v>6000</v>
      </c>
      <c r="G104" s="594">
        <v>8000</v>
      </c>
      <c r="H104" s="594">
        <v>9000</v>
      </c>
      <c r="I104" s="594"/>
      <c r="J104" s="595"/>
      <c r="K104" s="595"/>
      <c r="L104" s="596"/>
      <c r="M104" s="597"/>
      <c r="N104" s="1154"/>
      <c r="O104" s="1154"/>
      <c r="P104" s="2684"/>
      <c r="Q104" s="558"/>
    </row>
    <row r="105" spans="1:17" s="470" customFormat="1" ht="15.75" thickBot="1">
      <c r="A105" s="552"/>
      <c r="B105" s="542"/>
      <c r="C105" s="559">
        <v>100</v>
      </c>
      <c r="D105" s="535">
        <f>C105-2</f>
        <v>98</v>
      </c>
      <c r="E105" s="535">
        <f t="shared" ref="E105:H105" si="25">D105-2</f>
        <v>96</v>
      </c>
      <c r="F105" s="535">
        <f t="shared" si="25"/>
        <v>94</v>
      </c>
      <c r="G105" s="535">
        <f t="shared" si="25"/>
        <v>92</v>
      </c>
      <c r="H105" s="535">
        <f t="shared" si="25"/>
        <v>90</v>
      </c>
      <c r="I105" s="535"/>
      <c r="J105" s="535"/>
      <c r="K105" s="535"/>
      <c r="L105" s="535"/>
      <c r="M105" s="536"/>
      <c r="N105" s="1153"/>
      <c r="O105" s="1153"/>
      <c r="P105" s="2684"/>
      <c r="Q105" s="558"/>
    </row>
    <row r="106" spans="1:17" ht="15" thickTop="1">
      <c r="A106" s="598"/>
      <c r="B106" s="537" t="s">
        <v>2603</v>
      </c>
      <c r="C106" s="2952" t="s">
        <v>3105</v>
      </c>
      <c r="D106" s="553"/>
      <c r="E106" s="582"/>
      <c r="F106" s="582"/>
      <c r="G106" s="582"/>
      <c r="H106" s="582"/>
      <c r="I106" s="582"/>
      <c r="J106" s="582"/>
      <c r="K106" s="583"/>
      <c r="L106" s="584"/>
      <c r="M106" s="585"/>
      <c r="N106" s="1152"/>
      <c r="O106" s="1152"/>
      <c r="P106" s="2683"/>
      <c r="Q106" s="503"/>
    </row>
    <row r="107" spans="1:17" ht="15.75" thickBot="1">
      <c r="A107" s="533"/>
      <c r="B107" s="542"/>
      <c r="C107" s="543">
        <v>100</v>
      </c>
      <c r="D107" s="543">
        <f t="shared" ref="D107:M107" si="26">C107-$K35</f>
        <v>97</v>
      </c>
      <c r="E107" s="543">
        <f t="shared" si="26"/>
        <v>94</v>
      </c>
      <c r="F107" s="543">
        <f t="shared" si="26"/>
        <v>91</v>
      </c>
      <c r="G107" s="543">
        <f t="shared" si="26"/>
        <v>88</v>
      </c>
      <c r="H107" s="543">
        <f t="shared" si="26"/>
        <v>85</v>
      </c>
      <c r="I107" s="543">
        <f t="shared" si="26"/>
        <v>82</v>
      </c>
      <c r="J107" s="543">
        <f t="shared" si="26"/>
        <v>79</v>
      </c>
      <c r="K107" s="543">
        <f t="shared" si="26"/>
        <v>76</v>
      </c>
      <c r="L107" s="543">
        <f t="shared" si="26"/>
        <v>73</v>
      </c>
      <c r="M107" s="544">
        <f t="shared" si="26"/>
        <v>70</v>
      </c>
      <c r="N107" s="1153"/>
      <c r="O107" s="1153"/>
      <c r="P107" s="2683"/>
      <c r="Q107" s="503"/>
    </row>
    <row r="108" spans="1:17" ht="15" thickTop="1">
      <c r="A108" s="598"/>
      <c r="B108" s="537" t="s">
        <v>2605</v>
      </c>
      <c r="C108" s="2952" t="s">
        <v>3106</v>
      </c>
      <c r="D108" s="2952" t="s">
        <v>3127</v>
      </c>
      <c r="E108" s="2952" t="s">
        <v>3107</v>
      </c>
      <c r="F108" s="2952" t="s">
        <v>3108</v>
      </c>
      <c r="G108" s="582"/>
      <c r="H108" s="582"/>
      <c r="I108" s="582"/>
      <c r="J108" s="582"/>
      <c r="K108" s="583"/>
      <c r="L108" s="584"/>
      <c r="M108" s="585"/>
      <c r="N108" s="1152"/>
      <c r="O108" s="1152"/>
      <c r="P108" s="2683"/>
      <c r="Q108" s="503"/>
    </row>
    <row r="109" spans="1:17" ht="15.75" thickBot="1">
      <c r="A109" s="533"/>
      <c r="B109" s="542"/>
      <c r="C109" s="543">
        <v>100</v>
      </c>
      <c r="D109" s="543">
        <f t="shared" ref="D109:M109" si="27">C109-$K36</f>
        <v>98</v>
      </c>
      <c r="E109" s="543">
        <f t="shared" si="27"/>
        <v>96</v>
      </c>
      <c r="F109" s="543">
        <f t="shared" si="27"/>
        <v>94</v>
      </c>
      <c r="G109" s="543">
        <f t="shared" si="27"/>
        <v>92</v>
      </c>
      <c r="H109" s="543">
        <f t="shared" si="27"/>
        <v>90</v>
      </c>
      <c r="I109" s="543">
        <f t="shared" si="27"/>
        <v>88</v>
      </c>
      <c r="J109" s="543">
        <f t="shared" si="27"/>
        <v>86</v>
      </c>
      <c r="K109" s="543">
        <f t="shared" si="27"/>
        <v>84</v>
      </c>
      <c r="L109" s="543">
        <f t="shared" si="27"/>
        <v>82</v>
      </c>
      <c r="M109" s="544">
        <f t="shared" si="27"/>
        <v>80</v>
      </c>
      <c r="N109" s="1153"/>
      <c r="O109" s="1153"/>
      <c r="P109" s="2683"/>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3"/>
      <c r="Q110" s="503"/>
    </row>
    <row r="111" spans="1:17">
      <c r="A111" s="598"/>
      <c r="B111" s="545"/>
      <c r="C111" s="602">
        <v>0.5</v>
      </c>
      <c r="D111" s="602">
        <v>0.6</v>
      </c>
      <c r="E111" s="602">
        <v>0.7</v>
      </c>
      <c r="F111" s="602">
        <v>0.8</v>
      </c>
      <c r="G111" s="602">
        <v>0.9</v>
      </c>
      <c r="H111" s="602">
        <v>1.0001</v>
      </c>
      <c r="I111" s="622"/>
      <c r="J111" s="622"/>
      <c r="K111" s="623"/>
      <c r="L111" s="624"/>
      <c r="M111" s="625"/>
      <c r="N111" s="1152"/>
      <c r="O111" s="1152"/>
      <c r="P111" s="2683"/>
      <c r="Q111" s="503"/>
    </row>
    <row r="112" spans="1:17" ht="15.75" thickBot="1">
      <c r="A112" s="533"/>
      <c r="B112" s="542"/>
      <c r="C112" s="581">
        <v>100</v>
      </c>
      <c r="D112" s="543">
        <f>C112+$K37</f>
        <v>101</v>
      </c>
      <c r="E112" s="543">
        <f t="shared" ref="E112:M112" si="28">D112+$K37</f>
        <v>102</v>
      </c>
      <c r="F112" s="543">
        <f t="shared" si="28"/>
        <v>103</v>
      </c>
      <c r="G112" s="543">
        <f t="shared" si="28"/>
        <v>104</v>
      </c>
      <c r="H112" s="543">
        <f t="shared" si="28"/>
        <v>105</v>
      </c>
      <c r="I112" s="543">
        <f t="shared" si="28"/>
        <v>106</v>
      </c>
      <c r="J112" s="543">
        <f t="shared" si="28"/>
        <v>107</v>
      </c>
      <c r="K112" s="543">
        <f t="shared" si="28"/>
        <v>108</v>
      </c>
      <c r="L112" s="543">
        <f t="shared" si="28"/>
        <v>109</v>
      </c>
      <c r="M112" s="543">
        <f t="shared" si="28"/>
        <v>110</v>
      </c>
      <c r="N112" s="1153"/>
      <c r="O112" s="1153"/>
      <c r="P112" s="2683"/>
      <c r="Q112" s="503"/>
    </row>
    <row r="113" spans="1:17" s="470" customFormat="1" ht="15" thickTop="1">
      <c r="A113" s="592"/>
      <c r="B113" s="537" t="s">
        <v>2689</v>
      </c>
      <c r="C113" s="2952" t="s">
        <v>3109</v>
      </c>
      <c r="D113" s="553"/>
      <c r="E113" s="553"/>
      <c r="F113" s="553"/>
      <c r="G113" s="553"/>
      <c r="H113" s="582"/>
      <c r="I113" s="582"/>
      <c r="J113" s="582"/>
      <c r="K113" s="583"/>
      <c r="L113" s="584"/>
      <c r="M113" s="585"/>
      <c r="N113" s="1154"/>
      <c r="O113" s="1154"/>
      <c r="P113" s="2684"/>
      <c r="Q113" s="558"/>
    </row>
    <row r="114" spans="1:17" s="470" customFormat="1" ht="15.75" thickBot="1">
      <c r="A114" s="552"/>
      <c r="B114" s="542"/>
      <c r="C114" s="543">
        <v>100</v>
      </c>
      <c r="D114" s="543">
        <f>C114-$K38</f>
        <v>98</v>
      </c>
      <c r="E114" s="543">
        <f t="shared" ref="E114:M114" si="29">D114-$K38</f>
        <v>96</v>
      </c>
      <c r="F114" s="543">
        <f t="shared" si="29"/>
        <v>94</v>
      </c>
      <c r="G114" s="543">
        <f t="shared" si="29"/>
        <v>92</v>
      </c>
      <c r="H114" s="543">
        <f t="shared" si="29"/>
        <v>90</v>
      </c>
      <c r="I114" s="543">
        <f t="shared" si="29"/>
        <v>88</v>
      </c>
      <c r="J114" s="543">
        <f t="shared" si="29"/>
        <v>86</v>
      </c>
      <c r="K114" s="543">
        <f t="shared" si="29"/>
        <v>84</v>
      </c>
      <c r="L114" s="543">
        <f t="shared" si="29"/>
        <v>82</v>
      </c>
      <c r="M114" s="543">
        <f t="shared" si="29"/>
        <v>80</v>
      </c>
      <c r="N114" s="1154"/>
      <c r="O114" s="1154"/>
      <c r="P114" s="2684"/>
      <c r="Q114" s="558"/>
    </row>
    <row r="115" spans="1:17" ht="15" thickTop="1">
      <c r="A115" s="598"/>
      <c r="B115" s="537" t="s">
        <v>2606</v>
      </c>
      <c r="C115" s="2952" t="s">
        <v>3110</v>
      </c>
      <c r="D115" s="553"/>
      <c r="E115" s="582"/>
      <c r="F115" s="582"/>
      <c r="G115" s="582"/>
      <c r="H115" s="582"/>
      <c r="I115" s="582"/>
      <c r="J115" s="582"/>
      <c r="K115" s="583"/>
      <c r="L115" s="584"/>
      <c r="M115" s="585"/>
      <c r="N115" s="1152"/>
      <c r="O115" s="1152"/>
      <c r="P115" s="2683"/>
      <c r="Q115" s="503"/>
    </row>
    <row r="116" spans="1:17" ht="15.75" thickBot="1">
      <c r="A116" s="533"/>
      <c r="B116" s="542"/>
      <c r="C116" s="543">
        <v>100</v>
      </c>
      <c r="D116" s="543">
        <f t="shared" ref="D116:M116" si="30">C116-$K39</f>
        <v>99</v>
      </c>
      <c r="E116" s="543">
        <f t="shared" si="30"/>
        <v>98</v>
      </c>
      <c r="F116" s="543">
        <f t="shared" si="30"/>
        <v>97</v>
      </c>
      <c r="G116" s="543">
        <f t="shared" si="30"/>
        <v>96</v>
      </c>
      <c r="H116" s="543">
        <f t="shared" si="30"/>
        <v>95</v>
      </c>
      <c r="I116" s="543">
        <f t="shared" si="30"/>
        <v>94</v>
      </c>
      <c r="J116" s="543">
        <f t="shared" si="30"/>
        <v>93</v>
      </c>
      <c r="K116" s="543">
        <f t="shared" si="30"/>
        <v>92</v>
      </c>
      <c r="L116" s="543">
        <f t="shared" si="30"/>
        <v>91</v>
      </c>
      <c r="M116" s="544">
        <f t="shared" si="30"/>
        <v>90</v>
      </c>
      <c r="N116" s="1153"/>
      <c r="O116" s="1153"/>
      <c r="P116" s="2683"/>
      <c r="Q116" s="503"/>
    </row>
    <row r="117" spans="1:17" ht="15" thickTop="1">
      <c r="A117" s="598"/>
      <c r="B117" s="537" t="s">
        <v>2607</v>
      </c>
      <c r="C117" s="2952" t="s">
        <v>3111</v>
      </c>
      <c r="D117" s="2952" t="s">
        <v>3112</v>
      </c>
      <c r="E117" s="2952" t="s">
        <v>3122</v>
      </c>
      <c r="F117" s="2952" t="s">
        <v>3123</v>
      </c>
      <c r="G117" s="2952" t="s">
        <v>3124</v>
      </c>
      <c r="H117" s="582"/>
      <c r="I117" s="582"/>
      <c r="J117" s="582"/>
      <c r="K117" s="583"/>
      <c r="L117" s="584"/>
      <c r="M117" s="585"/>
      <c r="N117" s="1152"/>
      <c r="O117" s="1152"/>
      <c r="P117" s="2683"/>
      <c r="Q117" s="503"/>
    </row>
    <row r="118" spans="1:17" ht="15.75" thickBot="1">
      <c r="A118" s="533"/>
      <c r="B118" s="542"/>
      <c r="C118" s="543">
        <v>100</v>
      </c>
      <c r="D118" s="543">
        <f>C118-$K40</f>
        <v>98</v>
      </c>
      <c r="E118" s="543">
        <f>D118-$K40</f>
        <v>96</v>
      </c>
      <c r="F118" s="543">
        <f>E118-$K40</f>
        <v>94</v>
      </c>
      <c r="G118" s="543">
        <f>F118-$K40</f>
        <v>92</v>
      </c>
      <c r="H118" s="543"/>
      <c r="I118" s="543"/>
      <c r="J118" s="543"/>
      <c r="K118" s="543"/>
      <c r="L118" s="543"/>
      <c r="M118" s="544"/>
      <c r="N118" s="1153"/>
      <c r="O118" s="1153"/>
      <c r="P118" s="2683"/>
      <c r="Q118" s="503"/>
    </row>
    <row r="119" spans="1:17" ht="15" thickTop="1">
      <c r="A119" s="598"/>
      <c r="B119" s="635" t="s">
        <v>2690</v>
      </c>
      <c r="C119" s="582"/>
      <c r="D119" s="582"/>
      <c r="E119" s="582"/>
      <c r="F119" s="582"/>
      <c r="G119" s="582"/>
      <c r="H119" s="582"/>
      <c r="I119" s="582"/>
      <c r="J119" s="582"/>
      <c r="K119" s="582"/>
      <c r="L119" s="2688"/>
      <c r="M119" s="2689"/>
      <c r="N119" s="1153"/>
      <c r="O119" s="1153"/>
      <c r="P119" s="2690"/>
      <c r="Q119" s="637"/>
    </row>
    <row r="120" spans="1:17" ht="15.75" thickBot="1">
      <c r="A120" s="533"/>
      <c r="B120" s="542"/>
      <c r="C120" s="581">
        <v>100</v>
      </c>
      <c r="D120" s="543">
        <f>C120-$K41</f>
        <v>100</v>
      </c>
      <c r="E120" s="543">
        <f t="shared" ref="E120:M120" si="31">D120-$K41</f>
        <v>100</v>
      </c>
      <c r="F120" s="543">
        <f t="shared" si="31"/>
        <v>100</v>
      </c>
      <c r="G120" s="543">
        <f t="shared" si="31"/>
        <v>100</v>
      </c>
      <c r="H120" s="543">
        <f t="shared" si="31"/>
        <v>100</v>
      </c>
      <c r="I120" s="543">
        <f t="shared" si="31"/>
        <v>100</v>
      </c>
      <c r="J120" s="543">
        <f t="shared" si="31"/>
        <v>100</v>
      </c>
      <c r="K120" s="543">
        <f t="shared" si="31"/>
        <v>100</v>
      </c>
      <c r="L120" s="543">
        <f t="shared" si="31"/>
        <v>100</v>
      </c>
      <c r="M120" s="543">
        <f t="shared" si="31"/>
        <v>100</v>
      </c>
      <c r="N120" s="1153"/>
      <c r="O120" s="1153"/>
      <c r="P120" s="2683"/>
      <c r="Q120" s="503"/>
    </row>
    <row r="121" spans="1:17" s="470" customFormat="1" ht="15" thickTop="1">
      <c r="A121" s="592"/>
      <c r="B121" s="537" t="s">
        <v>2673</v>
      </c>
      <c r="C121" s="553"/>
      <c r="D121" s="553"/>
      <c r="E121" s="553"/>
      <c r="F121" s="582"/>
      <c r="G121" s="554"/>
      <c r="H121" s="554"/>
      <c r="I121" s="554"/>
      <c r="J121" s="554"/>
      <c r="K121" s="554"/>
      <c r="L121" s="555"/>
      <c r="M121" s="556"/>
      <c r="N121" s="1154"/>
      <c r="O121" s="1154"/>
      <c r="P121" s="2684"/>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4"/>
      <c r="Q122" s="558"/>
    </row>
    <row r="123" spans="1:17" ht="15" thickTop="1">
      <c r="A123" s="598"/>
      <c r="B123" s="537" t="s">
        <v>2609</v>
      </c>
      <c r="C123" s="2952" t="s">
        <v>3106</v>
      </c>
      <c r="D123" s="2952" t="s">
        <v>3107</v>
      </c>
      <c r="E123" s="2952" t="s">
        <v>3108</v>
      </c>
      <c r="F123" s="582"/>
      <c r="G123" s="582"/>
      <c r="H123" s="582"/>
      <c r="I123" s="582"/>
      <c r="J123" s="582"/>
      <c r="K123" s="583"/>
      <c r="L123" s="584"/>
      <c r="M123" s="585"/>
      <c r="N123" s="1152"/>
      <c r="O123" s="1152"/>
      <c r="P123" s="2683"/>
      <c r="Q123" s="503"/>
    </row>
    <row r="124" spans="1:17" ht="15.75" thickBot="1">
      <c r="A124" s="533"/>
      <c r="B124" s="542"/>
      <c r="C124" s="543">
        <v>100</v>
      </c>
      <c r="D124" s="543">
        <f t="shared" ref="D124:M124" si="32">C124-$K43</f>
        <v>98</v>
      </c>
      <c r="E124" s="543">
        <f t="shared" si="32"/>
        <v>96</v>
      </c>
      <c r="F124" s="543">
        <f t="shared" si="32"/>
        <v>94</v>
      </c>
      <c r="G124" s="543">
        <f t="shared" si="32"/>
        <v>92</v>
      </c>
      <c r="H124" s="543">
        <f t="shared" si="32"/>
        <v>90</v>
      </c>
      <c r="I124" s="543">
        <f t="shared" si="32"/>
        <v>88</v>
      </c>
      <c r="J124" s="543">
        <f t="shared" si="32"/>
        <v>86</v>
      </c>
      <c r="K124" s="543">
        <f t="shared" si="32"/>
        <v>84</v>
      </c>
      <c r="L124" s="543">
        <f t="shared" si="32"/>
        <v>82</v>
      </c>
      <c r="M124" s="544">
        <f t="shared" si="32"/>
        <v>80</v>
      </c>
      <c r="N124" s="1153"/>
      <c r="O124" s="1153"/>
      <c r="P124" s="2683"/>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2"/>
      <c r="O125" s="1152"/>
      <c r="P125" s="2684"/>
      <c r="Q125" s="503"/>
    </row>
    <row r="126" spans="1:17" ht="15.75" thickBot="1">
      <c r="A126" s="533"/>
      <c r="B126" s="542"/>
      <c r="C126" s="543">
        <v>100</v>
      </c>
      <c r="D126" s="543">
        <f>C126-$K44</f>
        <v>99</v>
      </c>
      <c r="E126" s="543">
        <f>D126-$K44</f>
        <v>98</v>
      </c>
      <c r="F126" s="543">
        <f>E126-$K44</f>
        <v>97</v>
      </c>
      <c r="G126" s="543">
        <f>F126-$K44</f>
        <v>96</v>
      </c>
      <c r="H126" s="543"/>
      <c r="I126" s="543"/>
      <c r="J126" s="543"/>
      <c r="K126" s="543"/>
      <c r="L126" s="543"/>
      <c r="M126" s="544"/>
      <c r="N126" s="1153"/>
      <c r="O126" s="1153"/>
      <c r="P126" s="2683"/>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4"/>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4"/>
      <c r="Q128" s="558"/>
    </row>
    <row r="129" spans="1:17" ht="15" thickTop="1">
      <c r="A129" s="598"/>
      <c r="B129" s="537">
        <f>B46</f>
        <v>111</v>
      </c>
      <c r="C129" s="553"/>
      <c r="D129" s="553"/>
      <c r="E129" s="553"/>
      <c r="F129" s="553"/>
      <c r="G129" s="582"/>
      <c r="H129" s="582"/>
      <c r="I129" s="582"/>
      <c r="J129" s="582"/>
      <c r="K129" s="583"/>
      <c r="L129" s="584"/>
      <c r="M129" s="585"/>
      <c r="N129" s="1152"/>
      <c r="O129" s="1152"/>
      <c r="P129" s="2683"/>
      <c r="Q129" s="503"/>
    </row>
    <row r="130" spans="1:17" ht="15.75" thickBot="1">
      <c r="A130" s="533"/>
      <c r="B130" s="542"/>
      <c r="C130" s="559"/>
      <c r="D130" s="559"/>
      <c r="E130" s="559"/>
      <c r="F130" s="559"/>
      <c r="G130" s="535"/>
      <c r="H130" s="535"/>
      <c r="I130" s="535"/>
      <c r="J130" s="535"/>
      <c r="K130" s="535"/>
      <c r="L130" s="535"/>
      <c r="M130" s="536"/>
      <c r="N130" s="1153"/>
      <c r="O130" s="1153"/>
      <c r="P130" s="2683"/>
      <c r="Q130" s="503"/>
    </row>
    <row r="131" spans="1:17" ht="15" thickTop="1">
      <c r="A131" s="598"/>
      <c r="B131" s="545">
        <f>B47</f>
        <v>111</v>
      </c>
      <c r="C131" s="522"/>
      <c r="D131" s="522"/>
      <c r="E131" s="522"/>
      <c r="F131" s="522"/>
      <c r="G131" s="586"/>
      <c r="H131" s="586"/>
      <c r="I131" s="586"/>
      <c r="J131" s="586"/>
      <c r="K131" s="522"/>
      <c r="L131" s="523"/>
      <c r="M131" s="589"/>
      <c r="N131" s="1152"/>
      <c r="O131" s="1152"/>
      <c r="P131" s="2683"/>
      <c r="Q131" s="503"/>
    </row>
    <row r="132" spans="1:17" ht="15.75" thickBot="1">
      <c r="A132" s="2635"/>
      <c r="B132" s="568"/>
      <c r="C132" s="569"/>
      <c r="D132" s="569"/>
      <c r="E132" s="569"/>
      <c r="F132" s="569"/>
      <c r="G132" s="590"/>
      <c r="H132" s="590"/>
      <c r="I132" s="590"/>
      <c r="J132" s="590"/>
      <c r="K132" s="590"/>
      <c r="L132" s="590"/>
      <c r="M132" s="591"/>
      <c r="N132" s="1153"/>
      <c r="O132" s="1153"/>
      <c r="P132" s="2683"/>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1641</v>
      </c>
      <c r="B2" s="2990" t="s">
        <v>1642</v>
      </c>
      <c r="C2" s="2990" t="s">
        <v>1643</v>
      </c>
      <c r="D2" s="2990" t="str">
        <f>结果表!D116</f>
        <v>出让国有建设用地使用权价值</v>
      </c>
      <c r="E2" s="2990"/>
      <c r="F2" s="2990" t="str">
        <f>结果表!F116</f>
        <v>建筑物价值</v>
      </c>
      <c r="G2" s="2990"/>
      <c r="H2" s="2990" t="str">
        <f>IF(项目基本情况!B9="房地产市场价值","房地产市场价值","房地产价值")</f>
        <v>房地产价值</v>
      </c>
      <c r="I2" s="2990"/>
    </row>
    <row r="3" spans="1:9" ht="15">
      <c r="A3" s="2991"/>
      <c r="B3" s="2991"/>
      <c r="C3" s="2991"/>
      <c r="D3" s="1045" t="s">
        <v>1638</v>
      </c>
      <c r="E3" s="1045" t="s">
        <v>1644</v>
      </c>
      <c r="F3" s="1045" t="s">
        <v>1638</v>
      </c>
      <c r="G3" s="1045" t="s">
        <v>1639</v>
      </c>
      <c r="H3" s="1045" t="s">
        <v>1638</v>
      </c>
      <c r="I3" s="1045" t="s">
        <v>1639</v>
      </c>
    </row>
    <row r="4" spans="1:9" ht="30">
      <c r="A4" s="1971" t="str">
        <f>项目基本情况!S2</f>
        <v>北京市北京市海淀区中关村大街18号房地产</v>
      </c>
      <c r="B4" s="1045">
        <f>项目基本情况!C17</f>
        <v>8276.64</v>
      </c>
      <c r="C4" s="1045">
        <f>项目基本情况!C18</f>
        <v>927.85</v>
      </c>
      <c r="D4" s="1045">
        <f ca="1">结果表!D118</f>
        <v>25458</v>
      </c>
      <c r="E4" s="1045">
        <f ca="1">结果表!E118</f>
        <v>30759</v>
      </c>
      <c r="F4" s="1045">
        <f ca="1">结果表!F118</f>
        <v>3373</v>
      </c>
      <c r="G4" s="1045">
        <f ca="1">结果表!G118</f>
        <v>4075</v>
      </c>
      <c r="H4" s="1045">
        <f ca="1">结果表!H118</f>
        <v>28831</v>
      </c>
      <c r="I4" s="1045">
        <f ca="1">结果表!I118</f>
        <v>34834</v>
      </c>
    </row>
    <row r="5" spans="1:9" ht="30" customHeight="1">
      <c r="A5" s="2991" t="s">
        <v>1640</v>
      </c>
      <c r="B5" s="2991"/>
      <c r="C5" s="2991"/>
      <c r="D5" s="2992" t="str">
        <f ca="1">结果表!D119</f>
        <v>贰亿伍仟肆佰伍拾捌万元整</v>
      </c>
      <c r="E5" s="2992"/>
      <c r="F5" s="2992" t="str">
        <f ca="1">结果表!F119</f>
        <v>叁仟叁佰柒拾叁万元整</v>
      </c>
      <c r="G5" s="2992"/>
      <c r="H5" s="2992" t="str">
        <f ca="1">结果表!H119</f>
        <v>贰亿捌仟捌佰叁拾壹万元整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1640</v>
      </c>
      <c r="B7" s="2991"/>
      <c r="C7" s="2991"/>
      <c r="D7" s="2994" t="str">
        <f>结果表!D121</f>
        <v>零元整</v>
      </c>
      <c r="E7" s="2995"/>
      <c r="F7" s="2995"/>
      <c r="G7" s="2995"/>
      <c r="H7" s="2995"/>
      <c r="I7" s="2996"/>
    </row>
    <row r="8" spans="1:9" ht="15.75">
      <c r="A8" s="2993" t="str">
        <f>结果表!A122</f>
        <v>房地产抵押价值</v>
      </c>
      <c r="B8" s="2993"/>
      <c r="C8" s="2993"/>
      <c r="D8" s="2993">
        <f ca="1">结果表!D122</f>
        <v>28831</v>
      </c>
      <c r="E8" s="2993"/>
      <c r="F8" s="2993"/>
      <c r="G8" s="2993"/>
      <c r="H8" s="2993"/>
      <c r="I8" s="2993"/>
    </row>
    <row r="9" spans="1:9" ht="15">
      <c r="A9" s="2991" t="s">
        <v>1640</v>
      </c>
      <c r="B9" s="2991"/>
      <c r="C9" s="2991"/>
      <c r="D9" s="2992" t="str">
        <f ca="1">结果表!D123</f>
        <v>贰亿捌仟捌佰叁拾壹万元整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1640</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1640</v>
      </c>
      <c r="B13" s="2997"/>
      <c r="C13" s="2997"/>
      <c r="D13" s="2998" t="e">
        <f>结果表!D127</f>
        <v>#VALUE!</v>
      </c>
      <c r="E13" s="2998"/>
      <c r="F13" s="2998"/>
      <c r="G13" s="2998"/>
      <c r="H13" s="2998"/>
      <c r="I13" s="2998"/>
    </row>
    <row r="14" spans="1:9" ht="15" thickTop="1">
      <c r="A14" s="2999" t="s">
        <v>1645</v>
      </c>
      <c r="B14" s="2999"/>
      <c r="C14" s="2999"/>
      <c r="D14" s="2999"/>
      <c r="E14" s="2999"/>
      <c r="F14" s="2999"/>
      <c r="G14" s="2999"/>
      <c r="H14" s="2999"/>
      <c r="I14" s="2999"/>
    </row>
    <row r="16" spans="1:9" ht="18.75">
      <c r="A16" s="1972" t="s">
        <v>1628</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00" t="s">
        <v>1662</v>
      </c>
      <c r="B1" s="3000"/>
      <c r="C1" s="3000"/>
      <c r="D1" s="3000"/>
    </row>
    <row r="2" spans="1:4" ht="18">
      <c r="A2" s="3001" t="s">
        <v>1646</v>
      </c>
      <c r="B2" s="3001"/>
      <c r="C2" s="3001"/>
      <c r="D2" s="3001"/>
    </row>
    <row r="3" spans="1:4" ht="18.75">
      <c r="A3" s="1975" t="s">
        <v>1647</v>
      </c>
      <c r="B3" s="1975" t="s">
        <v>1648</v>
      </c>
      <c r="C3" s="1975" t="s">
        <v>1649</v>
      </c>
      <c r="D3" s="1975" t="s">
        <v>1650</v>
      </c>
    </row>
    <row r="4" spans="1:4" ht="56.25" customHeight="1">
      <c r="A4" s="1976" t="str">
        <f>项目基本情况!B4</f>
        <v>崔锴</v>
      </c>
      <c r="B4" s="1977">
        <f ca="1">项目基本情况!C4</f>
        <v>1120100036</v>
      </c>
      <c r="C4" s="1978"/>
      <c r="D4" s="1979" t="s">
        <v>1651</v>
      </c>
    </row>
    <row r="5" spans="1:4" ht="56.25" customHeight="1">
      <c r="A5" s="1976" t="str">
        <f>项目基本情况!D4</f>
        <v>吴薇</v>
      </c>
      <c r="B5" s="1977">
        <f ca="1">项目基本情况!E4</f>
        <v>1419970001</v>
      </c>
      <c r="C5" s="1980"/>
      <c r="D5" s="1979" t="s">
        <v>1651</v>
      </c>
    </row>
    <row r="6" spans="1:4" ht="18">
      <c r="A6" s="3001" t="s">
        <v>1652</v>
      </c>
      <c r="B6" s="3001"/>
      <c r="C6" s="3001"/>
      <c r="D6" s="3001"/>
    </row>
    <row r="7" spans="1:4" ht="18.75">
      <c r="A7" s="1975" t="s">
        <v>1647</v>
      </c>
      <c r="B7" s="1977" t="s">
        <v>1653</v>
      </c>
      <c r="C7" s="1975" t="s">
        <v>1649</v>
      </c>
      <c r="D7" s="1975" t="s">
        <v>1650</v>
      </c>
    </row>
    <row r="8" spans="1:4" ht="56.25" customHeight="1">
      <c r="A8" s="1981" t="s">
        <v>869</v>
      </c>
      <c r="B8" s="1981" t="s">
        <v>1</v>
      </c>
      <c r="C8" s="1978"/>
      <c r="D8" s="1979" t="s">
        <v>1651</v>
      </c>
    </row>
    <row r="9" spans="1:4">
      <c r="A9" s="727"/>
      <c r="B9" s="727"/>
      <c r="C9" s="727"/>
      <c r="D9" s="727"/>
    </row>
    <row r="10" spans="1:4" ht="18.75">
      <c r="A10" s="1982" t="s">
        <v>1654</v>
      </c>
      <c r="B10" s="727"/>
      <c r="C10" s="727"/>
      <c r="D10" s="727"/>
    </row>
    <row r="11" spans="1:4" ht="30" customHeight="1">
      <c r="A11" s="3002" t="s">
        <v>1655</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3"/>
      <c r="C15" s="3003"/>
      <c r="D15" s="3003"/>
    </row>
    <row r="16" spans="1:4" ht="30" customHeight="1">
      <c r="A16" s="3006" t="s">
        <v>1656</v>
      </c>
      <c r="B16" s="3006"/>
      <c r="C16" s="3006"/>
      <c r="D16" s="3006"/>
    </row>
    <row r="17" spans="1:4" ht="144" customHeight="1">
      <c r="A17" s="3006" t="s">
        <v>1657</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1658</v>
      </c>
      <c r="B22" s="3008"/>
      <c r="C22" s="3008"/>
      <c r="D22" s="3008"/>
    </row>
    <row r="23" spans="1:4">
      <c r="A23" s="1983"/>
      <c r="B23" s="1955"/>
      <c r="C23" s="1955"/>
      <c r="D23" s="1955"/>
    </row>
    <row r="24" spans="1:4">
      <c r="A24" s="1983"/>
      <c r="B24" s="1955"/>
      <c r="C24" s="1955"/>
      <c r="D24" s="1955"/>
    </row>
    <row r="25" spans="1:4" ht="18.75">
      <c r="A25" s="1984" t="s">
        <v>1659</v>
      </c>
    </row>
    <row r="26" spans="1:4" ht="18">
      <c r="A26" s="1953"/>
    </row>
    <row r="27" spans="1:4" ht="18.75">
      <c r="A27" s="1953" t="s">
        <v>1660</v>
      </c>
    </row>
    <row r="30" spans="1:4" ht="18.75">
      <c r="D30" s="1984" t="s">
        <v>1661</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 sqref="C5:C10"/>
      <selection pane="bottomLeft" activeCell="C5" sqref="C5:C10"/>
    </sheetView>
  </sheetViews>
  <sheetFormatPr defaultColWidth="14.5" defaultRowHeight="14.25"/>
  <cols>
    <col min="1" max="1" width="14.5" style="1991" customWidth="1"/>
    <col min="2" max="16384" width="14.5" style="1973"/>
  </cols>
  <sheetData>
    <row r="1" spans="1:7" s="1988" customFormat="1" ht="18.75">
      <c r="A1" s="1987" t="s">
        <v>1663</v>
      </c>
    </row>
    <row r="3" spans="1:7">
      <c r="A3" s="1989" t="s">
        <v>82</v>
      </c>
      <c r="B3" s="1973" t="s">
        <v>1664</v>
      </c>
      <c r="G3" s="1990"/>
    </row>
    <row r="4" spans="1:7">
      <c r="G4" s="1990"/>
    </row>
    <row r="5" spans="1:7">
      <c r="A5" s="1992" t="s">
        <v>73</v>
      </c>
      <c r="B5" s="1973" t="s">
        <v>1665</v>
      </c>
      <c r="G5" s="1990"/>
    </row>
    <row r="6" spans="1:7">
      <c r="G6" s="1990"/>
    </row>
    <row r="7" spans="1:7">
      <c r="A7" s="1993" t="s">
        <v>135</v>
      </c>
      <c r="B7" s="1973" t="s">
        <v>1666</v>
      </c>
      <c r="G7" s="1990"/>
    </row>
    <row r="8" spans="1:7">
      <c r="G8" s="1990"/>
    </row>
    <row r="9" spans="1:7">
      <c r="A9" s="1994" t="s">
        <v>74</v>
      </c>
      <c r="B9" s="1973" t="s">
        <v>1667</v>
      </c>
    </row>
    <row r="11" spans="1:7">
      <c r="A11" s="1995" t="s">
        <v>75</v>
      </c>
      <c r="B11" s="1996" t="s">
        <v>72</v>
      </c>
    </row>
    <row r="13" spans="1:7">
      <c r="A13" s="1997" t="s">
        <v>1668</v>
      </c>
    </row>
    <row r="15" spans="1:7" ht="13.5">
      <c r="A15" s="3014" t="s">
        <v>1669</v>
      </c>
      <c r="B15" s="3009" t="s">
        <v>136</v>
      </c>
      <c r="C15" s="3010"/>
    </row>
    <row r="16" spans="1:7" ht="13.5">
      <c r="A16" s="3015"/>
      <c r="B16" s="3009" t="s">
        <v>69</v>
      </c>
      <c r="C16" s="3010"/>
    </row>
    <row r="17" spans="1:3" ht="13.5">
      <c r="A17" s="3015"/>
      <c r="B17" s="3012" t="s">
        <v>1670</v>
      </c>
      <c r="C17" s="1998" t="s">
        <v>1669</v>
      </c>
    </row>
    <row r="18" spans="1:3" ht="13.5">
      <c r="A18" s="3015"/>
      <c r="B18" s="3012"/>
      <c r="C18" s="1998" t="s">
        <v>1671</v>
      </c>
    </row>
    <row r="19" spans="1:3" ht="13.5">
      <c r="A19" s="3015"/>
      <c r="B19" s="3012"/>
      <c r="C19" s="1998" t="s">
        <v>1672</v>
      </c>
    </row>
    <row r="20" spans="1:3" ht="13.5">
      <c r="A20" s="3016"/>
      <c r="B20" s="3011" t="s">
        <v>1673</v>
      </c>
      <c r="C20" s="3010"/>
    </row>
    <row r="21" spans="1:3" ht="13.5">
      <c r="A21" s="1999" t="s">
        <v>1674</v>
      </c>
      <c r="B21" s="2000"/>
      <c r="C21" s="2001"/>
    </row>
    <row r="22" spans="1:3" ht="13.5">
      <c r="A22" s="3013" t="s">
        <v>1675</v>
      </c>
      <c r="B22" s="3011" t="s">
        <v>1676</v>
      </c>
      <c r="C22" s="3010"/>
    </row>
    <row r="23" spans="1:3" ht="13.5">
      <c r="A23" s="3013"/>
      <c r="B23" s="3011" t="s">
        <v>1677</v>
      </c>
      <c r="C23" s="3010"/>
    </row>
    <row r="24" spans="1:3" ht="13.5">
      <c r="A24" s="3013"/>
      <c r="B24" s="3011" t="s">
        <v>1678</v>
      </c>
      <c r="C24" s="3010"/>
    </row>
    <row r="25" spans="1:3" ht="13.5">
      <c r="A25" s="3013"/>
      <c r="B25" s="3012" t="s">
        <v>1679</v>
      </c>
      <c r="C25" s="1998" t="s">
        <v>1680</v>
      </c>
    </row>
    <row r="26" spans="1:3" ht="13.5">
      <c r="A26" s="3013"/>
      <c r="B26" s="3012"/>
      <c r="C26" s="1998" t="s">
        <v>1681</v>
      </c>
    </row>
    <row r="27" spans="1:3" ht="13.5">
      <c r="A27" s="3013"/>
      <c r="B27" s="3012"/>
      <c r="C27" s="1998" t="s">
        <v>1682</v>
      </c>
    </row>
    <row r="28" spans="1:3" ht="13.5">
      <c r="A28" s="3013"/>
      <c r="B28" s="3012"/>
      <c r="C28" s="1998" t="s">
        <v>1683</v>
      </c>
    </row>
    <row r="29" spans="1:3" ht="13.5">
      <c r="A29" s="3013"/>
      <c r="B29" s="3012"/>
      <c r="C29" s="1998" t="s">
        <v>1684</v>
      </c>
    </row>
    <row r="30" spans="1:3" ht="13.5">
      <c r="A30" s="3013"/>
      <c r="B30" s="3012"/>
      <c r="C30" s="1998" t="s">
        <v>1685</v>
      </c>
    </row>
    <row r="31" spans="1:3" ht="13.5">
      <c r="A31" s="3013"/>
      <c r="B31" s="3012"/>
      <c r="C31" s="1998" t="s">
        <v>1686</v>
      </c>
    </row>
    <row r="32" spans="1:3" ht="13.5">
      <c r="A32" s="3013"/>
      <c r="B32" s="3012"/>
      <c r="C32" s="1998" t="s">
        <v>1687</v>
      </c>
    </row>
    <row r="33" spans="1:3" ht="13.5">
      <c r="A33" s="3013"/>
      <c r="B33" s="3012"/>
      <c r="C33" s="1998" t="s">
        <v>1688</v>
      </c>
    </row>
    <row r="34" spans="1:3">
      <c r="A34" s="2002" t="s">
        <v>76</v>
      </c>
    </row>
    <row r="37" spans="1:3">
      <c r="A37" s="2002" t="s">
        <v>1689</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5" sqref="C5:C1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43496</v>
      </c>
      <c r="C2" s="1021" t="s">
        <v>826</v>
      </c>
      <c r="D2" s="1021"/>
    </row>
    <row r="3" spans="1:6" ht="24" customHeight="1">
      <c r="A3" s="1022" t="s">
        <v>827</v>
      </c>
      <c r="B3" s="1023" t="s">
        <v>828</v>
      </c>
      <c r="C3" s="2343" t="s">
        <v>829</v>
      </c>
      <c r="D3" s="2346" t="s">
        <v>830</v>
      </c>
      <c r="E3" s="1024" t="s">
        <v>831</v>
      </c>
      <c r="F3" s="1023" t="s">
        <v>829</v>
      </c>
    </row>
    <row r="4" spans="1:6" ht="24" customHeight="1">
      <c r="A4" s="1700" t="s">
        <v>832</v>
      </c>
      <c r="B4" s="1024">
        <f ca="1">IF(C4&lt;B2,"已过期",1119970066)</f>
        <v>1119970066</v>
      </c>
      <c r="C4" s="2344">
        <v>43849</v>
      </c>
      <c r="D4" s="2347" t="s">
        <v>832</v>
      </c>
      <c r="E4" s="1024">
        <f ca="1">IF(F4&lt;B2,"已过期",96010014)</f>
        <v>96010014</v>
      </c>
      <c r="F4" s="1032">
        <v>47118</v>
      </c>
    </row>
    <row r="5" spans="1:6" ht="24" customHeight="1">
      <c r="A5" s="1700" t="s">
        <v>833</v>
      </c>
      <c r="B5" s="1024">
        <f ca="1">IF(C5&lt;B2,"已过期",1119970074)</f>
        <v>1119970074</v>
      </c>
      <c r="C5" s="2344">
        <v>43849</v>
      </c>
      <c r="D5" s="2347" t="s">
        <v>833</v>
      </c>
      <c r="E5" s="1024">
        <f ca="1">IF(F5&lt;B2,"已过期",2002110027)</f>
        <v>2002110027</v>
      </c>
      <c r="F5" s="1032">
        <v>46752</v>
      </c>
    </row>
    <row r="6" spans="1:6" ht="24" customHeight="1">
      <c r="A6" s="1700" t="s">
        <v>834</v>
      </c>
      <c r="B6" s="1024">
        <f ca="1">IF(C6&lt;B2,"已过期",1119970111)</f>
        <v>1119970111</v>
      </c>
      <c r="C6" s="2344">
        <v>43849</v>
      </c>
      <c r="D6" s="2347" t="s">
        <v>834</v>
      </c>
      <c r="E6" s="1024">
        <f ca="1">IF(F6&lt;B2,"已过期",94010078)</f>
        <v>94010078</v>
      </c>
      <c r="F6" s="1032">
        <v>46387</v>
      </c>
    </row>
    <row r="7" spans="1:6" ht="24" customHeight="1">
      <c r="A7" s="1700" t="s">
        <v>835</v>
      </c>
      <c r="B7" s="1024">
        <f ca="1">IF(C7&lt;B2,"已过期",1120050019)</f>
        <v>1120050019</v>
      </c>
      <c r="C7" s="2344">
        <v>44395</v>
      </c>
      <c r="D7" s="2347" t="s">
        <v>835</v>
      </c>
      <c r="E7" s="1024">
        <f ca="1">IF(F7&lt;B2,"已过期",2002110030)</f>
        <v>2002110030</v>
      </c>
      <c r="F7" s="1032">
        <v>46387</v>
      </c>
    </row>
    <row r="8" spans="1:6" ht="24" customHeight="1">
      <c r="A8" s="1700" t="s">
        <v>836</v>
      </c>
      <c r="B8" s="1024">
        <f ca="1">IF(C8&lt;B2,"已过期",1120000080)</f>
        <v>1120000080</v>
      </c>
      <c r="C8" s="2344">
        <v>43849</v>
      </c>
      <c r="D8" s="2347" t="s">
        <v>836</v>
      </c>
      <c r="E8" s="1024">
        <f ca="1">IF(F8&lt;B2,"已过期",2000110082)</f>
        <v>2000110082</v>
      </c>
      <c r="F8" s="1032">
        <v>46387</v>
      </c>
    </row>
    <row r="9" spans="1:6" ht="24" customHeight="1">
      <c r="A9" s="1700" t="s">
        <v>837</v>
      </c>
      <c r="B9" s="1024">
        <f ca="1">IF(C9&lt;B2,"已过期",1419970001)</f>
        <v>1419970001</v>
      </c>
      <c r="C9" s="2344">
        <v>43867</v>
      </c>
      <c r="D9" s="2347" t="s">
        <v>837</v>
      </c>
      <c r="E9" s="1024">
        <f ca="1">IF(F9&lt;B2,"已过期",2002110125)</f>
        <v>2002110125</v>
      </c>
      <c r="F9" s="1032">
        <v>47118</v>
      </c>
    </row>
    <row r="10" spans="1:6" ht="24" customHeight="1">
      <c r="A10" s="1700" t="s">
        <v>838</v>
      </c>
      <c r="B10" s="1024" t="str">
        <f ca="1">IF(C10&lt;B2,"已过期",1120060040)</f>
        <v>已过期</v>
      </c>
      <c r="C10" s="2344">
        <v>43483</v>
      </c>
      <c r="D10" s="2347" t="s">
        <v>838</v>
      </c>
      <c r="E10" s="1024">
        <f ca="1">IF(F10&lt;B2,"已过期",2004110096)</f>
        <v>2004110096</v>
      </c>
      <c r="F10" s="1032">
        <v>47118</v>
      </c>
    </row>
    <row r="11" spans="1:6" ht="24" customHeight="1">
      <c r="A11" s="1700" t="s">
        <v>839</v>
      </c>
      <c r="B11" s="1024">
        <f ca="1">IF(C11&lt;B2,"已过期",1120100036)</f>
        <v>1120100036</v>
      </c>
      <c r="C11" s="2344">
        <v>43622</v>
      </c>
      <c r="D11" s="2347" t="s">
        <v>839</v>
      </c>
      <c r="E11" s="1024">
        <f ca="1">IF(F11&lt;B2,"已过期",2010110070)</f>
        <v>2010110070</v>
      </c>
      <c r="F11" s="1032">
        <v>47907</v>
      </c>
    </row>
    <row r="12" spans="1:6" ht="24" customHeight="1">
      <c r="A12" s="1700" t="s">
        <v>3032</v>
      </c>
      <c r="B12" s="1024">
        <v>1120110054</v>
      </c>
      <c r="C12" s="2939">
        <v>43937</v>
      </c>
      <c r="D12" s="1700" t="s">
        <v>3032</v>
      </c>
      <c r="E12" s="1024">
        <v>2008110060</v>
      </c>
      <c r="F12" s="1032">
        <v>47177</v>
      </c>
    </row>
    <row r="13" spans="1:6" ht="24" customHeight="1">
      <c r="A13" s="1700" t="s">
        <v>840</v>
      </c>
      <c r="B13" s="1024">
        <f ca="1">IF(C13&lt;B2,"已过期",1120070131)</f>
        <v>1120070131</v>
      </c>
      <c r="C13" s="2344">
        <v>43814</v>
      </c>
      <c r="D13" s="2347" t="s">
        <v>840</v>
      </c>
      <c r="E13" s="1024">
        <v>2014110011</v>
      </c>
      <c r="F13" s="1032">
        <v>49302</v>
      </c>
    </row>
    <row r="14" spans="1:6" ht="24" customHeight="1">
      <c r="A14" s="1700" t="s">
        <v>841</v>
      </c>
      <c r="B14" s="1024">
        <f ca="1">IF(C14&lt;B2,"已过期",1120130020)</f>
        <v>1120130020</v>
      </c>
      <c r="C14" s="2344">
        <v>43622</v>
      </c>
      <c r="D14" s="2347"/>
      <c r="E14" s="1024"/>
      <c r="F14" s="1024"/>
    </row>
    <row r="15" spans="1:6" ht="24" customHeight="1">
      <c r="A15" s="1701" t="s">
        <v>1149</v>
      </c>
      <c r="B15" s="1024">
        <v>1120070085</v>
      </c>
      <c r="C15" s="2344">
        <v>43814</v>
      </c>
      <c r="D15" s="2348" t="s">
        <v>1149</v>
      </c>
      <c r="E15" s="1024">
        <v>2004110128</v>
      </c>
      <c r="F15" s="1025">
        <v>47118</v>
      </c>
    </row>
    <row r="16" spans="1:6" ht="24" customHeight="1">
      <c r="A16" s="1700" t="s">
        <v>842</v>
      </c>
      <c r="B16" s="1024">
        <f ca="1">IF(C16&lt;B2,"已过期",1120140022)</f>
        <v>1120140022</v>
      </c>
      <c r="C16" s="2344">
        <v>44029</v>
      </c>
      <c r="D16" s="2347" t="s">
        <v>842</v>
      </c>
      <c r="E16" s="1024">
        <f ca="1">IF(F16&lt;B2,"已过期",2008110059)</f>
        <v>2008110059</v>
      </c>
      <c r="F16" s="1032">
        <v>47177</v>
      </c>
    </row>
    <row r="17" spans="1:7" ht="24" customHeight="1">
      <c r="A17" s="1700"/>
      <c r="B17" s="1024"/>
      <c r="C17" s="2344"/>
      <c r="D17" s="2347"/>
      <c r="E17" s="1024"/>
      <c r="F17" s="1032"/>
    </row>
    <row r="18" spans="1:7" ht="24" customHeight="1">
      <c r="A18" s="1700"/>
      <c r="B18" s="1024"/>
      <c r="C18" s="2344"/>
      <c r="D18" s="2347"/>
      <c r="E18" s="1024"/>
      <c r="F18" s="1032"/>
    </row>
    <row r="19" spans="1:7" ht="24" customHeight="1">
      <c r="A19" s="1700"/>
      <c r="B19" s="1024"/>
      <c r="C19" s="2344"/>
      <c r="D19" s="2347"/>
      <c r="E19" s="1024"/>
      <c r="F19" s="1024"/>
    </row>
    <row r="20" spans="1:7" ht="24" customHeight="1">
      <c r="A20" s="1700"/>
      <c r="B20" s="1024"/>
      <c r="C20" s="2344"/>
      <c r="D20" s="2347"/>
      <c r="E20" s="1024"/>
      <c r="F20" s="1024"/>
    </row>
    <row r="21" spans="1:7" ht="24" customHeight="1">
      <c r="A21" s="1700"/>
      <c r="B21" s="1024"/>
      <c r="C21" s="2344"/>
      <c r="D21" s="2347" t="s">
        <v>843</v>
      </c>
      <c r="E21" s="1024">
        <f ca="1">IF(F21&lt;B2,"已过期",2011110090)</f>
        <v>2011110090</v>
      </c>
      <c r="F21" s="1032">
        <v>48302</v>
      </c>
    </row>
    <row r="22" spans="1:7" ht="24" customHeight="1">
      <c r="A22" s="1700" t="s">
        <v>844</v>
      </c>
      <c r="B22" s="1024">
        <f ca="1">IF(C22&lt;B2,"已过期",1120020033)</f>
        <v>1120020033</v>
      </c>
      <c r="C22" s="2939">
        <v>44339</v>
      </c>
      <c r="D22" s="2347" t="s">
        <v>844</v>
      </c>
      <c r="E22" s="1024">
        <f ca="1">IF(F22&lt;B2,"已过期",2000110137)</f>
        <v>2000110137</v>
      </c>
      <c r="F22" s="1032">
        <v>46387</v>
      </c>
    </row>
    <row r="23" spans="1:7" ht="24" customHeight="1">
      <c r="A23" s="1700" t="s">
        <v>845</v>
      </c>
      <c r="B23" s="1024">
        <f ca="1">IF(C23&lt;B2,"已过期",1120130048)</f>
        <v>1120130048</v>
      </c>
      <c r="C23" s="2344">
        <v>43686</v>
      </c>
      <c r="D23" s="2347"/>
      <c r="E23" s="1024"/>
      <c r="F23" s="1024"/>
    </row>
    <row r="24" spans="1:7" s="1026" customFormat="1" ht="24" customHeight="1">
      <c r="A24" s="1701" t="s">
        <v>1333</v>
      </c>
      <c r="B24" s="1701" t="s">
        <v>1333</v>
      </c>
      <c r="C24" s="2345" t="s">
        <v>1333</v>
      </c>
      <c r="D24" s="2348" t="s">
        <v>1333</v>
      </c>
      <c r="E24" s="1701" t="s">
        <v>1333</v>
      </c>
      <c r="F24" s="1701" t="s">
        <v>1333</v>
      </c>
    </row>
    <row r="25" spans="1:7" ht="24" customHeight="1">
      <c r="A25" s="3017" t="s">
        <v>846</v>
      </c>
      <c r="B25" s="3017"/>
      <c r="C25" s="3017"/>
      <c r="D25" s="3017"/>
      <c r="E25" s="3017"/>
      <c r="F25" s="3017"/>
      <c r="G25" s="3017"/>
    </row>
    <row r="26" spans="1:7" s="1027" customFormat="1" ht="24" customHeight="1">
      <c r="A26" s="3018" t="s">
        <v>847</v>
      </c>
      <c r="B26" s="3018"/>
      <c r="C26" s="3019"/>
      <c r="D26" s="3020" t="s">
        <v>848</v>
      </c>
      <c r="E26" s="3018"/>
      <c r="F26" s="3018"/>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58">
        <v>44377</v>
      </c>
    </row>
    <row r="29" spans="1:7" s="1029" customFormat="1" ht="24" customHeight="1">
      <c r="A29" s="1030"/>
      <c r="B29" s="1030"/>
      <c r="C29" s="2350"/>
      <c r="D29" s="2352"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比较法-租金</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vt:lpstr>
      <vt:lpstr>估价师及机构信息!Print_Area</vt:lpstr>
      <vt:lpstr>收益法!Print_Area</vt:lpstr>
      <vt:lpstr>'收益法 (元)'!Print_Area</vt:lpstr>
      <vt:lpstr>'数据-汇总表'!Print_Area</vt:lpstr>
      <vt:lpstr>八级</vt:lpstr>
      <vt:lpstr>'比较法-办公'!办公层高</vt:lpstr>
      <vt:lpstr>办公层高</vt:lpstr>
      <vt:lpstr>'比较法-办公'!办公朝向</vt:lpstr>
      <vt:lpstr>办公朝向</vt:lpstr>
      <vt:lpstr>'比较法-办公'!办公道路级别</vt:lpstr>
      <vt:lpstr>办公道路级别</vt:lpstr>
      <vt:lpstr>'比较法-办公'!办公公共部分装修</vt:lpstr>
      <vt:lpstr>办公公共部分装修</vt:lpstr>
      <vt:lpstr>'比较法-办公'!办公基础设施水平</vt:lpstr>
      <vt:lpstr>办公基础设施水平</vt:lpstr>
      <vt:lpstr>办公集聚程度</vt:lpstr>
      <vt:lpstr>'比较法-办公'!办公建筑结构</vt:lpstr>
      <vt:lpstr>办公建筑结构</vt:lpstr>
      <vt:lpstr>'比较法-办公'!办公建筑类型</vt:lpstr>
      <vt:lpstr>办公建筑类型</vt:lpstr>
      <vt:lpstr>'比较法-办公'!办公交易情况</vt:lpstr>
      <vt:lpstr>办公交易情况</vt:lpstr>
      <vt:lpstr>'比较法-办公'!办公楼层</vt:lpstr>
      <vt:lpstr>办公楼层</vt:lpstr>
      <vt:lpstr>'比较法-办公'!办公内部装修</vt:lpstr>
      <vt:lpstr>办公内部装修</vt:lpstr>
      <vt:lpstr>'比较法-办公'!办公物业管理</vt:lpstr>
      <vt:lpstr>办公物业管理</vt:lpstr>
      <vt:lpstr>'比较法-办公'!办公用途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2019-01-31T06:45:46Z</dcterms:modified>
</cp:coreProperties>
</file>