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4" sheetId="87" r:id="rId17"/>
    <sheet name="系统读取表" sheetId="74" r:id="rId18"/>
    <sheet name="结果表-酒店配套" sheetId="9" r:id="rId19"/>
    <sheet name="结果表-办公" sheetId="81" r:id="rId20"/>
    <sheet name="结果表-车库" sheetId="83" r:id="rId21"/>
    <sheet name="结果表-地下商业" sheetId="82" r:id="rId22"/>
    <sheet name="成本法 (元)" sheetId="69" state="hidden" r:id="rId23"/>
    <sheet name="假设开发法" sheetId="12" state="hidden" r:id="rId24"/>
    <sheet name="成本法-酒店配套" sheetId="80" r:id="rId25"/>
    <sheet name="收益法-酒店配套" sheetId="15" r:id="rId26"/>
    <sheet name="收益法 (元)" sheetId="67" state="hidden" r:id="rId27"/>
    <sheet name="收益法（汇总）" sheetId="70" state="hidden" r:id="rId28"/>
    <sheet name="酒店收入计算" sheetId="66" r:id="rId29"/>
    <sheet name="比较法-住宅" sheetId="21" state="hidden" r:id="rId30"/>
    <sheet name="成本法-办公" sheetId="68" r:id="rId31"/>
    <sheet name="比较法-办公" sheetId="34" state="hidden" r:id="rId32"/>
    <sheet name="比较法-工业" sheetId="37" state="hidden" r:id="rId33"/>
    <sheet name="收益法-办公" sheetId="78" r:id="rId34"/>
    <sheet name="基准地价修正" sheetId="43" r:id="rId35"/>
    <sheet name="比较法-车位" sheetId="35" r:id="rId36"/>
    <sheet name="比较法-仓储" sheetId="36" state="hidden" r:id="rId37"/>
    <sheet name="土地比较法-住宅、综合" sheetId="39" state="hidden" r:id="rId38"/>
    <sheet name="土地比较法-工业" sheetId="40" state="hidden" r:id="rId39"/>
    <sheet name="收益法-车位" sheetId="77" r:id="rId40"/>
    <sheet name="比较法-商业" sheetId="33" state="hidden" r:id="rId41"/>
    <sheet name="成本法-地下商业" sheetId="86" r:id="rId42"/>
    <sheet name="收益法-地下商业" sheetId="79"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Sheet1" sheetId="84" r:id="rId54"/>
    <sheet name="Sheet2" sheetId="85" r:id="rId55"/>
  </sheets>
  <externalReferences>
    <externalReference r:id="rId56"/>
  </externalReferences>
  <definedNames>
    <definedName name="_xlnm._FilterDatabase" localSheetId="31" hidden="1">'比较法-办公'!$A$1:$L$50</definedName>
    <definedName name="_xlnm._FilterDatabase" localSheetId="36" hidden="1">'比较法-仓储'!$A$1:$L$37</definedName>
    <definedName name="_xlnm._FilterDatabase" localSheetId="35" hidden="1">'比较法-车位'!$A$1:$L$39</definedName>
    <definedName name="_xlnm._FilterDatabase" localSheetId="32" hidden="1">'比较法-工业'!$A$1:$L$43</definedName>
    <definedName name="_xlnm._FilterDatabase" localSheetId="40" hidden="1">'比较法-商业'!$A$1:$L$49</definedName>
    <definedName name="_xlnm._FilterDatabase" localSheetId="29"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33">'收益法-办公'!$A$1:$AK$69</definedName>
    <definedName name="_xlnm.Print_Area" localSheetId="39">'收益法-车位'!$A$1:$AK$69</definedName>
    <definedName name="_xlnm.Print_Area" localSheetId="42">'收益法-地下商业'!$A$1:$AK$69</definedName>
    <definedName name="_xlnm.Print_Area" localSheetId="25">'收益法-酒店配套'!$A$1:$AK$69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14" i="87" l="1"/>
  <c r="E20" i="87" l="1"/>
  <c r="E21" i="87" l="1"/>
  <c r="G11" i="87" l="1"/>
  <c r="G4" i="87"/>
  <c r="E11" i="87" l="1"/>
  <c r="C17" i="74" l="1"/>
  <c r="C16" i="74"/>
  <c r="C15" i="74"/>
  <c r="B17" i="74"/>
  <c r="B16" i="74"/>
  <c r="B15" i="74"/>
  <c r="I37" i="35"/>
  <c r="G37" i="35"/>
  <c r="E37" i="35"/>
  <c r="D33" i="43" l="1"/>
  <c r="F50" i="86"/>
  <c r="G41" i="86"/>
  <c r="F38" i="86"/>
  <c r="E37" i="86"/>
  <c r="F36" i="86"/>
  <c r="F35" i="86"/>
  <c r="F34" i="86"/>
  <c r="F30" i="86"/>
  <c r="C48" i="86" s="1"/>
  <c r="C30" i="86"/>
  <c r="G22" i="86"/>
  <c r="F21" i="86"/>
  <c r="C21" i="86" s="1"/>
  <c r="F20" i="86"/>
  <c r="E19" i="86"/>
  <c r="E10" i="86"/>
  <c r="E9" i="86"/>
  <c r="F7" i="86"/>
  <c r="G1" i="86"/>
  <c r="I47" i="33"/>
  <c r="G47" i="33"/>
  <c r="E47" i="33"/>
  <c r="I5" i="33"/>
  <c r="G5" i="33"/>
  <c r="E5" i="33"/>
  <c r="F34" i="84"/>
  <c r="D31" i="84"/>
  <c r="C31" i="84"/>
  <c r="E31" i="84" s="1"/>
  <c r="D30" i="84"/>
  <c r="G25" i="84"/>
  <c r="E25" i="84"/>
  <c r="I24" i="84"/>
  <c r="F23" i="84"/>
  <c r="D23" i="84"/>
  <c r="D25" i="84" s="1"/>
  <c r="H30" i="84" s="1"/>
  <c r="H31" i="84" s="1"/>
  <c r="E17" i="84"/>
  <c r="G16" i="84"/>
  <c r="D14" i="84"/>
  <c r="G14" i="84" s="1"/>
  <c r="D13" i="84"/>
  <c r="H17" i="84" s="1"/>
  <c r="G12" i="84"/>
  <c r="F12" i="84"/>
  <c r="H12" i="84" s="1"/>
  <c r="I12" i="84" s="1"/>
  <c r="G11" i="84"/>
  <c r="F11" i="84"/>
  <c r="H11" i="84" s="1"/>
  <c r="I11" i="84" s="1"/>
  <c r="G10" i="84"/>
  <c r="F10" i="84"/>
  <c r="C6" i="84"/>
  <c r="C7" i="84" s="1"/>
  <c r="E4" i="84"/>
  <c r="A3" i="3"/>
  <c r="F27" i="86"/>
  <c r="E2" i="86"/>
  <c r="C29" i="86" l="1"/>
  <c r="D27" i="86" s="1"/>
  <c r="C40" i="86"/>
  <c r="F24" i="84"/>
  <c r="C30" i="84" s="1"/>
  <c r="D6" i="84"/>
  <c r="D7" i="84" s="1"/>
  <c r="G13" i="84"/>
  <c r="E14" i="84"/>
  <c r="H10" i="84"/>
  <c r="D10" i="86"/>
  <c r="C34" i="86"/>
  <c r="C36" i="86"/>
  <c r="D9" i="86"/>
  <c r="C38" i="86" l="1"/>
  <c r="C35" i="86"/>
  <c r="C10" i="86"/>
  <c r="D19" i="86"/>
  <c r="C9" i="86"/>
  <c r="C8" i="86" s="1"/>
  <c r="C47" i="86"/>
  <c r="D45" i="86" s="1"/>
  <c r="I10" i="84"/>
  <c r="C32" i="84"/>
  <c r="E30" i="84"/>
  <c r="F14" i="84"/>
  <c r="H14" i="84" s="1"/>
  <c r="I14" i="84" s="1"/>
  <c r="E13" i="84"/>
  <c r="F13" i="84" s="1"/>
  <c r="D37" i="86" l="1"/>
  <c r="C37" i="86" s="1"/>
  <c r="C33" i="86" s="1"/>
  <c r="C19" i="86"/>
  <c r="H13" i="84"/>
  <c r="F18" i="84"/>
  <c r="C39" i="86" l="1"/>
  <c r="C46" i="86" s="1"/>
  <c r="C45" i="86" s="1"/>
  <c r="I13" i="84"/>
  <c r="I17" i="84"/>
  <c r="H18" i="84" s="1"/>
  <c r="D18" i="74" l="1"/>
  <c r="G18" i="74" l="1"/>
  <c r="C8" i="87"/>
  <c r="D19" i="74"/>
  <c r="G19" i="74" l="1"/>
  <c r="C9" i="87"/>
  <c r="G8" i="87" s="1"/>
  <c r="H8" i="87" l="1"/>
  <c r="G20" i="87"/>
  <c r="C20" i="87" s="1"/>
  <c r="A120" i="83"/>
  <c r="A118" i="83"/>
  <c r="H111" i="83"/>
  <c r="D126" i="83" s="1"/>
  <c r="D127" i="83" s="1"/>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A126" i="82"/>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L4" i="82"/>
  <c r="K4" i="82"/>
  <c r="A2" i="82"/>
  <c r="H1" i="82"/>
  <c r="A126" i="81"/>
  <c r="A122" i="81"/>
  <c r="A120" i="81"/>
  <c r="A118"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D59" i="81"/>
  <c r="N56" i="81"/>
  <c r="M56" i="81"/>
  <c r="K56" i="81"/>
  <c r="J56" i="81"/>
  <c r="F56" i="81"/>
  <c r="O55" i="81"/>
  <c r="N55" i="81"/>
  <c r="M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8" i="81"/>
  <c r="B118" i="81" s="1"/>
  <c r="D17" i="81"/>
  <c r="C17" i="81"/>
  <c r="C18" i="81" s="1"/>
  <c r="D18" i="81" s="1"/>
  <c r="L4" i="81"/>
  <c r="K4" i="81"/>
  <c r="A2" i="81"/>
  <c r="H1" i="81"/>
  <c r="G41" i="80"/>
  <c r="F38" i="80"/>
  <c r="E37" i="80"/>
  <c r="F36" i="80"/>
  <c r="F35" i="80"/>
  <c r="F34" i="80"/>
  <c r="F30" i="80"/>
  <c r="C48" i="80" s="1"/>
  <c r="C30" i="80"/>
  <c r="G22" i="80"/>
  <c r="F21" i="80"/>
  <c r="C21" i="80" s="1"/>
  <c r="F20" i="80"/>
  <c r="E19" i="80"/>
  <c r="E10" i="80"/>
  <c r="E9" i="80"/>
  <c r="F7" i="80"/>
  <c r="C7" i="80" s="1"/>
  <c r="G1" i="80"/>
  <c r="D29" i="43"/>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Q59" i="78"/>
  <c r="K59" i="78"/>
  <c r="P74" i="78" s="1"/>
  <c r="F59" i="78"/>
  <c r="Q58" i="78"/>
  <c r="Q51" i="78"/>
  <c r="J50" i="78"/>
  <c r="J51" i="78" s="1"/>
  <c r="M47" i="78"/>
  <c r="D46" i="78"/>
  <c r="F34" i="78"/>
  <c r="F62" i="78" s="1"/>
  <c r="F33" i="78"/>
  <c r="F61" i="78" s="1"/>
  <c r="F32" i="78"/>
  <c r="F60" i="78" s="1"/>
  <c r="F31" i="78"/>
  <c r="F28" i="78"/>
  <c r="C28" i="78" s="1"/>
  <c r="F23" i="78"/>
  <c r="D24" i="78" s="1"/>
  <c r="D23" i="78"/>
  <c r="D22" i="78"/>
  <c r="F21" i="78"/>
  <c r="M20" i="78"/>
  <c r="F20" i="78"/>
  <c r="M19" i="78"/>
  <c r="M18" i="78"/>
  <c r="F18" i="78"/>
  <c r="M17" i="78"/>
  <c r="F17" i="78"/>
  <c r="F15" i="78"/>
  <c r="G1" i="78"/>
  <c r="C76" i="78"/>
  <c r="F27" i="80"/>
  <c r="D34" i="81"/>
  <c r="D34" i="82"/>
  <c r="F6" i="79"/>
  <c r="D35" i="83"/>
  <c r="E2" i="80"/>
  <c r="D35" i="81"/>
  <c r="D35" i="82"/>
  <c r="D34" i="83"/>
  <c r="C21" i="87" l="1"/>
  <c r="C18" i="83"/>
  <c r="D18" i="83" s="1"/>
  <c r="C18" i="82"/>
  <c r="D18" i="82" s="1"/>
  <c r="K120" i="83"/>
  <c r="D121" i="83"/>
  <c r="C74" i="83"/>
  <c r="C92" i="83"/>
  <c r="C94" i="83"/>
  <c r="H109" i="83"/>
  <c r="H112" i="83"/>
  <c r="K120" i="82"/>
  <c r="D121" i="82"/>
  <c r="C74" i="82"/>
  <c r="C92" i="82"/>
  <c r="C94" i="82"/>
  <c r="H109" i="82"/>
  <c r="K120" i="81"/>
  <c r="D121" i="81"/>
  <c r="C74" i="81"/>
  <c r="C92" i="81"/>
  <c r="C94" i="81"/>
  <c r="H109" i="81"/>
  <c r="C29" i="80"/>
  <c r="D27" i="80" s="1"/>
  <c r="C40" i="80"/>
  <c r="D24" i="79"/>
  <c r="P61" i="79"/>
  <c r="D22" i="79"/>
  <c r="Q71" i="78"/>
  <c r="P61" i="78"/>
  <c r="Q72" i="77"/>
  <c r="Q59" i="77"/>
  <c r="K59" i="77"/>
  <c r="P74" i="77" s="1"/>
  <c r="F59" i="77"/>
  <c r="Q58" i="77"/>
  <c r="Q51" i="77"/>
  <c r="J50" i="77"/>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Y9" i="1"/>
  <c r="Y8" i="1"/>
  <c r="Y7" i="1"/>
  <c r="Y6" i="1"/>
  <c r="N9" i="1"/>
  <c r="N8" i="1"/>
  <c r="N7" i="1"/>
  <c r="N6" i="1"/>
  <c r="G22" i="6"/>
  <c r="G21" i="6"/>
  <c r="F20" i="6"/>
  <c r="F19" i="6"/>
  <c r="F8" i="77"/>
  <c r="M23" i="78"/>
  <c r="M9" i="79"/>
  <c r="F16" i="78"/>
  <c r="M27" i="78"/>
  <c r="M27" i="79"/>
  <c r="M26" i="79"/>
  <c r="F13" i="78"/>
  <c r="L48" i="79"/>
  <c r="M22" i="79"/>
  <c r="M22" i="78"/>
  <c r="D9" i="80"/>
  <c r="F9" i="79"/>
  <c r="F6" i="78"/>
  <c r="J15" i="78"/>
  <c r="F37" i="79"/>
  <c r="M6" i="79"/>
  <c r="M8" i="78"/>
  <c r="M8" i="79"/>
  <c r="M6" i="78"/>
  <c r="F37" i="78"/>
  <c r="F8" i="79"/>
  <c r="M23" i="79"/>
  <c r="L48" i="78"/>
  <c r="L47" i="79"/>
  <c r="F9" i="78"/>
  <c r="C36" i="80"/>
  <c r="F26" i="78"/>
  <c r="F40" i="79"/>
  <c r="F38" i="79"/>
  <c r="F40" i="78"/>
  <c r="F7" i="77"/>
  <c r="M28" i="79"/>
  <c r="F38" i="78"/>
  <c r="L47" i="78"/>
  <c r="F26" i="79"/>
  <c r="M9" i="78"/>
  <c r="F8" i="78"/>
  <c r="F16" i="79"/>
  <c r="F13" i="79"/>
  <c r="F9" i="77"/>
  <c r="M28" i="78"/>
  <c r="F42" i="79"/>
  <c r="F36" i="78"/>
  <c r="F42" i="78"/>
  <c r="J15" i="79"/>
  <c r="M24" i="78"/>
  <c r="C76" i="77"/>
  <c r="C76" i="79"/>
  <c r="M26" i="78"/>
  <c r="M24" i="79"/>
  <c r="F36" i="79"/>
  <c r="D124" i="83" l="1"/>
  <c r="D125" i="83" s="1"/>
  <c r="H110" i="83"/>
  <c r="D124" i="82"/>
  <c r="D125" i="82" s="1"/>
  <c r="H110" i="82"/>
  <c r="D124" i="81"/>
  <c r="D125" i="81" s="1"/>
  <c r="H110" i="81"/>
  <c r="C9" i="80"/>
  <c r="C47" i="80"/>
  <c r="D45" i="80" s="1"/>
  <c r="F64" i="79"/>
  <c r="F66" i="79"/>
  <c r="N59" i="79"/>
  <c r="L59" i="79"/>
  <c r="L58" i="79"/>
  <c r="M59" i="79"/>
  <c r="Q71" i="79"/>
  <c r="C27" i="79"/>
  <c r="F65" i="79"/>
  <c r="F51" i="79"/>
  <c r="F68" i="79"/>
  <c r="L57" i="79"/>
  <c r="L56" i="79"/>
  <c r="I54" i="79"/>
  <c r="L60" i="79"/>
  <c r="J59" i="79"/>
  <c r="J60" i="79"/>
  <c r="Q48" i="79" s="1"/>
  <c r="J53" i="79"/>
  <c r="J57" i="79"/>
  <c r="J55" i="79" s="1"/>
  <c r="J58" i="79" s="1"/>
  <c r="Q50" i="79" s="1"/>
  <c r="N59" i="78"/>
  <c r="L59" i="78"/>
  <c r="L58" i="78"/>
  <c r="M59" i="78"/>
  <c r="F51" i="78"/>
  <c r="F65" i="78"/>
  <c r="C27" i="78"/>
  <c r="L57" i="78"/>
  <c r="L56" i="78"/>
  <c r="J60" i="78"/>
  <c r="Q48" i="78" s="1"/>
  <c r="I54" i="78"/>
  <c r="L60" i="78"/>
  <c r="J53" i="78"/>
  <c r="J57" i="78"/>
  <c r="J55" i="78" s="1"/>
  <c r="J58" i="78" s="1"/>
  <c r="Q50" i="78" s="1"/>
  <c r="J59" i="78"/>
  <c r="F68" i="78"/>
  <c r="F66" i="78"/>
  <c r="F64" i="78"/>
  <c r="Q71" i="77"/>
  <c r="F50" i="77"/>
  <c r="M7" i="77"/>
  <c r="F51" i="77"/>
  <c r="P61" i="77"/>
  <c r="J51" i="77"/>
  <c r="L3" i="71"/>
  <c r="K3" i="71"/>
  <c r="I3" i="71"/>
  <c r="F38" i="77"/>
  <c r="M23" i="77"/>
  <c r="F36" i="77"/>
  <c r="M6" i="77"/>
  <c r="L48" i="77"/>
  <c r="M8" i="77"/>
  <c r="M22" i="77"/>
  <c r="L47" i="77"/>
  <c r="F6" i="77"/>
  <c r="F37" i="77"/>
  <c r="F40" i="77"/>
  <c r="M26" i="77"/>
  <c r="J15" i="77"/>
  <c r="F26" i="77"/>
  <c r="M28" i="77"/>
  <c r="M27" i="77"/>
  <c r="F42" i="77"/>
  <c r="F16" i="77"/>
  <c r="M24" i="77"/>
  <c r="M9" i="77"/>
  <c r="F13" i="77"/>
  <c r="F1" i="79" l="1"/>
  <c r="Q52" i="79"/>
  <c r="Q66" i="79"/>
  <c r="Q57" i="79"/>
  <c r="L46" i="79"/>
  <c r="Q61" i="79"/>
  <c r="Q74" i="79"/>
  <c r="Q60" i="79"/>
  <c r="Q73" i="79"/>
  <c r="Q66" i="78"/>
  <c r="Q57" i="78"/>
  <c r="L46" i="78"/>
  <c r="Q61" i="78"/>
  <c r="Q74" i="78"/>
  <c r="F1" i="78"/>
  <c r="Q52" i="78"/>
  <c r="Q60" i="78"/>
  <c r="Q73" i="78"/>
  <c r="C49" i="77"/>
  <c r="J53" i="77"/>
  <c r="F1" i="77" s="1"/>
  <c r="L56" i="77"/>
  <c r="J57" i="77"/>
  <c r="J55" i="77" s="1"/>
  <c r="J58" i="77" s="1"/>
  <c r="Q50" i="77" s="1"/>
  <c r="F68" i="77"/>
  <c r="F65" i="77"/>
  <c r="C27" i="77"/>
  <c r="C6" i="77"/>
  <c r="N59" i="77"/>
  <c r="L59" i="77"/>
  <c r="L58" i="77"/>
  <c r="M59" i="77"/>
  <c r="F66" i="77"/>
  <c r="F64" i="77"/>
  <c r="J6" i="77"/>
  <c r="I54" i="77"/>
  <c r="J3" i="71"/>
  <c r="Q52" i="77" l="1"/>
  <c r="Q60" i="77"/>
  <c r="Q73" i="77"/>
  <c r="Q61" i="77"/>
  <c r="Q74" i="77"/>
  <c r="AD5" i="7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A15" i="51" l="1"/>
  <c r="E13" i="76"/>
  <c r="B7" i="76"/>
  <c r="E11" i="76"/>
  <c r="B9" i="76"/>
  <c r="B10" i="76"/>
  <c r="B11" i="76"/>
  <c r="E9" i="76"/>
  <c r="B13" i="76"/>
  <c r="E8" i="76"/>
  <c r="B12" i="76"/>
  <c r="E10" i="76"/>
  <c r="E7" i="76"/>
  <c r="B8" i="76"/>
  <c r="E12" i="76"/>
  <c r="C76" i="9" l="1"/>
  <c r="I107" i="40" l="1"/>
  <c r="K6" i="4" l="1"/>
  <c r="B22" i="31" l="1"/>
  <c r="N56" i="9" l="1"/>
  <c r="M56" i="9"/>
  <c r="K56" i="9"/>
  <c r="E18" i="74" l="1"/>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3" i="73"/>
  <c r="D6" i="73"/>
  <c r="F5" i="73"/>
  <c r="F3" i="73"/>
  <c r="F4" i="73"/>
  <c r="D5" i="73"/>
  <c r="I1" i="73" l="1"/>
  <c r="B39" i="1" s="1"/>
  <c r="D4" i="73"/>
  <c r="D7" i="73"/>
  <c r="F11" i="79" l="1"/>
  <c r="M11" i="79"/>
  <c r="F11" i="78"/>
  <c r="M11" i="78"/>
  <c r="F11" i="77"/>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J26" i="77"/>
  <c r="J24" i="77"/>
  <c r="J18" i="77"/>
  <c r="C53" i="77"/>
  <c r="C48" i="77" s="1"/>
  <c r="C10" i="77"/>
  <c r="C5" i="77" s="1"/>
  <c r="AA10" i="43"/>
  <c r="AC10" i="43"/>
  <c r="AE10" i="43"/>
  <c r="AG10" i="43"/>
  <c r="AI10" i="43"/>
  <c r="Z10" i="43"/>
  <c r="AB10" i="43"/>
  <c r="AD10" i="43"/>
  <c r="AF10" i="43"/>
  <c r="AH10" i="43"/>
  <c r="AJ10" i="43"/>
  <c r="C38" i="77" l="1"/>
  <c r="C32" i="77"/>
  <c r="C66" i="77"/>
  <c r="C60"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10" i="1"/>
  <c r="AO12"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I23" i="66"/>
  <c r="D20" i="66"/>
  <c r="I19" i="66"/>
  <c r="I18" i="66"/>
  <c r="I17" i="66"/>
  <c r="I20" i="66" s="1"/>
  <c r="E15" i="66"/>
  <c r="I14" i="66"/>
  <c r="I13" i="66"/>
  <c r="I12" i="66"/>
  <c r="I15" i="66"/>
  <c r="I9" i="66"/>
  <c r="I8" i="66"/>
  <c r="I7" i="66"/>
  <c r="I6" i="66"/>
  <c r="I5" i="66"/>
  <c r="I4" i="66"/>
  <c r="I3" i="66"/>
  <c r="I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O8" i="1"/>
  <c r="P8" i="1" s="1"/>
  <c r="E22" i="6"/>
  <c r="M18" i="83" s="1"/>
  <c r="B118" i="83"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8" i="6" s="1"/>
  <c r="F27" i="6" s="1"/>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F43" i="79"/>
  <c r="F7" i="79"/>
  <c r="AE9" i="1"/>
  <c r="F43" i="77"/>
  <c r="M29" i="77"/>
  <c r="M29" i="79"/>
  <c r="F41" i="77"/>
  <c r="AA29" i="35" l="1"/>
  <c r="AC14" i="35"/>
  <c r="S14" i="35"/>
  <c r="U8" i="33"/>
  <c r="S8" i="33"/>
  <c r="D3" i="35"/>
  <c r="F71" i="77"/>
  <c r="F50" i="79"/>
  <c r="C49" i="79" s="1"/>
  <c r="C48" i="79" s="1"/>
  <c r="C6" i="79"/>
  <c r="M7" i="79"/>
  <c r="C10" i="79"/>
  <c r="C5" i="79" s="1"/>
  <c r="F71" i="79"/>
  <c r="M9" i="1"/>
  <c r="K8" i="1"/>
  <c r="M18" i="82"/>
  <c r="B118" i="82" s="1"/>
  <c r="M10" i="1"/>
  <c r="I21" i="66"/>
  <c r="C29" i="66" s="1"/>
  <c r="C28" i="66"/>
  <c r="C27" i="66" s="1"/>
  <c r="G20" i="43"/>
  <c r="U8" i="35"/>
  <c r="F69" i="77"/>
  <c r="J29" i="77"/>
  <c r="H87" i="43"/>
  <c r="H86" i="43"/>
  <c r="H74" i="43"/>
  <c r="H48" i="43"/>
  <c r="H50" i="43"/>
  <c r="H75" i="43"/>
  <c r="G14" i="3"/>
  <c r="BL15" i="3"/>
  <c r="AZ15" i="3" s="1"/>
  <c r="G28" i="6"/>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F103" i="43"/>
  <c r="F105" i="43"/>
  <c r="J106" i="43"/>
  <c r="N107" i="43"/>
  <c r="E56" i="40"/>
  <c r="AR12" i="1"/>
  <c r="AQ12" i="1"/>
  <c r="T12" i="1"/>
  <c r="AR10" i="1"/>
  <c r="T10"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C24"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9" i="78"/>
  <c r="M9" i="67"/>
  <c r="F6" i="15"/>
  <c r="F36" i="67"/>
  <c r="F7" i="15"/>
  <c r="F8" i="15"/>
  <c r="L47" i="15"/>
  <c r="F37" i="67"/>
  <c r="M24" i="15"/>
  <c r="M8" i="67"/>
  <c r="F36" i="15"/>
  <c r="F38" i="15"/>
  <c r="M23" i="15"/>
  <c r="F40" i="15"/>
  <c r="F37" i="15"/>
  <c r="C16" i="79"/>
  <c r="J15" i="15"/>
  <c r="J15" i="67"/>
  <c r="F26" i="15"/>
  <c r="F7" i="67"/>
  <c r="C76" i="67"/>
  <c r="L48" i="67"/>
  <c r="F43" i="78"/>
  <c r="F13" i="15"/>
  <c r="F16" i="67"/>
  <c r="M24" i="67"/>
  <c r="G1" i="73"/>
  <c r="M26" i="15"/>
  <c r="F26" i="67"/>
  <c r="L47" i="67"/>
  <c r="M29" i="15"/>
  <c r="C17" i="79"/>
  <c r="M22" i="15"/>
  <c r="F43" i="67"/>
  <c r="F13" i="67"/>
  <c r="C76" i="15"/>
  <c r="F42" i="67"/>
  <c r="M6" i="15"/>
  <c r="F7" i="78"/>
  <c r="M26" i="67"/>
  <c r="F9" i="67"/>
  <c r="F16" i="15"/>
  <c r="F6" i="67"/>
  <c r="F38" i="67"/>
  <c r="M28" i="67"/>
  <c r="C16" i="77"/>
  <c r="M29" i="67"/>
  <c r="M8" i="15"/>
  <c r="M23" i="67"/>
  <c r="M22" i="67"/>
  <c r="M28" i="15"/>
  <c r="F9" i="15"/>
  <c r="F40" i="67"/>
  <c r="C14" i="79"/>
  <c r="F43" i="15"/>
  <c r="L48" i="15"/>
  <c r="M9" i="15"/>
  <c r="M6" i="67"/>
  <c r="F42" i="15"/>
  <c r="F8" i="67"/>
  <c r="C15" i="79" l="1"/>
  <c r="C18" i="79"/>
  <c r="C6" i="78"/>
  <c r="M7" i="78"/>
  <c r="F50" i="78"/>
  <c r="C49" i="78" s="1"/>
  <c r="C48" i="78" s="1"/>
  <c r="C10" i="78"/>
  <c r="F71" i="78"/>
  <c r="AQ10" i="1"/>
  <c r="O10" i="1"/>
  <c r="J6" i="79"/>
  <c r="J10" i="79"/>
  <c r="C66" i="79"/>
  <c r="C60" i="79"/>
  <c r="M8" i="1"/>
  <c r="O9" i="1"/>
  <c r="P9" i="1" s="1"/>
  <c r="C38" i="79"/>
  <c r="C32" i="79"/>
  <c r="C32" i="66"/>
  <c r="C31" i="66"/>
  <c r="G109" i="43"/>
  <c r="K109" i="43"/>
  <c r="J109" i="43"/>
  <c r="N104" i="43"/>
  <c r="K106" i="43"/>
  <c r="G103" i="43"/>
  <c r="K104" i="43"/>
  <c r="K107" i="43"/>
  <c r="J103" i="43"/>
  <c r="N106" i="43"/>
  <c r="N103" i="43"/>
  <c r="D22" i="43"/>
  <c r="E4" i="4"/>
  <c r="K4" i="4" s="1"/>
  <c r="B46" i="48" s="1"/>
  <c r="B4" i="7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K20" i="6"/>
  <c r="S7" i="1"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s="1"/>
  <c r="B40" i="1"/>
  <c r="F22" i="86"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M17" i="67"/>
  <c r="M17" i="15"/>
  <c r="F31" i="67"/>
  <c r="F31" i="15"/>
  <c r="F59" i="67"/>
  <c r="F59" i="15"/>
  <c r="C16" i="78"/>
  <c r="D9" i="68"/>
  <c r="C16" i="67"/>
  <c r="C16" i="15"/>
  <c r="C17" i="15"/>
  <c r="C17" i="78"/>
  <c r="D10" i="80"/>
  <c r="C26" i="86" l="1"/>
  <c r="D22" i="86" s="1"/>
  <c r="C44" i="86"/>
  <c r="D41" i="86" s="1"/>
  <c r="C42" i="86"/>
  <c r="C24" i="86"/>
  <c r="C43" i="86"/>
  <c r="C19" i="79"/>
  <c r="C20" i="79" s="1"/>
  <c r="C26" i="79" s="1"/>
  <c r="J5" i="79"/>
  <c r="J26" i="79" s="1"/>
  <c r="C10" i="80"/>
  <c r="C8" i="80" s="1"/>
  <c r="C5" i="80" s="1"/>
  <c r="D19" i="80"/>
  <c r="E7" i="70"/>
  <c r="O6" i="1"/>
  <c r="P6" i="1" s="1"/>
  <c r="C66" i="78"/>
  <c r="C60" i="78"/>
  <c r="O7" i="1"/>
  <c r="AQ6" i="1"/>
  <c r="C5" i="78"/>
  <c r="J6" i="78"/>
  <c r="J10" i="78"/>
  <c r="F24" i="79"/>
  <c r="C24" i="79" s="1"/>
  <c r="F22" i="80"/>
  <c r="E26" i="66"/>
  <c r="F24" i="77"/>
  <c r="F24" i="78"/>
  <c r="C9" i="68"/>
  <c r="C23" i="43"/>
  <c r="C21" i="43" s="1"/>
  <c r="S3" i="43"/>
  <c r="S5" i="43"/>
  <c r="T5" i="43" s="1"/>
  <c r="V5" i="43" s="1"/>
  <c r="S7" i="43"/>
  <c r="S4" i="43"/>
  <c r="T4" i="43" s="1"/>
  <c r="V4" i="43" s="1"/>
  <c r="S6" i="43"/>
  <c r="S2" i="43"/>
  <c r="C24" i="77"/>
  <c r="C30" i="69"/>
  <c r="C48" i="68"/>
  <c r="B5" i="62"/>
  <c r="B73" i="72" s="1"/>
  <c r="M22" i="6"/>
  <c r="I22" i="6" s="1"/>
  <c r="S9" i="1"/>
  <c r="M21" i="6"/>
  <c r="I21" i="6" s="1"/>
  <c r="S8" i="1"/>
  <c r="E8" i="70" s="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81" s="1"/>
  <c r="M27" i="6"/>
  <c r="H10" i="39"/>
  <c r="J10" i="39"/>
  <c r="C49" i="15"/>
  <c r="Q60" i="15"/>
  <c r="M16" i="1"/>
  <c r="N16" i="1" s="1"/>
  <c r="F50" i="80" s="1"/>
  <c r="Q60" i="67"/>
  <c r="Q73" i="67"/>
  <c r="F27" i="11"/>
  <c r="Q61" i="67"/>
  <c r="Q74" i="67"/>
  <c r="C49" i="67"/>
  <c r="F1" i="67"/>
  <c r="Q52" i="67"/>
  <c r="C14" i="78"/>
  <c r="C34" i="80"/>
  <c r="F27" i="68"/>
  <c r="C17" i="77"/>
  <c r="C41" i="86" l="1"/>
  <c r="C49" i="86" s="1"/>
  <c r="C51" i="86" s="1"/>
  <c r="J24" i="79"/>
  <c r="J18" i="79"/>
  <c r="C15" i="78"/>
  <c r="C18" i="78"/>
  <c r="C35" i="80"/>
  <c r="C38" i="80"/>
  <c r="S21" i="6"/>
  <c r="L18" i="82"/>
  <c r="S22" i="6"/>
  <c r="L18" i="83"/>
  <c r="J5" i="78"/>
  <c r="C38" i="78"/>
  <c r="C32" i="78"/>
  <c r="D37" i="80"/>
  <c r="C37" i="80" s="1"/>
  <c r="C19" i="80"/>
  <c r="C20" i="80" s="1"/>
  <c r="C28" i="80" s="1"/>
  <c r="C27" i="80" s="1"/>
  <c r="E9" i="70"/>
  <c r="C23" i="79"/>
  <c r="C29" i="79" s="1"/>
  <c r="C23" i="80"/>
  <c r="C26" i="80"/>
  <c r="D22" i="80" s="1"/>
  <c r="C44" i="80"/>
  <c r="D41" i="80" s="1"/>
  <c r="C24" i="80"/>
  <c r="C24" i="78"/>
  <c r="C29" i="68"/>
  <c r="D27" i="68" s="1"/>
  <c r="AR8" i="1"/>
  <c r="T8" i="1"/>
  <c r="AQ8" i="1"/>
  <c r="AR9" i="1"/>
  <c r="T9" i="1"/>
  <c r="AQ9"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D25" i="6"/>
  <c r="D26" i="6"/>
  <c r="D15" i="6"/>
  <c r="C18" i="4"/>
  <c r="D22" i="6"/>
  <c r="D8" i="6"/>
  <c r="D21" i="6"/>
  <c r="D23" i="6"/>
  <c r="D24" i="6"/>
  <c r="D14" i="6"/>
  <c r="D20" i="6"/>
  <c r="M19" i="9" s="1"/>
  <c r="C118" i="9" s="1"/>
  <c r="C14" i="74" s="1"/>
  <c r="B2" i="74"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C6" i="86" s="1"/>
  <c r="C7" i="86" s="1"/>
  <c r="C5" i="86" s="1"/>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7"/>
  <c r="D10" i="68"/>
  <c r="C36" i="68"/>
  <c r="C23" i="86" l="1"/>
  <c r="C20" i="86"/>
  <c r="C25" i="86" s="1"/>
  <c r="C19" i="78"/>
  <c r="C20" i="78" s="1"/>
  <c r="C26" i="78" s="1"/>
  <c r="C15" i="77"/>
  <c r="C18" i="77"/>
  <c r="L19" i="81"/>
  <c r="M19" i="81"/>
  <c r="C118" i="81" s="1"/>
  <c r="C25" i="80"/>
  <c r="C22" i="80" s="1"/>
  <c r="C31" i="80" s="1"/>
  <c r="C33" i="80"/>
  <c r="M19" i="82"/>
  <c r="C118" i="82" s="1"/>
  <c r="L19" i="82"/>
  <c r="L19" i="83"/>
  <c r="M19" i="83"/>
  <c r="C118" i="83" s="1"/>
  <c r="J24" i="78"/>
  <c r="J26" i="78"/>
  <c r="J18" i="78"/>
  <c r="C57" i="79"/>
  <c r="C36" i="79"/>
  <c r="J19" i="79"/>
  <c r="J14" i="79"/>
  <c r="C13" i="79"/>
  <c r="Q49" i="79"/>
  <c r="C33" i="79"/>
  <c r="C7" i="68"/>
  <c r="J59" i="77"/>
  <c r="J60" i="77"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C34" i="68"/>
  <c r="M21" i="77"/>
  <c r="F35" i="79"/>
  <c r="M21" i="79"/>
  <c r="F35" i="77"/>
  <c r="C5" i="68" l="1"/>
  <c r="C23" i="68" s="1"/>
  <c r="C28" i="86"/>
  <c r="C27" i="86" s="1"/>
  <c r="C22" i="86"/>
  <c r="F63" i="79"/>
  <c r="C62" i="79" s="1"/>
  <c r="C34" i="79"/>
  <c r="C31" i="79" s="1"/>
  <c r="J20" i="79"/>
  <c r="J17" i="79" s="1"/>
  <c r="C19" i="77"/>
  <c r="C23" i="78"/>
  <c r="C29" i="78" s="1"/>
  <c r="C33" i="78" s="1"/>
  <c r="C39" i="80"/>
  <c r="C43" i="80" s="1"/>
  <c r="C42" i="80"/>
  <c r="C20" i="77"/>
  <c r="C26" i="77" s="1"/>
  <c r="J13" i="79"/>
  <c r="J23" i="79" s="1"/>
  <c r="J22" i="79"/>
  <c r="C75" i="79"/>
  <c r="Q70" i="79"/>
  <c r="C37" i="79"/>
  <c r="C56" i="79"/>
  <c r="C65" i="79" s="1"/>
  <c r="C64" i="79"/>
  <c r="C61" i="79"/>
  <c r="C34" i="77"/>
  <c r="F63" i="77"/>
  <c r="C62" i="77" s="1"/>
  <c r="J20" i="77"/>
  <c r="Q48"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M21" i="15"/>
  <c r="M21" i="78"/>
  <c r="F35" i="78"/>
  <c r="F35" i="67"/>
  <c r="B6" i="76"/>
  <c r="C31" i="86" l="1"/>
  <c r="C52" i="86" s="1"/>
  <c r="C30" i="79"/>
  <c r="C39" i="79" s="1"/>
  <c r="Q69" i="79" s="1"/>
  <c r="Q68" i="79" s="1"/>
  <c r="C59" i="79"/>
  <c r="C13" i="78"/>
  <c r="C75" i="78" s="1"/>
  <c r="J14" i="78"/>
  <c r="J13" i="78" s="1"/>
  <c r="J23" i="78" s="1"/>
  <c r="J19" i="78"/>
  <c r="Q49" i="78"/>
  <c r="C23" i="77"/>
  <c r="C29" i="77" s="1"/>
  <c r="C57" i="77" s="1"/>
  <c r="C36" i="78"/>
  <c r="C57" i="78"/>
  <c r="C41" i="80"/>
  <c r="C46" i="80"/>
  <c r="C45" i="80" s="1"/>
  <c r="F63" i="78"/>
  <c r="C62" i="78" s="1"/>
  <c r="C34" i="78"/>
  <c r="C31" i="78" s="1"/>
  <c r="J20" i="78"/>
  <c r="Q70" i="78"/>
  <c r="C58" i="79"/>
  <c r="C67" i="79" s="1"/>
  <c r="J16" i="79"/>
  <c r="J25" i="79"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L51" i="79"/>
  <c r="B2" i="86" l="1"/>
  <c r="C57" i="86"/>
  <c r="C56" i="86" s="1"/>
  <c r="C80" i="79"/>
  <c r="C79" i="79" s="1"/>
  <c r="C37" i="78"/>
  <c r="C30" i="78" s="1"/>
  <c r="C39" i="78" s="1"/>
  <c r="C80" i="78" s="1"/>
  <c r="C79" i="78" s="1"/>
  <c r="C56" i="78"/>
  <c r="C65" i="78" s="1"/>
  <c r="J17" i="78"/>
  <c r="J22" i="78"/>
  <c r="C49" i="80"/>
  <c r="C51" i="80" s="1"/>
  <c r="C52" i="80" s="1"/>
  <c r="B2" i="80" s="1"/>
  <c r="C33" i="77"/>
  <c r="C31" i="77" s="1"/>
  <c r="J14" i="77"/>
  <c r="J13" i="77" s="1"/>
  <c r="J23" i="77" s="1"/>
  <c r="J19" i="77"/>
  <c r="J17" i="77" s="1"/>
  <c r="C64" i="78"/>
  <c r="C61" i="78"/>
  <c r="C59" i="78" s="1"/>
  <c r="Q49" i="77"/>
  <c r="C36" i="77"/>
  <c r="C13" i="77"/>
  <c r="C37" i="77" s="1"/>
  <c r="C61" i="77"/>
  <c r="C59" i="77" s="1"/>
  <c r="C64" i="77"/>
  <c r="Q67" i="79"/>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B3" i="80"/>
  <c r="B3" i="86"/>
  <c r="L51" i="78"/>
  <c r="J16" i="78" l="1"/>
  <c r="J25" i="78" s="1"/>
  <c r="Q70" i="77"/>
  <c r="C75" i="77"/>
  <c r="J22" i="77"/>
  <c r="C30" i="77"/>
  <c r="C39" i="77" s="1"/>
  <c r="Q69" i="77" s="1"/>
  <c r="Q69" i="78"/>
  <c r="Q68" i="78" s="1"/>
  <c r="C56" i="77"/>
  <c r="C65" i="77" s="1"/>
  <c r="C58" i="77" s="1"/>
  <c r="C67" i="77" s="1"/>
  <c r="C68" i="77" s="1"/>
  <c r="C71" i="77" s="1"/>
  <c r="C58" i="78"/>
  <c r="C67" i="78" s="1"/>
  <c r="C57" i="80"/>
  <c r="C56" i="80" s="1"/>
  <c r="J16" i="77"/>
  <c r="J25" i="77" s="1"/>
  <c r="C40" i="77"/>
  <c r="B2" i="77" s="1"/>
  <c r="B3" i="77" s="1"/>
  <c r="Q67" i="78"/>
  <c r="Q66" i="77"/>
  <c r="Q57" i="77"/>
  <c r="C41" i="68"/>
  <c r="C46" i="68"/>
  <c r="C45" i="68" s="1"/>
  <c r="K63" i="40"/>
  <c r="J65" i="40"/>
  <c r="K70" i="39"/>
  <c r="C56" i="11"/>
  <c r="C57" i="11" s="1"/>
  <c r="AO9" i="1"/>
  <c r="D20" i="83"/>
  <c r="D19" i="83"/>
  <c r="C80" i="77" l="1"/>
  <c r="C79" i="77" s="1"/>
  <c r="Q68" i="77"/>
  <c r="D21" i="83"/>
  <c r="D102" i="83"/>
  <c r="B9" i="70"/>
  <c r="Q65" i="77"/>
  <c r="Q75" i="77" s="1"/>
  <c r="C43" i="77"/>
  <c r="Q47" i="77"/>
  <c r="Q53" i="77" s="1"/>
  <c r="Q56" i="77"/>
  <c r="Q62" i="77" s="1"/>
  <c r="C83" i="77"/>
  <c r="C82" i="77" s="1"/>
  <c r="C46" i="77"/>
  <c r="D103" i="83"/>
  <c r="C49" i="68"/>
  <c r="C51" i="68" s="1"/>
  <c r="C52" i="68" s="1"/>
  <c r="C57" i="68" s="1"/>
  <c r="C56" i="68" s="1"/>
  <c r="L63" i="40"/>
  <c r="K65" i="40"/>
  <c r="L70" i="39"/>
  <c r="E2" i="70"/>
  <c r="C34" i="69"/>
  <c r="L51" i="77"/>
  <c r="C17" i="6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l="1"/>
  <c r="J60" i="15" s="1"/>
  <c r="Q48" i="15" s="1"/>
  <c r="J19" i="15"/>
  <c r="J17" i="15" s="1"/>
  <c r="Q49" i="15"/>
  <c r="C57" i="15"/>
  <c r="C61" i="15" s="1"/>
  <c r="C33" i="15"/>
  <c r="C31" i="15" s="1"/>
  <c r="C13" i="15"/>
  <c r="C36" i="15"/>
  <c r="J14" i="15"/>
  <c r="J22" i="15" s="1"/>
  <c r="E17" i="87" l="1"/>
  <c r="C37" i="15"/>
  <c r="C30" i="15" s="1"/>
  <c r="C39" i="15" s="1"/>
  <c r="Q69" i="15" s="1"/>
  <c r="C56" i="15"/>
  <c r="C48" i="15" s="1"/>
  <c r="C64" i="15"/>
  <c r="Q70" i="15"/>
  <c r="C75" i="15"/>
  <c r="J13" i="15"/>
  <c r="J23" i="15" s="1"/>
  <c r="J16" i="15" s="1"/>
  <c r="J25" i="15" s="1"/>
  <c r="AE8" i="1"/>
  <c r="AE6" i="1"/>
  <c r="E18" i="87" l="1"/>
  <c r="E23" i="87"/>
  <c r="E24" i="87" s="1"/>
  <c r="C66" i="15"/>
  <c r="C60" i="15"/>
  <c r="C59" i="15" s="1"/>
  <c r="AG6" i="1"/>
  <c r="C80" i="15"/>
  <c r="C79" i="15" s="1"/>
  <c r="C65" i="15"/>
  <c r="Q68" i="15"/>
  <c r="L57" i="15"/>
  <c r="L60" i="15" s="1"/>
  <c r="F41" i="79"/>
  <c r="M27" i="67"/>
  <c r="M27" i="15"/>
  <c r="F41" i="15"/>
  <c r="F41" i="78"/>
  <c r="F41" i="67"/>
  <c r="L51" i="15"/>
  <c r="Q67" i="15" l="1"/>
  <c r="J29" i="79"/>
  <c r="F69" i="79"/>
  <c r="C68" i="79" s="1"/>
  <c r="C40" i="79"/>
  <c r="Q47" i="79" s="1"/>
  <c r="Q53" i="79" s="1"/>
  <c r="J29" i="78"/>
  <c r="C40" i="78"/>
  <c r="C83" i="78" s="1"/>
  <c r="C82" i="78" s="1"/>
  <c r="F69" i="78"/>
  <c r="C68" i="78" s="1"/>
  <c r="J26" i="15"/>
  <c r="J29" i="15" s="1"/>
  <c r="J26" i="67"/>
  <c r="J29" i="67" s="1"/>
  <c r="C58" i="15"/>
  <c r="C67" i="15" s="1"/>
  <c r="F69" i="15"/>
  <c r="C40" i="15"/>
  <c r="C43" i="15" s="1"/>
  <c r="L46" i="15"/>
  <c r="Q57" i="15"/>
  <c r="Q66" i="15"/>
  <c r="F69" i="67"/>
  <c r="C68" i="67" s="1"/>
  <c r="C71" i="67" s="1"/>
  <c r="C40" i="67"/>
  <c r="C83" i="67" s="1"/>
  <c r="C82" i="67" s="1"/>
  <c r="C83" i="79" l="1"/>
  <c r="C82" i="79" s="1"/>
  <c r="Q65" i="79"/>
  <c r="Q75" i="79" s="1"/>
  <c r="B2" i="79"/>
  <c r="B3" i="79" s="1"/>
  <c r="Q56" i="79"/>
  <c r="Q62" i="79" s="1"/>
  <c r="C43" i="79"/>
  <c r="C46" i="79"/>
  <c r="C71" i="79"/>
  <c r="Q56" i="78"/>
  <c r="Q62" i="78" s="1"/>
  <c r="Q47" i="78"/>
  <c r="Q53" i="78" s="1"/>
  <c r="C43" i="78"/>
  <c r="C46" i="78"/>
  <c r="B2" i="78"/>
  <c r="B3" i="78" s="1"/>
  <c r="Q65" i="78"/>
  <c r="Q75" i="78" s="1"/>
  <c r="C71" i="78"/>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D19" i="82"/>
  <c r="E2" i="69"/>
  <c r="AO6" i="1"/>
  <c r="D20" i="82"/>
  <c r="AO8" i="1"/>
  <c r="D20" i="81"/>
  <c r="D19" i="81"/>
  <c r="AO7" i="1"/>
  <c r="D102" i="82" l="1"/>
  <c r="D21" i="82"/>
  <c r="D103" i="82"/>
  <c r="D102" i="81"/>
  <c r="D21" i="81"/>
  <c r="D103" i="81"/>
  <c r="B8" i="70"/>
  <c r="B7" i="70"/>
  <c r="B6" i="70"/>
  <c r="C46" i="15"/>
  <c r="B2" i="69"/>
  <c r="B3" i="69" s="1"/>
  <c r="B2" i="68"/>
  <c r="B3" i="67"/>
  <c r="D2" i="35"/>
  <c r="C19" i="81"/>
  <c r="D2" i="33"/>
  <c r="D2" i="36"/>
  <c r="E2" i="68"/>
  <c r="D2" i="21"/>
  <c r="F20" i="31"/>
  <c r="C19" i="9"/>
  <c r="D2" i="37"/>
  <c r="D2" i="34"/>
  <c r="C21" i="81" l="1"/>
  <c r="D22" i="81"/>
  <c r="C102" i="81"/>
  <c r="G19" i="81"/>
  <c r="D15" i="74" s="1"/>
  <c r="B20" i="31"/>
  <c r="B2" i="36"/>
  <c r="B3" i="36" s="1"/>
  <c r="B2" i="35"/>
  <c r="B2" i="37"/>
  <c r="B3" i="37" s="1"/>
  <c r="B2" i="34"/>
  <c r="B3" i="34" s="1"/>
  <c r="B2" i="21"/>
  <c r="B3" i="21" s="1"/>
  <c r="B2" i="70"/>
  <c r="B3" i="70" s="1"/>
  <c r="C102" i="9"/>
  <c r="C21" i="9"/>
  <c r="B3" i="68"/>
  <c r="C19" i="83"/>
  <c r="D19" i="9"/>
  <c r="D20" i="9"/>
  <c r="C20" i="9"/>
  <c r="G15" i="74" l="1"/>
  <c r="C4" i="87"/>
  <c r="E15" i="74"/>
  <c r="F15" i="74"/>
  <c r="C102" i="83"/>
  <c r="C21" i="83"/>
  <c r="D22" i="83"/>
  <c r="G19" i="83"/>
  <c r="B3" i="35"/>
  <c r="G21" i="81"/>
  <c r="C32" i="81"/>
  <c r="G19" i="9"/>
  <c r="D102" i="9"/>
  <c r="D22" i="9"/>
  <c r="D21" i="9"/>
  <c r="C103" i="9"/>
  <c r="D103" i="9"/>
  <c r="G20" i="9"/>
  <c r="C20" i="83"/>
  <c r="C20" i="81"/>
  <c r="D16" i="74" l="1"/>
  <c r="C103" i="83"/>
  <c r="G20" i="83"/>
  <c r="C32" i="83"/>
  <c r="G21" i="83"/>
  <c r="G20" i="81"/>
  <c r="C103" i="81"/>
  <c r="H118" i="81"/>
  <c r="C35" i="81"/>
  <c r="F118" i="81" s="1"/>
  <c r="C32" i="9"/>
  <c r="G21" i="9"/>
  <c r="D34" i="9"/>
  <c r="G16" i="74" l="1"/>
  <c r="C5" i="87"/>
  <c r="H118" i="83"/>
  <c r="C35" i="83"/>
  <c r="F118" i="83" s="1"/>
  <c r="F119" i="81"/>
  <c r="G118" i="81"/>
  <c r="C34" i="81"/>
  <c r="D118" i="81" s="1"/>
  <c r="D119" i="81" s="1"/>
  <c r="I118" i="81"/>
  <c r="H119" i="81"/>
  <c r="C104" i="81"/>
  <c r="H101" i="81"/>
  <c r="H109" i="9"/>
  <c r="F119" i="83" l="1"/>
  <c r="G118" i="83"/>
  <c r="C34" i="83"/>
  <c r="D118" i="83" s="1"/>
  <c r="D119" i="83" s="1"/>
  <c r="H101" i="83"/>
  <c r="H119" i="83"/>
  <c r="C104" i="83"/>
  <c r="I118" i="83"/>
  <c r="C105" i="81"/>
  <c r="E118" i="81"/>
  <c r="H102" i="81"/>
  <c r="H107" i="81"/>
  <c r="D45" i="81"/>
  <c r="M48" i="81"/>
  <c r="H110" i="9"/>
  <c r="D18" i="53" s="1"/>
  <c r="B35" i="72" s="1"/>
  <c r="D124" i="9"/>
  <c r="D16" i="53"/>
  <c r="B34" i="72" s="1"/>
  <c r="H107" i="83" l="1"/>
  <c r="D45" i="83"/>
  <c r="M48" i="83"/>
  <c r="E118" i="83"/>
  <c r="C105" i="83"/>
  <c r="H102" i="83"/>
  <c r="D122" i="81"/>
  <c r="D123" i="81" s="1"/>
  <c r="M49" i="81"/>
  <c r="H108" i="81"/>
  <c r="C78" i="81"/>
  <c r="C73" i="81" s="1"/>
  <c r="C85" i="81"/>
  <c r="C64" i="81"/>
  <c r="C63" i="81" s="1"/>
  <c r="C67" i="81" s="1"/>
  <c r="C68" i="81" s="1"/>
  <c r="D54" i="81" s="1"/>
  <c r="D53" i="81"/>
  <c r="C93" i="81"/>
  <c r="C86" i="81" s="1"/>
  <c r="C72" i="81"/>
  <c r="D55" i="81"/>
  <c r="M53" i="81" s="1"/>
  <c r="D52" i="81"/>
  <c r="D10" i="52"/>
  <c r="H14" i="74"/>
  <c r="D17" i="53"/>
  <c r="B36" i="72" s="1"/>
  <c r="D125" i="9"/>
  <c r="D11" i="52" s="1"/>
  <c r="C78" i="83" l="1"/>
  <c r="C73" i="83" s="1"/>
  <c r="C72" i="83"/>
  <c r="D52" i="83"/>
  <c r="C64" i="83"/>
  <c r="C63" i="83" s="1"/>
  <c r="C67" i="83" s="1"/>
  <c r="C68" i="83" s="1"/>
  <c r="D54" i="83" s="1"/>
  <c r="C93" i="83"/>
  <c r="C86" i="83" s="1"/>
  <c r="D55" i="83"/>
  <c r="M53" i="83" s="1"/>
  <c r="C85" i="83"/>
  <c r="D53" i="83"/>
  <c r="M49" i="83"/>
  <c r="D122" i="83"/>
  <c r="D123" i="83" s="1"/>
  <c r="H108" i="83"/>
  <c r="L65" i="81"/>
  <c r="M65" i="81" s="1"/>
  <c r="L68" i="81"/>
  <c r="M68" i="81" s="1"/>
  <c r="L63" i="81"/>
  <c r="M63" i="81" s="1"/>
  <c r="L67" i="81"/>
  <c r="M67" i="81" s="1"/>
  <c r="L66" i="81"/>
  <c r="M66" i="81" s="1"/>
  <c r="L64" i="81"/>
  <c r="M64" i="81" s="1"/>
  <c r="C79" i="81"/>
  <c r="C95" i="81"/>
  <c r="B7" i="74"/>
  <c r="D7" i="74" s="1"/>
  <c r="C95" i="83" l="1"/>
  <c r="C96" i="83" s="1"/>
  <c r="E96" i="83" s="1"/>
  <c r="E97" i="83" s="1"/>
  <c r="C79" i="83"/>
  <c r="L68" i="83"/>
  <c r="M68" i="83" s="1"/>
  <c r="L66" i="83"/>
  <c r="M66" i="83" s="1"/>
  <c r="L67" i="83"/>
  <c r="M67" i="83" s="1"/>
  <c r="L65" i="83"/>
  <c r="M65" i="83" s="1"/>
  <c r="L63" i="83"/>
  <c r="M63" i="83" s="1"/>
  <c r="L64" i="83"/>
  <c r="M64" i="83" s="1"/>
  <c r="C97" i="83"/>
  <c r="D58" i="83" s="1"/>
  <c r="D56" i="83" s="1"/>
  <c r="M54" i="83" s="1"/>
  <c r="N57" i="83" s="1"/>
  <c r="M69" i="81"/>
  <c r="N69" i="81" s="1"/>
  <c r="C80" i="81"/>
  <c r="E80" i="81" s="1"/>
  <c r="E81" i="81" s="1"/>
  <c r="C96" i="81"/>
  <c r="E96" i="81" s="1"/>
  <c r="E97" i="81" s="1"/>
  <c r="C7" i="74"/>
  <c r="M69" i="83" l="1"/>
  <c r="N69" i="83" s="1"/>
  <c r="C80" i="83"/>
  <c r="E80" i="83" s="1"/>
  <c r="E81" i="83" s="1"/>
  <c r="N58" i="83"/>
  <c r="P57" i="83"/>
  <c r="C81" i="81"/>
  <c r="N59" i="83"/>
  <c r="C97" i="81"/>
  <c r="D58" i="81" s="1"/>
  <c r="D56" i="81" s="1"/>
  <c r="M54" i="81" s="1"/>
  <c r="N57" i="81" s="1"/>
  <c r="N58" i="81" s="1"/>
  <c r="J7" i="33"/>
  <c r="W7" i="33" s="1"/>
  <c r="F7" i="33"/>
  <c r="S7" i="33" s="1"/>
  <c r="H7" i="33"/>
  <c r="AB7" i="33" s="1"/>
  <c r="T48" i="33" s="1"/>
  <c r="G48" i="33" s="1"/>
  <c r="C81" i="83" l="1"/>
  <c r="N61" i="83"/>
  <c r="N60" i="83"/>
  <c r="P57" i="81"/>
  <c r="N59" i="81"/>
  <c r="N60" i="81" s="1"/>
  <c r="G52" i="33"/>
  <c r="H52" i="33" s="1"/>
  <c r="AA7" i="33"/>
  <c r="R48" i="33" s="1"/>
  <c r="U7" i="33"/>
  <c r="AC7" i="33"/>
  <c r="V48" i="33" s="1"/>
  <c r="I48" i="33" s="1"/>
  <c r="N61" i="81" l="1"/>
  <c r="I52" i="33"/>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82"/>
  <c r="C102" i="82" l="1"/>
  <c r="G19" i="82"/>
  <c r="D17" i="74" s="1"/>
  <c r="C21" i="82"/>
  <c r="D22" i="82"/>
  <c r="B3" i="33"/>
  <c r="G52" i="39"/>
  <c r="H52" i="39" s="1"/>
  <c r="G51" i="39"/>
  <c r="H51" i="39" s="1"/>
  <c r="I51" i="39"/>
  <c r="J51" i="39" s="1"/>
  <c r="W7" i="39"/>
  <c r="U7" i="39"/>
  <c r="AA7" i="39"/>
  <c r="R47" i="39" s="1"/>
  <c r="C20" i="82"/>
  <c r="G17" i="74" l="1"/>
  <c r="C6" i="87"/>
  <c r="F17" i="74"/>
  <c r="E17" i="74"/>
  <c r="E16" i="74"/>
  <c r="F16" i="74"/>
  <c r="G20" i="82"/>
  <c r="C103" i="82"/>
  <c r="C32" i="82"/>
  <c r="G21" i="82"/>
  <c r="R48" i="39"/>
  <c r="E47" i="39"/>
  <c r="H118" i="82" l="1"/>
  <c r="C35" i="82"/>
  <c r="F118" i="82" s="1"/>
  <c r="C48" i="39"/>
  <c r="C47" i="39"/>
  <c r="E51" i="39"/>
  <c r="F51" i="39" s="1"/>
  <c r="E52" i="39"/>
  <c r="F52" i="39" s="1"/>
  <c r="I52" i="39"/>
  <c r="J52" i="39" s="1"/>
  <c r="F119" i="82" l="1"/>
  <c r="G118" i="82"/>
  <c r="C34" i="82"/>
  <c r="D118" i="82" s="1"/>
  <c r="D119" i="82" s="1"/>
  <c r="I118" i="82"/>
  <c r="H119" i="82"/>
  <c r="C104" i="82"/>
  <c r="H101" i="82"/>
  <c r="B61" i="39"/>
  <c r="F61" i="39" s="1"/>
  <c r="B60" i="39"/>
  <c r="F60" i="39" s="1"/>
  <c r="B56" i="39"/>
  <c r="F56" i="39" s="1"/>
  <c r="B58" i="39"/>
  <c r="F58" i="39" s="1"/>
  <c r="B59" i="39"/>
  <c r="F59" i="39" s="1"/>
  <c r="B64" i="39"/>
  <c r="F64" i="39" s="1"/>
  <c r="B65" i="39"/>
  <c r="F65" i="39" s="1"/>
  <c r="B57" i="39"/>
  <c r="F57" i="39" s="1"/>
  <c r="B63" i="39"/>
  <c r="F63" i="39" s="1"/>
  <c r="B62" i="39"/>
  <c r="F62" i="39" s="1"/>
  <c r="C105" i="82" l="1"/>
  <c r="E118" i="82"/>
  <c r="H102" i="82"/>
  <c r="H107" i="82"/>
  <c r="D45" i="82"/>
  <c r="M48" i="82"/>
  <c r="F66" i="39"/>
  <c r="B2" i="39" s="1"/>
  <c r="B3" i="39" s="1"/>
  <c r="D35" i="9"/>
  <c r="D122" i="82" l="1"/>
  <c r="D123" i="82" s="1"/>
  <c r="M49" i="82"/>
  <c r="H108" i="82"/>
  <c r="C78" i="82"/>
  <c r="C73" i="82" s="1"/>
  <c r="C93" i="82"/>
  <c r="C86" i="82" s="1"/>
  <c r="C72" i="82"/>
  <c r="D55" i="82"/>
  <c r="M53" i="82" s="1"/>
  <c r="D52" i="82"/>
  <c r="C85" i="82"/>
  <c r="C64" i="82"/>
  <c r="C63" i="82" s="1"/>
  <c r="C67" i="82" s="1"/>
  <c r="C68" i="82" s="1"/>
  <c r="D54" i="82" s="1"/>
  <c r="D53" i="82"/>
  <c r="C35" i="9"/>
  <c r="C95" i="82" l="1"/>
  <c r="C79" i="82"/>
  <c r="C80" i="82" s="1"/>
  <c r="E80" i="82" s="1"/>
  <c r="E81" i="82" s="1"/>
  <c r="L65" i="82"/>
  <c r="M65" i="82" s="1"/>
  <c r="L68" i="82"/>
  <c r="M68" i="82" s="1"/>
  <c r="L63" i="82"/>
  <c r="M63" i="82" s="1"/>
  <c r="L66" i="82"/>
  <c r="M66" i="82" s="1"/>
  <c r="L64" i="82"/>
  <c r="M64" i="82" s="1"/>
  <c r="L67" i="82"/>
  <c r="M67" i="82" s="1"/>
  <c r="C96" i="82"/>
  <c r="E96" i="82" s="1"/>
  <c r="E97" i="82" s="1"/>
  <c r="C34" i="9"/>
  <c r="C97" i="82" l="1"/>
  <c r="D58" i="82" s="1"/>
  <c r="D56" i="82" s="1"/>
  <c r="M54" i="82" s="1"/>
  <c r="N57" i="82" s="1"/>
  <c r="N58" i="82" s="1"/>
  <c r="M69" i="82"/>
  <c r="N69" i="82" s="1"/>
  <c r="C81" i="82"/>
  <c r="H112" i="9"/>
  <c r="D21" i="53" s="1"/>
  <c r="B39" i="72" s="1"/>
  <c r="H111" i="9"/>
  <c r="D126" i="9" s="1"/>
  <c r="D59" i="9"/>
  <c r="M55" i="9"/>
  <c r="P57" i="82" l="1"/>
  <c r="N59" i="82"/>
  <c r="N61" i="82" s="1"/>
  <c r="D19" i="53"/>
  <c r="B38" i="72"/>
  <c r="D20" i="53"/>
  <c r="B40" i="72" s="1"/>
  <c r="I14" i="74"/>
  <c r="B8" i="74" s="1"/>
  <c r="D127" i="9"/>
  <c r="D13" i="52" s="1"/>
  <c r="D12" i="52"/>
  <c r="F118" i="9"/>
  <c r="G118" i="9" s="1"/>
  <c r="G4" i="52" s="1"/>
  <c r="B52" i="72" s="1"/>
  <c r="D118" i="9"/>
  <c r="D119" i="9" s="1"/>
  <c r="D5" i="52" s="1"/>
  <c r="B49" i="72" s="1"/>
  <c r="H118" i="9"/>
  <c r="C104" i="9" s="1"/>
  <c r="N60" i="82" l="1"/>
  <c r="D8" i="74"/>
  <c r="C8" i="74"/>
  <c r="H101" i="9"/>
  <c r="M48" i="9" s="1"/>
  <c r="I118" i="9"/>
  <c r="C105" i="9" s="1"/>
  <c r="H119" i="9"/>
  <c r="H5" i="52" s="1"/>
  <c r="F4" i="52"/>
  <c r="B51" i="72" s="1"/>
  <c r="F119" i="9"/>
  <c r="F5" i="52" s="1"/>
  <c r="B53" i="72" s="1"/>
  <c r="D14" i="74"/>
  <c r="H4" i="52"/>
  <c r="D4" i="52"/>
  <c r="B47" i="72" s="1"/>
  <c r="H107" i="9"/>
  <c r="M49" i="9" s="1"/>
  <c r="C3" i="87" l="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C11" i="87" l="1"/>
  <c r="G3" i="87"/>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H3" i="87" l="1"/>
  <c r="G17" i="87"/>
  <c r="C17" i="87" s="1"/>
  <c r="H11" i="87"/>
  <c r="C95" i="9"/>
  <c r="C67" i="9"/>
  <c r="C68" i="9" s="1"/>
  <c r="D54" i="9" s="1"/>
  <c r="C79" i="9"/>
  <c r="D6" i="74"/>
  <c r="C6" i="74"/>
  <c r="C18" i="87" l="1"/>
  <c r="C23" i="87"/>
  <c r="C24" i="87" s="1"/>
  <c r="C96" i="9"/>
  <c r="E96" i="9" s="1"/>
  <c r="E97" i="9" s="1"/>
  <c r="C80" i="9"/>
  <c r="E80" i="9" s="1"/>
  <c r="E81" i="9" s="1"/>
  <c r="C97" i="9" l="1"/>
  <c r="D58" i="9" s="1"/>
  <c r="D56" i="9" s="1"/>
  <c r="M54" i="9" s="1"/>
  <c r="N57" i="9" s="1"/>
  <c r="P57" i="9" s="1"/>
  <c r="C81" i="9"/>
  <c r="N59" i="9" l="1"/>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番茄花园</author>
    <author>蔡艳清</author>
  </authors>
  <commentList>
    <comment ref="G4" authorId="0">
      <text>
        <r>
          <rPr>
            <sz val="9"/>
            <rFont val="宋体"/>
            <family val="3"/>
            <charset val="134"/>
          </rPr>
          <t>委托方提供租金合同</t>
        </r>
      </text>
    </comment>
    <comment ref="G8" authorId="0">
      <text>
        <r>
          <rPr>
            <sz val="9"/>
            <rFont val="宋体"/>
            <family val="3"/>
            <charset val="134"/>
          </rPr>
          <t>番茄花园:
每平米每月</t>
        </r>
      </text>
    </comment>
    <comment ref="D16" authorId="0">
      <text>
        <r>
          <rPr>
            <sz val="9"/>
            <rFont val="宋体"/>
            <family val="3"/>
            <charset val="134"/>
          </rPr>
          <t>包括日坛国际4129.9面积</t>
        </r>
      </text>
    </comment>
    <comment ref="F24" authorId="1">
      <text>
        <r>
          <rPr>
            <sz val="9"/>
            <rFont val="宋体"/>
            <family val="3"/>
            <charset val="134"/>
          </rPr>
          <t>建筑面积三项之和</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<sst xmlns="http://schemas.openxmlformats.org/spreadsheetml/2006/main" count="9925" uniqueCount="3192">
  <si>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</si>
  <si>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</si>
  <si>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</si>
  <si>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</si>
  <si>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</si>
  <si>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</si>
  <si>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</si>
  <si>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</si>
  <si>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</si>
  <si>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</si>
  <si>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</si>
  <si>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</si>
  <si>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</si>
  <si>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</si>
  <si>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</si>
  <si>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</si>
  <si>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</si>
  <si>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</si>
  <si>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</si>
  <si>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</si>
  <si>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</si>
  <si>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</si>
  <si>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</si>
  <si>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</si>
  <si>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</si>
  <si>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</si>
  <si>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</si>
  <si>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</si>
  <si>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</si>
  <si>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</si>
  <si>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</si>
  <si>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</si>
  <si>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</si>
  <si>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</si>
  <si>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</si>
  <si>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</si>
  <si>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</si>
  <si>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</si>
  <si>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</si>
  <si>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</si>
  <si>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</si>
  <si>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</si>
  <si>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</si>
  <si>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</si>
  <si>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</si>
  <si>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</si>
  <si>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</si>
  <si>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</si>
  <si>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</si>
  <si>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</si>
  <si>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</si>
  <si>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</si>
  <si>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</si>
  <si>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</si>
  <si>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</si>
  <si>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</si>
  <si>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</si>
  <si>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</si>
  <si>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</si>
  <si>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</si>
  <si>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</si>
  <si>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</si>
  <si>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</si>
  <si>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</si>
  <si>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</si>
  <si>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</si>
  <si>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</si>
  <si>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</si>
  <si>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</si>
  <si>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</si>
  <si>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</si>
  <si>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</si>
  <si>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</si>
  <si>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</si>
  <si>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</si>
  <si>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</si>
  <si>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</si>
  <si>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</si>
  <si>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</si>
  <si>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</si>
  <si>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</si>
  <si>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</si>
  <si>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</si>
  <si>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</si>
  <si>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</si>
  <si>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</si>
  <si>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</si>
  <si>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</si>
  <si>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</si>
  <si>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</si>
  <si>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</si>
  <si>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</si>
  <si>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</si>
  <si>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</si>
  <si>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</si>
  <si>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</si>
  <si>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</si>
  <si>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</si>
  <si>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</si>
  <si>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</si>
  <si>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</si>
  <si>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</si>
  <si>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</si>
  <si>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</si>
  <si>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</si>
  <si>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</si>
  <si>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</si>
  <si>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</si>
  <si>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</si>
  <si>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</si>
  <si>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</si>
  <si>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</si>
  <si>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</si>
  <si>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</si>
  <si>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</si>
  <si>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</si>
  <si>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</si>
  <si>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</si>
  <si>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</si>
  <si>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</si>
  <si>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</si>
  <si>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</si>
  <si>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</si>
  <si>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</si>
  <si>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</si>
  <si>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</si>
  <si>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</si>
  <si>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</si>
  <si>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</si>
  <si>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</si>
  <si>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</si>
  <si>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</si>
  <si>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</si>
  <si>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</si>
  <si>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</si>
  <si>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</si>
  <si>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</si>
  <si>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</si>
  <si>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</si>
  <si>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</si>
  <si>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</si>
  <si>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</si>
  <si>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</si>
  <si>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</si>
  <si>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</si>
  <si>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</si>
  <si>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</si>
  <si>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</si>
  <si>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</si>
  <si>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</si>
  <si>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</si>
  <si>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</si>
  <si>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</si>
  <si>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</si>
  <si>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</si>
  <si>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</si>
  <si>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</si>
  <si>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</si>
  <si>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</si>
  <si>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</si>
  <si>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</si>
  <si>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</si>
  <si>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</si>
  <si>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</si>
  <si>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</si>
  <si>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</si>
  <si>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</si>
  <si>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</si>
  <si>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</si>
  <si>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</si>
  <si>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</si>
  <si>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</si>
  <si>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</si>
  <si>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</si>
  <si>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</si>
  <si>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</si>
  <si>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</si>
  <si>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</si>
  <si>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</si>
  <si>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</si>
  <si>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</si>
  <si>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</si>
  <si>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</si>
  <si>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</si>
  <si>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</si>
  <si>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</si>
  <si>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</si>
  <si>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</si>
  <si>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</si>
  <si>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</si>
  <si>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</si>
  <si>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</si>
  <si>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</si>
  <si>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</si>
  <si>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</si>
  <si>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</si>
  <si>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</si>
  <si>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</si>
  <si>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</si>
  <si>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</si>
  <si>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</si>
  <si>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</si>
  <si>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</si>
  <si>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</si>
  <si>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</si>
  <si>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</si>
  <si>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</si>
  <si>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</si>
  <si>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</si>
  <si>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</si>
  <si>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</si>
  <si>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</si>
  <si>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</si>
  <si>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</si>
  <si>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</si>
  <si>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</si>
  <si>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</si>
  <si>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</si>
  <si>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</si>
  <si>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</si>
  <si>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</si>
  <si>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</si>
  <si>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</si>
  <si>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</si>
  <si>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</si>
  <si>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</si>
  <si>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</si>
  <si>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</si>
  <si>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</si>
  <si>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</si>
  <si>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</si>
  <si>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</si>
  <si>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</si>
  <si>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</si>
  <si>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</si>
  <si>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</si>
  <si>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</si>
  <si>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</si>
  <si>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</si>
  <si>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</si>
  <si>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</si>
  <si>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</si>
  <si>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</si>
  <si>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</si>
  <si>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</si>
  <si>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</si>
  <si>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</si>
  <si>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</si>
  <si>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</si>
  <si>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</si>
  <si>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</si>
  <si>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</si>
  <si>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</si>
  <si>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</si>
  <si>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</si>
  <si>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</si>
  <si>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</si>
  <si>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</si>
  <si>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</si>
  <si>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</si>
  <si>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</si>
  <si>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</si>
  <si>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</si>
  <si>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</si>
  <si>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</si>
  <si>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</si>
  <si>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</si>
  <si>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</si>
  <si>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</si>
  <si>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</si>
  <si>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</si>
  <si>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</si>
  <si>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</si>
  <si>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</si>
  <si>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</si>
  <si>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</si>
  <si>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</si>
  <si>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</si>
  <si>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</si>
  <si>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</si>
  <si>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</si>
  <si>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</si>
  <si>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</si>
  <si>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</si>
  <si>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</si>
  <si>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</si>
  <si>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</si>
  <si>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</si>
  <si>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</si>
  <si>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</si>
  <si>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</si>
  <si>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</si>
  <si>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</si>
  <si>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</si>
  <si>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</si>
  <si>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</si>
  <si>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</si>
  <si>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</si>
  <si>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</si>
  <si>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</si>
  <si>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</si>
  <si>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</si>
  <si>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</si>
  <si>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</si>
  <si>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</si>
  <si>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</si>
  <si>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</si>
  <si>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</si>
  <si>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</si>
  <si>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</si>
  <si>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</si>
  <si>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</si>
  <si>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</si>
  <si>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</si>
  <si>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</si>
  <si>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</si>
  <si>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</si>
  <si>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</si>
  <si>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</si>
  <si>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</si>
  <si>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</si>
  <si>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</si>
  <si>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</si>
  <si>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</si>
  <si>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</si>
  <si>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</si>
  <si>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</si>
  <si>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</si>
  <si>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</si>
  <si>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</si>
  <si>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</si>
  <si>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</si>
  <si>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</si>
  <si>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</si>
  <si>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</si>
  <si>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</si>
  <si>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</si>
  <si>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</si>
  <si>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</si>
  <si>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</si>
  <si>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</si>
  <si>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</si>
  <si>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</si>
  <si>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</si>
  <si>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</si>
  <si>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</si>
  <si>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</si>
  <si>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</si>
  <si>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</si>
  <si>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</si>
  <si>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</si>
  <si>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</si>
  <si>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</si>
  <si>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</si>
  <si>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</si>
  <si>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</si>
  <si>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</si>
  <si>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</si>
  <si>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</si>
  <si>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</si>
  <si>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</si>
  <si>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</si>
  <si>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</si>
  <si>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</si>
  <si>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</si>
  <si>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</si>
  <si>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</si>
  <si>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</si>
  <si>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</si>
  <si>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</si>
  <si>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</si>
  <si>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</si>
  <si>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</si>
  <si>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</si>
  <si>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</si>
  <si>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</si>
  <si>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</si>
  <si>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</si>
  <si>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</si>
  <si>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</si>
  <si>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</si>
  <si>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</si>
  <si>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</si>
  <si>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</si>
  <si>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</si>
  <si>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</si>
  <si>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</si>
  <si>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</si>
  <si>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</si>
  <si>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</si>
  <si>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</si>
  <si>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</si>
  <si>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</si>
  <si>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</si>
  <si>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</si>
  <si>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</si>
  <si>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</si>
  <si>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</si>
  <si>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</si>
  <si>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</si>
  <si>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</si>
  <si>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</si>
  <si>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</si>
  <si>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</si>
  <si>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</si>
  <si>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</si>
  <si>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</si>
  <si>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</si>
  <si>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</si>
  <si>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</si>
  <si>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</si>
  <si>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</si>
  <si>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</si>
  <si>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</si>
  <si>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</si>
  <si>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</si>
  <si>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</si>
  <si>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</si>
  <si>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</si>
  <si>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</si>
  <si>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</si>
  <si>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</si>
  <si>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</si>
  <si>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</si>
  <si>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</si>
  <si>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</si>
  <si>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</si>
  <si>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</si>
  <si>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</si>
  <si>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</si>
  <si>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</si>
  <si>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</si>
  <si>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</si>
  <si>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</si>
  <si>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</si>
  <si>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</si>
  <si>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</si>
  <si>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</si>
  <si>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</si>
  <si>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</si>
  <si>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</si>
  <si>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</si>
  <si>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</si>
  <si>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</si>
  <si>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</si>
  <si>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</si>
  <si>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</si>
  <si>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</si>
  <si>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</si>
  <si>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</si>
  <si>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</si>
  <si>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</si>
  <si>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</si>
  <si>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</si>
  <si>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</si>
  <si>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</si>
  <si>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</si>
  <si>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</si>
  <si>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</si>
  <si>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</si>
  <si>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</si>
  <si>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</si>
  <si>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</si>
  <si>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</si>
  <si>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</si>
  <si>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</si>
  <si>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</si>
  <si>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</si>
  <si>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</si>
  <si>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</si>
  <si>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</si>
  <si>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</si>
  <si>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</si>
  <si>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</si>
  <si>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</si>
  <si>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</si>
  <si>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</si>
  <si>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</si>
  <si>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</si>
  <si>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</si>
  <si>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</si>
  <si>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</si>
  <si>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</si>
  <si>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</si>
  <si>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</si>
  <si>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</si>
  <si>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</si>
  <si>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</si>
  <si>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</si>
  <si>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</si>
  <si>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</si>
  <si>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</si>
  <si>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</si>
  <si>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</si>
  <si>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</si>
  <si>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</si>
  <si>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</si>
  <si>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</si>
  <si>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</si>
  <si>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</si>
  <si>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</si>
  <si>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</si>
  <si>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</si>
  <si>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</si>
  <si>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</si>
  <si>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</si>
  <si>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</si>
  <si>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</si>
  <si>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</si>
  <si>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</si>
  <si>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</si>
  <si>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</si>
  <si>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</si>
  <si>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</si>
  <si>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</si>
  <si>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</si>
  <si>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</si>
  <si>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</si>
  <si>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</si>
  <si>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</si>
  <si>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</si>
  <si>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</si>
  <si>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</si>
  <si>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</si>
  <si>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</si>
  <si>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</si>
  <si>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</si>
  <si>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</si>
  <si>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</si>
  <si>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</si>
  <si>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</si>
  <si>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</si>
  <si>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</si>
  <si>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</si>
  <si>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</si>
  <si>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</si>
  <si>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</si>
  <si>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</si>
  <si>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</si>
  <si>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</si>
  <si>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</si>
  <si>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</si>
  <si>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</si>
  <si>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</si>
  <si>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</si>
  <si>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</si>
  <si>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</si>
  <si>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</si>
  <si>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</si>
  <si>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</si>
  <si>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</si>
  <si>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</si>
  <si>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</si>
  <si>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</si>
  <si>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</si>
  <si>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</si>
  <si>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</si>
  <si>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</si>
  <si>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</si>
  <si>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</si>
  <si>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</si>
  <si>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</si>
  <si>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</si>
  <si>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</si>
  <si>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</si>
  <si>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</si>
  <si>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</si>
  <si>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</si>
  <si>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</si>
  <si>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</si>
  <si>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</si>
  <si>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</si>
  <si>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</si>
  <si>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</si>
  <si>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</si>
  <si>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</si>
  <si>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</si>
  <si>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</si>
  <si>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</si>
  <si>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</si>
  <si>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</si>
  <si>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</si>
  <si>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</si>
  <si>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</si>
  <si>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</si>
  <si>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</si>
  <si>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</si>
  <si>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</si>
  <si>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</si>
  <si>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</si>
  <si>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</si>
  <si>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</si>
  <si>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</si>
  <si>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</si>
  <si>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</si>
  <si>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</si>
  <si>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</si>
  <si>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</si>
  <si>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</si>
  <si>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</si>
  <si>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</si>
  <si>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</si>
  <si>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</si>
  <si>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</si>
  <si>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</si>
  <si>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</si>
  <si>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</si>
  <si>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</si>
  <si>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</si>
  <si>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</si>
  <si>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</si>
  <si>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</si>
  <si>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</si>
  <si>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</si>
  <si>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</si>
  <si>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</si>
  <si>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</si>
  <si>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</si>
  <si>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</si>
  <si>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</si>
  <si>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</si>
  <si>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</si>
  <si>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</si>
  <si>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</si>
  <si>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</si>
  <si>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</si>
  <si>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</si>
  <si>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</si>
  <si>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</si>
  <si>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</si>
  <si>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</si>
  <si>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</si>
  <si>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</si>
  <si>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</si>
  <si>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</si>
  <si>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</si>
  <si>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</si>
  <si>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</si>
  <si>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</si>
  <si>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</si>
  <si>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</si>
  <si>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</si>
  <si>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</si>
  <si>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</si>
  <si>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</si>
  <si>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</si>
  <si>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</si>
  <si>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</si>
  <si>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</si>
  <si>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</si>
  <si>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</si>
  <si>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</si>
  <si>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</si>
  <si>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</si>
  <si>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</si>
  <si>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</si>
  <si>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</si>
  <si>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</si>
  <si>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</si>
  <si>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</si>
  <si>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</si>
  <si>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</si>
  <si>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</si>
  <si>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</si>
  <si>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</si>
  <si>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</si>
  <si>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</si>
  <si>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</si>
  <si>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</si>
  <si>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</si>
  <si>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</si>
  <si>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</si>
  <si>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</si>
  <si>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</si>
  <si>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</si>
  <si>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</si>
  <si>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</si>
  <si>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</si>
  <si>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</si>
  <si>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</si>
  <si>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</si>
  <si>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</si>
  <si>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</si>
  <si>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</si>
  <si>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</si>
  <si>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</si>
  <si>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</si>
  <si>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</si>
  <si>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</si>
  <si>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</si>
  <si>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</si>
  <si>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</si>
  <si>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</si>
  <si>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</si>
  <si>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</si>
  <si>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</si>
  <si>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</si>
  <si>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</si>
  <si>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</si>
  <si>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</si>
  <si>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</si>
  <si>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</si>
  <si>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</si>
  <si>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</si>
  <si>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</si>
  <si>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</si>
  <si>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</si>
  <si>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</si>
  <si>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</si>
  <si>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</si>
  <si>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</si>
  <si>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</si>
  <si>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</si>
  <si>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</si>
  <si>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</si>
  <si>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</si>
  <si>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</si>
  <si>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</si>
  <si>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</si>
  <si>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</si>
  <si>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</si>
  <si>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</si>
  <si>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</si>
  <si>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</si>
  <si>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</si>
  <si>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</si>
  <si>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</si>
  <si>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</si>
  <si>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</si>
  <si>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</si>
  <si>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</si>
  <si>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</si>
  <si>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</si>
  <si>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</si>
  <si>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</si>
  <si>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</si>
  <si>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</si>
  <si>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</si>
  <si>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</si>
  <si>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</si>
  <si>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</si>
  <si>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</si>
  <si>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</si>
  <si>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</si>
  <si>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</si>
  <si>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</si>
  <si>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</si>
  <si>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</si>
  <si>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</si>
  <si>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</si>
  <si>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</si>
  <si>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</si>
  <si>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</si>
  <si>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</si>
  <si>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</si>
  <si>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</si>
  <si>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</si>
  <si>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</si>
  <si>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</si>
  <si>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</si>
  <si>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</si>
  <si>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</si>
  <si>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</si>
  <si>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</si>
  <si>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</si>
  <si>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</si>
  <si>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</si>
  <si>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</si>
  <si>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</si>
  <si>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</si>
  <si>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</si>
  <si>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</si>
  <si>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</si>
  <si>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</si>
  <si>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</si>
  <si>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</si>
  <si>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</si>
  <si>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</si>
  <si>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</si>
  <si>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</si>
  <si>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</si>
  <si>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</si>
  <si>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</si>
  <si>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</si>
  <si>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</si>
  <si>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</si>
  <si>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</si>
  <si>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</si>
  <si>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</si>
  <si>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</si>
  <si>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</si>
  <si>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</si>
  <si>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</si>
  <si>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</si>
  <si>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</si>
  <si>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</si>
  <si>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</si>
  <si>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</si>
  <si>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</si>
  <si>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</si>
  <si>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</si>
  <si>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</si>
  <si>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</si>
  <si>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</si>
  <si>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</si>
  <si>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</si>
  <si>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</si>
  <si>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</si>
  <si>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</si>
  <si>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</si>
  <si>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</si>
  <si>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</si>
  <si>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</si>
  <si>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</si>
  <si>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</si>
  <si>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</si>
  <si>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</si>
  <si>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</si>
  <si>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</si>
  <si>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</si>
  <si>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</si>
  <si>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</si>
  <si>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</si>
  <si>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</si>
  <si>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</si>
  <si>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</si>
  <si>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</si>
  <si>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</si>
  <si>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</si>
  <si>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</si>
  <si>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</si>
  <si>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</si>
  <si>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</si>
  <si>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</si>
  <si>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</si>
  <si>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</si>
  <si>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</si>
  <si>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</si>
  <si>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</si>
  <si>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</si>
  <si>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</si>
  <si>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</si>
  <si>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</si>
  <si>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</si>
  <si>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</si>
  <si>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</si>
  <si>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</si>
  <si>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</si>
  <si>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</si>
  <si>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</si>
  <si>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</si>
  <si>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</si>
  <si>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</si>
  <si>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</si>
  <si>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</si>
  <si>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</si>
  <si>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</si>
  <si>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</si>
  <si>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</si>
  <si>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</si>
  <si>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</si>
  <si>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</si>
  <si>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</si>
  <si>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</si>
  <si>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</si>
  <si>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</si>
  <si>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</si>
  <si>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</si>
  <si>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</si>
  <si>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</si>
  <si>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</si>
  <si>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</si>
  <si>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</si>
  <si>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</si>
  <si>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</si>
  <si>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</si>
  <si>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</si>
  <si>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</si>
  <si>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</si>
  <si>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</si>
  <si>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</si>
  <si>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</si>
  <si>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</si>
  <si>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</si>
  <si>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</si>
  <si>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</si>
  <si>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</si>
  <si>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</si>
  <si>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</si>
  <si>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</si>
  <si>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</si>
  <si>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</si>
  <si>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</si>
  <si>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</si>
  <si>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</si>
  <si>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</si>
  <si>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</si>
  <si>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</si>
  <si>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</si>
  <si>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</si>
  <si>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</si>
  <si>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</si>
  <si>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</si>
  <si>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</si>
  <si>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</si>
  <si>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</si>
  <si>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</si>
  <si>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</si>
  <si>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</si>
  <si>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</si>
  <si>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</si>
  <si>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</si>
  <si>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</si>
  <si>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</si>
  <si>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</si>
  <si>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</si>
  <si>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</si>
  <si>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</si>
  <si>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</si>
  <si>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</si>
  <si>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</si>
  <si>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</si>
  <si>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</si>
  <si>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</si>
  <si>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</si>
  <si>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</si>
  <si>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</si>
  <si>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</si>
  <si>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</si>
  <si>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</si>
  <si>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</si>
  <si>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</si>
  <si>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</si>
  <si>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</si>
  <si>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</si>
  <si>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</si>
  <si>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</si>
  <si>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</si>
  <si>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</si>
  <si>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</si>
  <si>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</si>
  <si>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</si>
  <si>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</si>
  <si>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</si>
  <si>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</si>
  <si>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</si>
  <si>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</si>
  <si>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</si>
  <si>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</si>
  <si>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</si>
  <si>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</si>
  <si>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</si>
  <si>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</si>
  <si>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</si>
  <si>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</si>
  <si>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</si>
  <si>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</si>
  <si>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</si>
  <si>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</si>
  <si>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</si>
  <si>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</si>
  <si>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</si>
  <si>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</si>
  <si>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</si>
  <si>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</si>
  <si>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</si>
  <si>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</si>
  <si>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</si>
  <si>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</si>
  <si>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</si>
  <si>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</si>
  <si>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</si>
  <si>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</si>
  <si>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</si>
  <si>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</si>
  <si>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</si>
  <si>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</si>
  <si>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</si>
  <si>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</si>
  <si>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</si>
  <si>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</si>
  <si>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</si>
  <si>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</si>
  <si>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</si>
  <si>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</si>
  <si>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</si>
  <si>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</si>
  <si>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</si>
  <si>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</si>
  <si>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</si>
  <si>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</si>
  <si>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</si>
  <si>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</si>
  <si>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</si>
  <si>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</si>
  <si>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</si>
  <si>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</si>
  <si>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</si>
  <si>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</si>
  <si>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</si>
  <si>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</si>
  <si>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</si>
  <si>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</si>
  <si>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</si>
  <si>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</si>
  <si>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</si>
  <si>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</si>
  <si>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</si>
  <si>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</si>
  <si>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</si>
  <si>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</si>
  <si>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</si>
  <si>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</si>
  <si>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</si>
  <si>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</si>
  <si>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</si>
  <si>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</si>
  <si>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</si>
  <si>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</si>
  <si>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</si>
  <si>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</si>
  <si>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</si>
  <si>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</si>
  <si>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</si>
  <si>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</si>
  <si>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</si>
  <si>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</si>
  <si>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</si>
  <si>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</si>
  <si>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</si>
  <si>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</si>
  <si>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</si>
  <si>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</si>
  <si>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</si>
  <si>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</si>
  <si>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</si>
  <si>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</si>
  <si>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</si>
  <si>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</si>
  <si>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</si>
  <si>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</si>
  <si>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</si>
  <si>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</si>
  <si>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</si>
  <si>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</si>
  <si>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</si>
  <si>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</si>
  <si>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</si>
  <si>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</si>
  <si>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</si>
  <si>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</si>
  <si>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</si>
  <si>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</si>
  <si>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</si>
  <si>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</si>
  <si>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</si>
  <si>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</si>
  <si>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</si>
  <si>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</si>
  <si>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</si>
  <si>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</si>
  <si>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</si>
  <si>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</si>
  <si>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</si>
  <si>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</si>
  <si>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</si>
  <si>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</si>
  <si>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</si>
  <si>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</si>
  <si>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</si>
  <si>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</si>
  <si>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</si>
  <si>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</si>
  <si>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</si>
  <si>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</si>
  <si>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</si>
  <si>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</si>
  <si>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</si>
  <si>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</si>
  <si>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</si>
  <si>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</si>
  <si>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</si>
  <si>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</si>
  <si>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</si>
  <si>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</si>
  <si>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</si>
  <si>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</si>
  <si>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</si>
  <si>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</si>
  <si>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</si>
  <si>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</si>
  <si>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</si>
  <si>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</si>
  <si>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</si>
  <si>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</si>
  <si>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</si>
  <si>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</si>
  <si>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</si>
  <si>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</si>
  <si>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</si>
  <si>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</si>
  <si>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</si>
  <si>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</si>
  <si>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</si>
  <si>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</si>
  <si>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</si>
  <si>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</si>
  <si>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</si>
  <si>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</si>
  <si>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</si>
  <si>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</si>
  <si>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</si>
  <si>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</si>
  <si>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</si>
  <si>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</si>
  <si>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</si>
  <si>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</si>
  <si>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</si>
  <si>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</si>
  <si>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</si>
  <si>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</si>
  <si>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</si>
  <si>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</si>
  <si>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</si>
  <si>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</si>
  <si>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</si>
  <si>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</si>
  <si>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</si>
  <si>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</si>
  <si>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</si>
  <si>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</si>
  <si>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</si>
  <si>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</si>
  <si>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</si>
  <si>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</si>
  <si>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</si>
  <si>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</si>
  <si>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</si>
  <si>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</si>
  <si>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</si>
  <si>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</si>
  <si>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</si>
  <si>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</si>
  <si>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</si>
  <si>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</si>
  <si>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</si>
  <si>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</si>
  <si>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</si>
  <si>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</si>
  <si>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</si>
  <si>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</si>
  <si>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</si>
  <si>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</si>
  <si>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</si>
  <si>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</si>
  <si>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</si>
  <si>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</si>
  <si>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</si>
  <si>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</si>
  <si>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</si>
  <si>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</si>
  <si>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</si>
  <si>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</si>
  <si>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</si>
  <si>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</si>
  <si>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</si>
  <si>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</si>
  <si>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</si>
  <si>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</si>
  <si>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</si>
  <si>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</si>
  <si>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</si>
  <si>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</si>
  <si>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</si>
  <si>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</si>
  <si>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</si>
  <si>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</si>
  <si>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</si>
  <si>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</si>
  <si>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</si>
  <si>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</si>
  <si>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</si>
  <si>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</si>
  <si>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</si>
  <si>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</si>
  <si>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</si>
  <si>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</si>
  <si>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</si>
  <si>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</si>
  <si>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</si>
  <si>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</si>
  <si>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</si>
  <si>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</si>
  <si>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</si>
  <si>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</si>
  <si>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</si>
  <si>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</si>
  <si>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</si>
  <si>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</si>
  <si>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</si>
  <si>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</si>
  <si>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</si>
  <si>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</si>
  <si>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</si>
  <si>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</si>
  <si>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</si>
  <si>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</si>
  <si>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</si>
  <si>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</si>
  <si>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</si>
  <si>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</si>
  <si>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</si>
  <si>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</si>
  <si>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</si>
  <si>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</si>
  <si>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</si>
  <si>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</si>
  <si>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</si>
  <si>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</si>
  <si>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</si>
  <si>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</si>
  <si>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</si>
  <si>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</si>
  <si>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</si>
  <si>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</si>
  <si>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</si>
  <si>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</si>
  <si>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</si>
  <si>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</si>
  <si>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</si>
  <si>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</si>
  <si>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</si>
  <si>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</si>
  <si>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</si>
  <si>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</si>
  <si>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</si>
  <si>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</si>
  <si>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</si>
  <si>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</si>
  <si>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</si>
  <si>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</si>
  <si>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</si>
  <si>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</si>
  <si>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</si>
  <si>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</si>
  <si>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</si>
  <si>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</si>
  <si>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</si>
  <si>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</si>
  <si>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</si>
  <si>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</si>
  <si>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</si>
  <si>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</si>
  <si>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</si>
  <si>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</si>
  <si>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</si>
  <si>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</si>
  <si>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</si>
  <si>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</si>
  <si>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</si>
  <si>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</si>
  <si>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</si>
  <si>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</si>
  <si>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</si>
  <si>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</si>
  <si>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</si>
  <si>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</si>
  <si>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</si>
  <si>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</si>
  <si>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</si>
  <si>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</si>
  <si>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</si>
  <si>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</si>
  <si>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</si>
  <si>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</si>
  <si>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</si>
  <si>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</si>
  <si>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</si>
  <si>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</si>
  <si>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</si>
  <si>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</si>
  <si>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</si>
  <si>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</si>
  <si>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</si>
  <si>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</si>
  <si>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</si>
  <si>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</si>
  <si>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</si>
  <si>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</si>
  <si>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</si>
  <si>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</si>
  <si>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</si>
  <si>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</si>
  <si>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</si>
  <si>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</si>
  <si>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</si>
  <si>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</si>
  <si>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</si>
  <si>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</si>
  <si>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</si>
  <si>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</si>
  <si>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</si>
  <si>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</si>
  <si>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</si>
  <si>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</si>
  <si>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</si>
  <si>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</si>
  <si>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</si>
  <si>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</si>
  <si>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</si>
  <si>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</si>
  <si>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</si>
  <si>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</si>
  <si>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</si>
  <si>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</si>
  <si>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</si>
  <si>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</si>
  <si>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</si>
  <si>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</si>
  <si>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</si>
  <si>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</si>
  <si>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</si>
  <si>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</si>
  <si>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</si>
  <si>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</si>
  <si>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</si>
  <si>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</si>
  <si>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</si>
  <si>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</si>
  <si>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</si>
  <si>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</si>
  <si>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</si>
  <si>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</si>
  <si>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</si>
  <si>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</si>
  <si>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</si>
  <si>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</si>
  <si>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</si>
  <si>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</si>
  <si>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</si>
  <si>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</si>
  <si>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</si>
  <si>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</si>
  <si>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</si>
  <si>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</si>
  <si>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</si>
  <si>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</si>
  <si>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</si>
  <si>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</si>
  <si>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</si>
  <si>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</si>
  <si>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</si>
  <si>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</si>
  <si>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</si>
  <si>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</si>
  <si>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</si>
  <si>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</si>
  <si>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</si>
  <si>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</si>
  <si>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</si>
  <si>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</si>
  <si>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</si>
  <si>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</si>
  <si>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</si>
  <si>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</si>
  <si>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</si>
  <si>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</si>
  <si>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</si>
  <si>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</si>
  <si>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</si>
  <si>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</si>
  <si>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</si>
  <si>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</si>
  <si>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</si>
  <si>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</si>
  <si>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</si>
  <si>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</si>
  <si>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</si>
  <si>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</si>
  <si>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</si>
  <si>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</si>
  <si>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</si>
  <si>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</si>
  <si>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</si>
  <si>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</si>
  <si>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</si>
  <si>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</si>
  <si>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</si>
  <si>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</si>
  <si>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</si>
  <si>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</si>
  <si>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</si>
  <si>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</si>
  <si>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</si>
  <si>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</si>
  <si>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</si>
  <si>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</si>
  <si>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</si>
  <si>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</si>
  <si>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</si>
  <si>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</si>
  <si>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</si>
  <si>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</si>
  <si>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</si>
  <si>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</si>
  <si>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</si>
  <si>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</si>
  <si>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</si>
  <si>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</si>
  <si>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</si>
  <si>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</si>
  <si>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</si>
  <si>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</si>
  <si>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</si>
  <si>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</si>
  <si>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</si>
  <si>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</si>
  <si>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</si>
  <si>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</si>
  <si>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</si>
  <si>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</si>
  <si>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</si>
  <si>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</si>
  <si>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</si>
  <si>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</si>
  <si>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</si>
  <si>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</si>
  <si>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</si>
  <si>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</si>
  <si>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</si>
  <si>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</si>
  <si>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</si>
  <si>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</si>
  <si>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</si>
  <si>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</si>
  <si>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</si>
  <si>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</si>
  <si>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</si>
  <si>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</si>
  <si>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</si>
  <si>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</si>
  <si>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</si>
  <si>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</si>
  <si>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</si>
  <si>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</si>
  <si>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</si>
  <si>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</si>
  <si>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</si>
  <si>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</si>
  <si>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</si>
  <si>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</si>
  <si>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</si>
  <si>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</si>
  <si>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</si>
  <si>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</si>
  <si>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</si>
  <si>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</si>
  <si>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</si>
  <si>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</si>
  <si>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</si>
  <si>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</si>
  <si>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</si>
  <si>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</si>
  <si>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</si>
  <si>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</si>
  <si>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</si>
  <si>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</si>
  <si>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</si>
  <si>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</si>
  <si>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</si>
  <si>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</si>
  <si>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</si>
  <si>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</si>
  <si>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</si>
  <si>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</si>
  <si>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</si>
  <si>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</si>
  <si>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</si>
  <si>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</si>
  <si>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</si>
  <si>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</si>
  <si>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</si>
  <si>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</si>
  <si>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</si>
  <si>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</si>
  <si>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</si>
  <si>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</si>
  <si>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</si>
  <si>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</si>
  <si>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</si>
  <si>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</si>
  <si>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</si>
  <si>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</si>
  <si>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</si>
  <si>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</si>
  <si>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</si>
  <si>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</si>
  <si>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</si>
  <si>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</si>
  <si>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</si>
  <si>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</si>
  <si>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</si>
  <si>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</si>
  <si>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</si>
  <si>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</si>
  <si>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</si>
  <si>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</si>
  <si>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</si>
  <si>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</si>
  <si>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</si>
  <si>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</si>
  <si>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</si>
  <si>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</si>
  <si>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</si>
  <si>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</si>
  <si>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</si>
  <si>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</si>
  <si>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</si>
  <si>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</si>
  <si>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</si>
  <si>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</si>
  <si>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</si>
  <si>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</si>
  <si>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</si>
  <si>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</si>
  <si>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</si>
  <si>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</si>
  <si>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</si>
  <si>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</si>
  <si>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</si>
  <si>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</si>
  <si>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</si>
  <si>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</si>
  <si>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</si>
  <si>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</si>
  <si>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</si>
  <si>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</si>
  <si>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</si>
  <si>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</si>
  <si>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</si>
  <si>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</si>
  <si>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</si>
  <si>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</si>
  <si>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</si>
  <si>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</si>
  <si>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</si>
  <si>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</si>
  <si>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</si>
  <si>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</si>
  <si>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</si>
  <si>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</si>
  <si>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</si>
  <si>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</si>
  <si>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</si>
  <si>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</si>
  <si>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</si>
  <si>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</si>
  <si>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</si>
  <si>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</si>
  <si>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</si>
  <si>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</si>
  <si>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</si>
  <si>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</si>
  <si>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</si>
  <si>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</si>
  <si>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</si>
  <si>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</si>
  <si>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</si>
  <si>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</si>
  <si>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</si>
  <si>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</si>
  <si>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</si>
  <si>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</si>
  <si>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</si>
  <si>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</si>
  <si>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</si>
  <si>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</si>
  <si>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</si>
  <si>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</si>
  <si>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</si>
  <si>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</si>
  <si>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</si>
  <si>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</si>
  <si>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</si>
  <si>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</si>
  <si>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</si>
  <si>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</si>
  <si>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</si>
  <si>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</si>
  <si>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</si>
  <si>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</si>
  <si>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</si>
  <si>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</si>
  <si>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</si>
  <si>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</si>
  <si>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</si>
  <si>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</si>
  <si>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</si>
  <si>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</si>
  <si>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</si>
  <si>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</si>
  <si>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</si>
  <si>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</si>
  <si>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</si>
  <si>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</si>
  <si>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</si>
  <si>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</si>
  <si>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</si>
  <si>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</si>
  <si>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</si>
  <si>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</si>
  <si>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</si>
  <si>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</si>
  <si>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</si>
  <si>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</si>
  <si>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</si>
  <si>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</si>
  <si>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</si>
  <si>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</si>
  <si>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</si>
  <si>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</si>
  <si>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</si>
  <si>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</si>
  <si>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</si>
  <si>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</si>
  <si>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</si>
  <si>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</si>
  <si>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</si>
  <si>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</si>
  <si>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</si>
  <si>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</si>
  <si>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</si>
  <si>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</si>
  <si>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</si>
  <si>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</si>
  <si>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</si>
  <si>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</si>
  <si>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</si>
  <si>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</si>
  <si>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</si>
  <si>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</si>
  <si>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</si>
  <si>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</si>
  <si>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</si>
  <si>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</si>
  <si>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</si>
  <si>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</si>
  <si>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</si>
  <si>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</si>
  <si>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</si>
  <si>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</si>
  <si>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</si>
  <si>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</si>
  <si>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</si>
  <si>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</si>
  <si>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</si>
  <si>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</si>
  <si>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</si>
  <si>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</si>
  <si>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</si>
  <si>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</si>
  <si>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</si>
  <si>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</si>
  <si>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</si>
  <si>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</si>
  <si>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</si>
  <si>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</si>
  <si>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</si>
  <si>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</si>
  <si>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</si>
  <si>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</si>
  <si>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</si>
  <si>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</si>
  <si>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</si>
  <si>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</si>
  <si>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</si>
  <si>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</si>
  <si>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</si>
  <si>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</si>
  <si>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</si>
  <si>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</si>
  <si>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</si>
  <si>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</si>
  <si>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</si>
  <si>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</si>
  <si>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</si>
  <si>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</si>
  <si>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</si>
  <si>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</si>
  <si>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</si>
  <si>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</si>
  <si>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</si>
  <si>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</si>
  <si>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</si>
  <si>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</si>
  <si>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</si>
  <si>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</si>
  <si>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</si>
  <si>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</si>
  <si>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</si>
  <si>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</si>
  <si>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</si>
  <si>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</si>
  <si>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</si>
  <si>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</si>
  <si>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</si>
  <si>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</si>
  <si>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</si>
  <si>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</si>
  <si>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</si>
  <si>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</si>
  <si>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</si>
  <si>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</si>
  <si>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</si>
  <si>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</si>
  <si>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</si>
  <si>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</si>
  <si>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</si>
  <si>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</si>
  <si>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</si>
  <si>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</si>
  <si>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</si>
  <si>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</si>
  <si>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</si>
  <si>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</si>
  <si>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</si>
  <si>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</si>
  <si>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</si>
  <si>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</si>
  <si>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</si>
  <si>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</si>
  <si>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</si>
  <si>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</si>
  <si>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</si>
  <si>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</si>
  <si>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</si>
  <si>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</si>
  <si>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</si>
  <si>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</si>
  <si>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</si>
  <si>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</si>
  <si>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</si>
  <si>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</si>
  <si>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</si>
  <si>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</si>
  <si>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</si>
  <si>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</si>
  <si>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</si>
  <si>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</si>
  <si>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</si>
  <si>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</si>
  <si>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</si>
  <si>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</si>
  <si>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</si>
  <si>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</si>
  <si>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</si>
  <si>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</si>
  <si>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</si>
  <si>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</si>
  <si>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</si>
  <si>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</si>
  <si>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</si>
  <si>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</si>
  <si>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</si>
  <si>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</si>
  <si>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</si>
  <si>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</si>
  <si>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</si>
  <si>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</si>
  <si>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</si>
  <si>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</si>
  <si>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</si>
  <si>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</si>
  <si>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</si>
  <si>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</si>
  <si>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</si>
  <si>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</si>
  <si>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</si>
  <si>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</si>
  <si>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</si>
  <si>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</si>
  <si>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</si>
  <si>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</si>
  <si>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</si>
  <si>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</si>
  <si>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</si>
  <si>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</si>
  <si>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</si>
  <si>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</si>
  <si>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</si>
  <si>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</si>
  <si>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</si>
  <si>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</si>
  <si>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</si>
  <si>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</si>
  <si>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</si>
  <si>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</si>
  <si>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</si>
  <si>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</si>
  <si>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</si>
  <si>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</si>
  <si>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</si>
  <si>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</si>
  <si>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</si>
  <si>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</si>
  <si>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</si>
  <si>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</si>
  <si>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</si>
  <si>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</si>
  <si>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</si>
  <si>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</si>
  <si>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</si>
  <si>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</si>
  <si>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</si>
  <si>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</si>
  <si>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</si>
  <si>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</si>
  <si>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</si>
  <si>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</si>
  <si>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</si>
  <si>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</si>
  <si>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</si>
  <si>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</si>
  <si>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</si>
  <si>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</si>
  <si>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</si>
  <si>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</si>
  <si>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</si>
  <si>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</si>
  <si>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</si>
  <si>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</si>
  <si>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</si>
  <si>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</si>
  <si>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</si>
  <si>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</si>
  <si>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</si>
  <si>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</si>
  <si>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</si>
  <si>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</si>
  <si>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</si>
  <si>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</si>
  <si>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</si>
  <si>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</si>
  <si>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</si>
  <si>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</si>
  <si>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</si>
  <si>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</si>
  <si>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</si>
  <si>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</si>
  <si>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</si>
  <si>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</si>
  <si>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</si>
  <si>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</si>
  <si>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</si>
  <si>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</si>
  <si>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</si>
  <si>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</si>
  <si>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</si>
  <si>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</si>
  <si>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</si>
  <si>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</si>
  <si>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</si>
  <si>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</si>
  <si>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</si>
  <si>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</si>
  <si>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</si>
  <si>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</si>
  <si>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</si>
  <si>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</si>
  <si>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</si>
  <si>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</si>
  <si>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</si>
  <si>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</si>
  <si>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</si>
  <si>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</si>
  <si>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</si>
  <si>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</si>
  <si>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</si>
  <si>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</si>
  <si>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</si>
  <si>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</si>
  <si>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</si>
  <si>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</si>
  <si>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</si>
  <si>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</si>
  <si>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</si>
  <si>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</si>
  <si>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</si>
  <si>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</si>
  <si>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</si>
  <si>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</si>
  <si>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</si>
  <si>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</si>
  <si>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</si>
  <si>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</si>
  <si>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</si>
  <si>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</si>
  <si>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</si>
  <si>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</si>
  <si>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</si>
  <si>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</si>
  <si>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</si>
  <si>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</si>
  <si>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</si>
  <si>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</si>
  <si>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</si>
  <si>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</si>
  <si>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</si>
  <si>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</si>
  <si>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</si>
  <si>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</si>
  <si>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</si>
  <si>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</si>
  <si>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</si>
  <si>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</si>
  <si>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</si>
  <si>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</si>
  <si>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</si>
  <si>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</si>
  <si>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</si>
  <si>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</si>
  <si>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</si>
  <si>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</si>
  <si>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</si>
  <si>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</si>
  <si>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</si>
  <si>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</si>
  <si>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</si>
  <si>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</si>
  <si>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</si>
  <si>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</si>
  <si>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</si>
  <si>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</si>
  <si>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</si>
  <si>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</si>
  <si>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</si>
  <si>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</si>
  <si>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</si>
  <si>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</si>
  <si>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</si>
  <si>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</si>
  <si>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</si>
  <si>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</si>
  <si>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</si>
  <si>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</si>
  <si>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</si>
  <si>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</si>
  <si>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</si>
  <si>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</si>
  <si>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</si>
  <si>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</si>
  <si>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</si>
  <si>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</si>
  <si>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</si>
  <si>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</si>
  <si>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</si>
  <si>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</si>
  <si>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</si>
  <si>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</si>
  <si>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</si>
  <si>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</si>
  <si>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</si>
  <si>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</si>
  <si>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</si>
  <si>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</si>
  <si>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</si>
  <si>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</si>
  <si>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</si>
  <si>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</si>
  <si>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</si>
  <si>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</si>
  <si>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</si>
  <si>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</si>
  <si>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</si>
  <si>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</si>
  <si>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</si>
  <si>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</si>
  <si>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</si>
  <si>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</si>
  <si>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</si>
  <si>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</si>
  <si>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</si>
  <si>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</si>
  <si>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</si>
  <si>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</si>
  <si>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</si>
  <si>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</si>
  <si>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</si>
  <si>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</si>
  <si>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</si>
  <si>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</si>
  <si>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</si>
  <si>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</si>
  <si>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</si>
  <si>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</si>
  <si>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</si>
  <si>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</si>
  <si>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</si>
  <si>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</si>
  <si>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</si>
  <si>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</si>
  <si>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</si>
  <si>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</si>
  <si>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</si>
  <si>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</si>
  <si>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</si>
  <si>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</si>
  <si>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</si>
  <si>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</si>
  <si>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</si>
  <si>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</si>
  <si>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</si>
  <si>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</si>
  <si>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</si>
  <si>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</si>
  <si>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</si>
  <si>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</si>
  <si>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</si>
  <si>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</si>
  <si>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</si>
  <si>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</si>
  <si>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</si>
  <si>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</si>
  <si>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</si>
  <si>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</si>
  <si>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</si>
  <si>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</si>
  <si>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</si>
  <si>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</si>
  <si>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</si>
  <si>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</si>
  <si>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</si>
  <si>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</si>
  <si>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</si>
  <si>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</si>
  <si>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</si>
  <si>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</si>
  <si>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</si>
  <si>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</si>
  <si>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</si>
  <si>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</si>
  <si>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</si>
  <si>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</si>
  <si>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</si>
  <si>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</si>
  <si>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</si>
  <si>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</si>
  <si>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</si>
  <si>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</si>
  <si>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</si>
  <si>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</si>
  <si>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</si>
  <si>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</si>
  <si>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</si>
  <si>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</si>
  <si>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</si>
  <si>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</si>
  <si>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</si>
  <si>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</si>
  <si>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</si>
  <si>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</si>
  <si>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</si>
  <si>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</si>
  <si>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</si>
  <si>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</si>
  <si>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</si>
  <si>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</si>
  <si>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</si>
  <si>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</si>
  <si>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</si>
  <si>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</si>
  <si>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</si>
  <si>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</si>
  <si>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</si>
  <si>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</si>
  <si>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</si>
  <si>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</si>
  <si>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</si>
  <si>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</si>
  <si>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</si>
  <si>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</si>
  <si>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</si>
  <si>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</si>
  <si>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</si>
  <si>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</si>
  <si>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</si>
  <si>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</si>
  <si>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</si>
  <si>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</si>
  <si>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</si>
  <si>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</si>
  <si>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</si>
  <si>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</si>
  <si>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</si>
  <si>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</si>
  <si>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</si>
  <si>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</si>
  <si>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</si>
  <si>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</si>
  <si>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</si>
  <si>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</si>
  <si>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</si>
  <si>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</si>
  <si>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</si>
  <si>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</si>
  <si>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</si>
  <si>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</si>
  <si>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</si>
  <si>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</si>
  <si>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</si>
  <si>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</si>
  <si>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</si>
  <si>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</si>
  <si>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</si>
  <si>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</si>
  <si>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</si>
  <si>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</si>
  <si>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</si>
  <si>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</si>
  <si>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</si>
  <si>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</si>
  <si>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</si>
  <si>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</si>
  <si>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</si>
  <si>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</si>
  <si>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</si>
  <si>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</si>
  <si>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</si>
  <si>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</si>
  <si>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</si>
  <si>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</si>
  <si>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</si>
  <si>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</si>
  <si>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</si>
  <si>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</si>
  <si>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</si>
  <si>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</si>
  <si>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</si>
  <si>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</si>
  <si>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</si>
  <si>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</si>
  <si>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</si>
  <si>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</si>
  <si>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</si>
  <si>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</si>
  <si>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</si>
  <si>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</si>
  <si>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</si>
  <si>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</si>
  <si>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</si>
  <si>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</si>
  <si>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</si>
  <si>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</si>
  <si>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</si>
  <si>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</si>
  <si>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</si>
  <si>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</si>
  <si>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</si>
  <si>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</si>
  <si>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</si>
  <si>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</si>
  <si>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</si>
  <si>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</si>
  <si>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</si>
  <si>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</si>
  <si>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</si>
  <si>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</si>
  <si>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</si>
  <si>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</si>
  <si>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</si>
  <si>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</si>
  <si>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</si>
  <si>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</si>
  <si>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</si>
  <si>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</si>
  <si>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</si>
  <si>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</si>
  <si>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</si>
  <si>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</si>
  <si>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</si>
  <si>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</si>
  <si>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</si>
  <si>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</si>
  <si>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</si>
  <si>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</si>
  <si>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</si>
  <si>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</si>
  <si>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</si>
  <si>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</si>
  <si>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</si>
  <si>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</si>
  <si>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</si>
  <si>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</si>
  <si>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</si>
  <si>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</si>
  <si>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</si>
  <si>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</si>
  <si>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</si>
  <si>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</si>
  <si>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</si>
  <si>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</si>
  <si>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</si>
  <si>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</si>
  <si>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</si>
  <si>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</si>
  <si>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</si>
  <si>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</si>
  <si>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</si>
  <si>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</si>
  <si>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</si>
  <si>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</si>
  <si>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</si>
  <si>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</si>
  <si>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</si>
  <si>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</si>
  <si>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</si>
  <si>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</si>
  <si>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</si>
  <si>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</si>
  <si>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</si>
  <si>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</si>
  <si>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</si>
  <si>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</si>
  <si>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</si>
  <si>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</si>
  <si>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</si>
  <si>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</si>
  <si>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</si>
  <si>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</si>
  <si>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</si>
  <si>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</si>
  <si>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</si>
  <si>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</si>
  <si>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</si>
  <si>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</si>
  <si>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</si>
  <si>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</si>
  <si>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</si>
  <si>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</si>
  <si>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</si>
  <si>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</si>
  <si>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</si>
  <si>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</si>
  <si>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</si>
  <si>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</si>
  <si>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</si>
  <si>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</si>
  <si>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</si>
  <si>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</si>
  <si>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</si>
  <si>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</si>
  <si>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</si>
  <si>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</si>
  <si>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</si>
  <si>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</si>
  <si>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</si>
  <si>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</si>
  <si>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</si>
  <si>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</si>
  <si>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</si>
  <si>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</si>
  <si>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</si>
  <si>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</si>
  <si>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</si>
  <si>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</si>
  <si>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</si>
  <si>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</si>
  <si>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</si>
  <si>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</si>
  <si>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</si>
  <si>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</si>
  <si>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</si>
  <si>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</si>
  <si>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</si>
  <si>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</si>
  <si>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</si>
  <si>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</si>
  <si>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</si>
  <si>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</si>
  <si>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</si>
  <si>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</si>
  <si>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</si>
  <si>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</si>
  <si>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</si>
  <si>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</si>
  <si>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</si>
  <si>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</si>
  <si>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</si>
  <si>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</si>
  <si>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</si>
  <si>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</si>
  <si>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</si>
  <si>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</si>
  <si>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</si>
  <si>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</si>
  <si>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</si>
  <si>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</si>
  <si>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</si>
  <si>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</si>
  <si>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</si>
  <si>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</si>
  <si>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</si>
  <si>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</si>
  <si>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</si>
  <si>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</si>
  <si>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</si>
  <si>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</si>
  <si>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</si>
  <si>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</si>
  <si>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</si>
  <si>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</si>
  <si>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</si>
  <si>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</si>
  <si>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</si>
  <si>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</si>
  <si>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</si>
  <si>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</si>
  <si>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</si>
  <si>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</si>
  <si>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</si>
  <si>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</si>
  <si>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</si>
  <si>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</si>
  <si>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</si>
  <si>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</si>
  <si>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</si>
  <si>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</si>
  <si>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</si>
  <si>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</si>
  <si>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</si>
  <si>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</si>
  <si>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</si>
  <si>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</si>
  <si>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</si>
  <si>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</si>
  <si>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</si>
  <si>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</si>
  <si>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</si>
  <si>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</si>
  <si>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</si>
  <si>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</si>
  <si>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</si>
  <si>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</si>
  <si>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</si>
  <si>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</si>
  <si>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</si>
  <si>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</si>
  <si>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</si>
  <si>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</si>
  <si>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</si>
  <si>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</si>
  <si>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</si>
  <si>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</si>
  <si>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</si>
  <si>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</si>
  <si>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</si>
  <si>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</si>
  <si>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</si>
  <si>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</si>
  <si>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</si>
  <si>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</si>
  <si>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</si>
  <si>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</si>
  <si>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</si>
  <si>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</si>
  <si>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</si>
  <si>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</si>
  <si>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</si>
  <si>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</si>
  <si>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</si>
  <si>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</si>
  <si>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</si>
  <si>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</si>
  <si>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</si>
  <si>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</si>
  <si>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</si>
  <si>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</si>
  <si>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</si>
  <si>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</si>
  <si>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</si>
  <si>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</si>
  <si>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</si>
  <si>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</si>
  <si>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</si>
  <si>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</si>
  <si>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</si>
  <si>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</si>
  <si>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</si>
  <si>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</si>
  <si>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</si>
  <si>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</si>
  <si>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</si>
  <si>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</si>
  <si>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</si>
  <si>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</si>
  <si>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</si>
  <si>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</si>
  <si>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</si>
  <si>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</si>
  <si>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</si>
  <si>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</si>
  <si>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</si>
  <si>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</si>
  <si>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</si>
  <si>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</si>
  <si>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</si>
  <si>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</si>
  <si>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</si>
  <si>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</si>
  <si>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</si>
  <si>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</si>
  <si>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</si>
  <si>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</si>
  <si>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</si>
  <si>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</si>
  <si>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</si>
  <si>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</si>
  <si>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</si>
  <si>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</si>
  <si>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</si>
  <si>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</si>
  <si>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</si>
  <si>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</si>
  <si>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</si>
  <si>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</si>
  <si>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</si>
  <si>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</si>
  <si>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</si>
  <si>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</si>
  <si>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</si>
  <si>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</si>
  <si>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</si>
  <si>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</si>
  <si>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</si>
  <si>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</si>
  <si>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</si>
  <si>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</si>
  <si>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</si>
  <si>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</si>
  <si>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</si>
  <si>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</si>
  <si>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</si>
  <si>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</si>
  <si>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</si>
  <si>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</si>
  <si>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</si>
  <si>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</si>
  <si>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</si>
  <si>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</si>
  <si>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</si>
  <si>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</si>
  <si>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</si>
  <si>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</si>
  <si>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</si>
  <si>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</si>
  <si>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</si>
  <si>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</si>
  <si>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</si>
  <si>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</si>
  <si>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</si>
  <si>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</si>
  <si>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</si>
  <si>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</si>
  <si>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</si>
  <si>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</si>
  <si>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</si>
  <si>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</si>
  <si>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</si>
  <si>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</si>
  <si>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</si>
  <si>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</si>
  <si>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</si>
  <si>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</si>
  <si>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</si>
  <si>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</si>
  <si>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</si>
  <si>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</si>
  <si>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</si>
  <si>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</si>
  <si>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</si>
  <si>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</si>
  <si>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</si>
  <si>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</si>
  <si>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</si>
  <si>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</si>
  <si>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</si>
  <si>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</si>
  <si>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</si>
  <si>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</si>
  <si>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</si>
  <si>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</si>
  <si>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</si>
  <si>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</si>
  <si>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</si>
  <si>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</si>
  <si>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</si>
  <si>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</si>
  <si>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</si>
  <si>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</si>
  <si>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</si>
  <si>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</si>
  <si>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</si>
  <si>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</si>
  <si>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</si>
  <si>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</si>
  <si>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</si>
  <si>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</si>
  <si>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</si>
  <si>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</si>
  <si>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</si>
  <si>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</si>
  <si>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</si>
  <si>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</si>
  <si>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</si>
  <si>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</si>
  <si>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</si>
  <si>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</si>
  <si>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</si>
  <si>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</si>
  <si>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</si>
  <si>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</si>
  <si>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</si>
  <si>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</si>
  <si>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</si>
  <si>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</si>
  <si>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</si>
  <si>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</si>
  <si>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</si>
  <si>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</si>
  <si>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</si>
  <si>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</si>
  <si>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</si>
  <si>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</si>
  <si>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</si>
  <si>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</si>
  <si>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</si>
  <si>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</si>
  <si>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</si>
  <si>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</si>
  <si>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</si>
  <si>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</si>
  <si>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</si>
  <si>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</si>
  <si>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</si>
  <si>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</si>
  <si>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</si>
  <si>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</si>
  <si>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</si>
  <si>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</si>
  <si>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</si>
  <si>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</si>
  <si>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</si>
  <si>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</si>
  <si>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</si>
  <si>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</si>
  <si>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</si>
  <si>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</si>
  <si>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</si>
  <si>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</si>
  <si>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</si>
  <si>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</si>
  <si>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</si>
  <si>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</si>
  <si>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</si>
  <si>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</si>
  <si>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</si>
  <si>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</si>
  <si>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</si>
  <si>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</si>
  <si>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</si>
  <si>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</si>
  <si>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</si>
  <si>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</si>
  <si>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</si>
  <si>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</si>
  <si>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</si>
  <si>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</si>
  <si>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</si>
  <si>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</si>
  <si>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</si>
  <si>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</si>
  <si>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</si>
  <si>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</si>
  <si>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</si>
  <si>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</si>
  <si>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</si>
  <si>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</si>
  <si>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</si>
  <si>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</si>
  <si>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</si>
  <si>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</si>
  <si>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</si>
  <si>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</si>
  <si>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</si>
  <si>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</si>
  <si>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</si>
  <si>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</si>
  <si>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</si>
  <si>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</si>
  <si>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</si>
  <si>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</si>
  <si>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</si>
  <si>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</si>
  <si>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</si>
  <si>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</si>
  <si>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</si>
  <si>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</si>
  <si>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</si>
  <si>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</si>
  <si>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</si>
  <si>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</si>
  <si>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</si>
  <si>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</si>
  <si>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</si>
  <si>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</si>
  <si>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</si>
  <si>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</si>
  <si>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</si>
  <si>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</si>
  <si>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</si>
  <si>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</si>
  <si>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</si>
  <si>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</si>
  <si>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</si>
  <si>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</si>
  <si>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</si>
  <si>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</si>
  <si>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</si>
  <si>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</si>
  <si>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</si>
  <si>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</si>
  <si>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</si>
  <si>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</si>
  <si>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</si>
  <si>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</si>
  <si>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</si>
  <si>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</si>
  <si>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</si>
  <si>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</si>
  <si>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</si>
  <si>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</si>
  <si>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</si>
  <si>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</si>
  <si>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</si>
  <si>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</si>
  <si>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</si>
  <si>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</si>
  <si>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</si>
  <si>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</si>
  <si>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</si>
  <si>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</si>
  <si>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</si>
  <si>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</si>
  <si>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</si>
  <si>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</si>
  <si>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</si>
  <si>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</si>
  <si>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</si>
  <si>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</si>
  <si>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</si>
  <si>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</si>
  <si>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</si>
  <si>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</si>
  <si>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</si>
  <si>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</si>
  <si>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</si>
  <si>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</si>
  <si>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</si>
  <si>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</si>
  <si>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</si>
  <si>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</si>
  <si>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</si>
  <si>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</si>
  <si>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</si>
  <si>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</si>
  <si>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</si>
  <si>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</si>
  <si>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</si>
  <si>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</si>
  <si>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</si>
  <si>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</si>
  <si>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</si>
  <si>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</si>
  <si>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</si>
  <si>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</si>
  <si>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</si>
  <si>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</si>
  <si>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</si>
  <si>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</si>
  <si>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</si>
  <si>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</si>
  <si>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</si>
  <si>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</si>
  <si>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</si>
  <si>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</si>
  <si>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</si>
  <si>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</si>
  <si>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</si>
  <si>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</si>
  <si>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</si>
  <si>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</si>
  <si>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</si>
  <si>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</si>
  <si>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</si>
  <si>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</si>
  <si>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</si>
  <si>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</si>
  <si>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</si>
  <si>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</si>
  <si>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</si>
  <si>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</si>
  <si>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</si>
  <si>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</si>
  <si>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</si>
  <si>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</si>
  <si>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</si>
  <si>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</si>
  <si>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</si>
  <si>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</si>
  <si>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</si>
  <si>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</si>
  <si>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</si>
  <si>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</si>
  <si>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</si>
  <si>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</si>
  <si>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</si>
  <si>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</si>
  <si>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</si>
  <si>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</si>
  <si>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</si>
  <si>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</si>
  <si>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</si>
  <si>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</si>
  <si>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</si>
  <si>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</si>
  <si>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</si>
  <si>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</si>
  <si>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</si>
  <si>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</si>
  <si>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</si>
  <si>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</si>
  <si>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</si>
  <si>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</si>
  <si>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</si>
  <si>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</si>
  <si>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</si>
  <si>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</si>
  <si>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</si>
  <si>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</si>
  <si>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</si>
  <si>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</si>
  <si>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</si>
  <si>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</si>
  <si>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</si>
  <si>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</si>
  <si>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</si>
  <si>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</si>
  <si>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</si>
  <si>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</si>
  <si>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</si>
  <si>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</si>
  <si>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</si>
  <si>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</si>
  <si>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</si>
  <si>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</si>
  <si>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</si>
  <si>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</si>
  <si>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</si>
  <si>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</si>
  <si>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</si>
  <si>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</si>
  <si>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</si>
  <si>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</si>
  <si>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</si>
  <si>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</si>
  <si>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</si>
  <si>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</si>
  <si>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</si>
  <si>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</si>
  <si>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</si>
  <si>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</si>
  <si>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</si>
  <si>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</si>
  <si>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</si>
  <si>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</si>
  <si>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</si>
  <si>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</si>
  <si>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</si>
  <si>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</si>
  <si>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</si>
  <si>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</si>
  <si>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</si>
  <si>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</si>
  <si>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</si>
  <si>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</si>
  <si>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</si>
  <si>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</si>
  <si>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</si>
  <si>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</si>
  <si>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</si>
  <si>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</si>
  <si>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</si>
  <si>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</si>
  <si>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</si>
  <si>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</si>
  <si>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</si>
  <si>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</si>
  <si>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</si>
  <si>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</si>
  <si>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</si>
  <si>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</si>
  <si>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</si>
  <si>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</si>
  <si>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</si>
  <si>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</si>
  <si>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</si>
  <si>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</si>
  <si>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</si>
  <si>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</si>
  <si>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</si>
  <si>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</si>
  <si>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</si>
  <si>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</si>
  <si>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</si>
  <si>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</si>
  <si>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</si>
  <si>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</si>
  <si>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</si>
  <si>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</si>
  <si>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</si>
  <si>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</si>
  <si>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</si>
  <si>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</si>
  <si>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</si>
  <si>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</si>
  <si>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</si>
  <si>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</si>
  <si>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</si>
  <si>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</si>
  <si>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</si>
  <si>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</si>
  <si>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</si>
  <si>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</si>
  <si>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</si>
  <si>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</si>
  <si>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</si>
  <si>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</si>
  <si>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</si>
  <si>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</si>
  <si>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</si>
  <si>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</si>
  <si>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</si>
  <si>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</si>
  <si>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</si>
  <si>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</si>
  <si>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</si>
  <si>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</si>
  <si>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</si>
  <si>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</si>
  <si>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</si>
  <si>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</si>
  <si>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</si>
  <si>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</si>
  <si>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</si>
  <si>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</si>
  <si>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</si>
  <si>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</si>
  <si>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</si>
  <si>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</si>
  <si>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</si>
  <si>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</si>
  <si>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</si>
  <si>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</si>
  <si>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</si>
  <si>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</si>
  <si>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</si>
  <si>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</si>
  <si>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</si>
  <si>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</si>
  <si>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</si>
  <si>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</si>
  <si>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</si>
  <si>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</si>
  <si>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</si>
  <si>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</si>
  <si>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</si>
  <si>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</si>
  <si>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</si>
  <si>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</si>
  <si>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</si>
  <si>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</si>
  <si>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</si>
  <si>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</si>
  <si>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</si>
  <si>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</si>
  <si>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</si>
  <si>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</si>
  <si>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</si>
  <si>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</si>
  <si>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</si>
  <si>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</si>
  <si>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</si>
  <si>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</si>
  <si>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</si>
  <si>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</si>
  <si>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</si>
  <si>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</si>
  <si>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</si>
  <si>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</si>
  <si>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</si>
  <si>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</si>
  <si>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</si>
  <si>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</si>
  <si>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</si>
  <si>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</si>
  <si>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</si>
  <si>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</si>
  <si>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</si>
  <si>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</si>
  <si>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</si>
  <si>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</si>
  <si>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</si>
  <si>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</si>
  <si>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</si>
  <si>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</si>
  <si>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</si>
  <si>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</si>
  <si>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</si>
  <si>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</si>
  <si>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</si>
  <si>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</si>
  <si>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</si>
  <si>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</si>
  <si>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</si>
  <si>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</si>
  <si>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</si>
  <si>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</si>
  <si>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</si>
  <si>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</si>
  <si>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</si>
  <si>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</si>
  <si>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</si>
  <si>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</si>
  <si>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</si>
  <si>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</si>
  <si>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</si>
  <si>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</si>
  <si>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</si>
  <si>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</si>
  <si>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</si>
  <si>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</si>
  <si>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</si>
  <si>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</si>
  <si>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</si>
  <si>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</si>
  <si>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</si>
  <si>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</si>
  <si>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</si>
  <si>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</si>
  <si>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</si>
  <si>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</si>
  <si>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</si>
  <si>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</si>
  <si>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</si>
  <si>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</si>
  <si>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</si>
  <si>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</si>
  <si>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</si>
  <si>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</si>
  <si>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</si>
  <si>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</si>
  <si>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</si>
  <si>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</si>
  <si>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</si>
  <si>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</si>
  <si>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</si>
  <si>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</si>
  <si>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</si>
  <si>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</si>
  <si>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</si>
  <si>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</si>
  <si>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</si>
  <si>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</si>
  <si>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</si>
  <si>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</si>
  <si>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</si>
  <si>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</si>
  <si>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</si>
  <si>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</si>
  <si>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</si>
  <si>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</si>
  <si>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</si>
  <si>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</si>
  <si>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</si>
  <si>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</si>
  <si>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</si>
  <si>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</si>
  <si>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</si>
  <si>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</si>
  <si>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</si>
  <si>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</si>
  <si>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</si>
  <si>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</si>
  <si>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</si>
  <si>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</si>
  <si>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</si>
  <si>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</si>
  <si>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</si>
  <si>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</si>
  <si>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</si>
  <si>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</si>
  <si>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</si>
  <si>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</si>
  <si>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</si>
  <si>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</si>
  <si>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</si>
  <si>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</si>
  <si>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</si>
  <si>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</si>
  <si>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</si>
  <si>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</si>
  <si>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</si>
  <si>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</si>
  <si>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</si>
  <si>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</si>
  <si>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</si>
  <si>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</si>
  <si>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</si>
  <si>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</si>
  <si>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</si>
  <si>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</si>
  <si>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</si>
  <si>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</si>
  <si>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</si>
  <si>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</si>
  <si>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</si>
  <si>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</si>
  <si>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</si>
  <si>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</si>
  <si>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</si>
  <si>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</si>
  <si>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</si>
  <si>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</si>
  <si>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</si>
  <si>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</si>
  <si>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</si>
  <si>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</si>
  <si>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</si>
  <si>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办公</t>
    <phoneticPr fontId="3" type="noConversion"/>
  </si>
  <si>
    <t>酒店配套</t>
  </si>
  <si>
    <t>酒店配套</t>
    <phoneticPr fontId="3" type="noConversion"/>
  </si>
  <si>
    <t>地下商业</t>
  </si>
  <si>
    <t>地下商业</t>
    <phoneticPr fontId="3" type="noConversion"/>
  </si>
  <si>
    <t>地下车库</t>
    <phoneticPr fontId="3" type="noConversion"/>
  </si>
  <si>
    <t>是</t>
  </si>
  <si>
    <t>地上</t>
  </si>
  <si>
    <t>办公楼</t>
  </si>
  <si>
    <t>酒店</t>
  </si>
  <si>
    <t>地下</t>
  </si>
  <si>
    <t>底商</t>
  </si>
  <si>
    <t>车库—商业</t>
  </si>
  <si>
    <t>车库</t>
  </si>
  <si>
    <t>办公</t>
    <phoneticPr fontId="7" type="noConversion"/>
  </si>
  <si>
    <t>酒店配套</t>
    <phoneticPr fontId="7" type="noConversion"/>
  </si>
  <si>
    <t>地下商业</t>
    <phoneticPr fontId="7" type="noConversion"/>
  </si>
  <si>
    <t>地下车库</t>
    <phoneticPr fontId="7" type="noConversion"/>
  </si>
  <si>
    <t>刘梅</t>
  </si>
  <si>
    <t>吴薇</t>
  </si>
  <si>
    <t>抵押</t>
  </si>
  <si>
    <t>房地产抵押价值</t>
  </si>
  <si>
    <t>北京市</t>
  </si>
  <si>
    <t>企业</t>
  </si>
  <si>
    <t>出让</t>
  </si>
  <si>
    <t>成新度</t>
  </si>
  <si>
    <t>通路</t>
  </si>
  <si>
    <t>通电</t>
  </si>
  <si>
    <t>通讯</t>
  </si>
  <si>
    <t>通下水</t>
  </si>
  <si>
    <t>通上水</t>
  </si>
  <si>
    <t>燃气</t>
  </si>
  <si>
    <t>收益法-车位</t>
  </si>
  <si>
    <t>收益法-车位</t>
    <phoneticPr fontId="16" type="noConversion"/>
  </si>
  <si>
    <t>押一</t>
  </si>
  <si>
    <t>钢混</t>
  </si>
  <si>
    <t>非生产用房</t>
  </si>
  <si>
    <t>售价</t>
  </si>
  <si>
    <t>正常</t>
  </si>
  <si>
    <t>正常</t>
    <phoneticPr fontId="32" type="noConversion"/>
  </si>
  <si>
    <t>车库</t>
    <phoneticPr fontId="32" type="noConversion"/>
  </si>
  <si>
    <t>车库</t>
    <phoneticPr fontId="25" type="noConversion"/>
  </si>
  <si>
    <t>30-40（含）</t>
  </si>
  <si>
    <t>不临58条商业街</t>
  </si>
  <si>
    <t>有</t>
  </si>
  <si>
    <t>无</t>
  </si>
  <si>
    <t>500-1000米</t>
  </si>
  <si>
    <t>六通一平</t>
  </si>
  <si>
    <t>缺少</t>
  </si>
  <si>
    <t>通热</t>
  </si>
  <si>
    <t>容积率修正</t>
  </si>
  <si>
    <t>自定义容积率</t>
  </si>
  <si>
    <t>较好</t>
  </si>
  <si>
    <t>一般</t>
  </si>
  <si>
    <t>全部缴纳</t>
  </si>
  <si>
    <t>收益法-酒店配套</t>
  </si>
  <si>
    <t>收益法-酒店配套</t>
    <phoneticPr fontId="16" type="noConversion"/>
  </si>
  <si>
    <t>收益法-办公</t>
  </si>
  <si>
    <t>收益法-办公</t>
    <phoneticPr fontId="16" type="noConversion"/>
  </si>
  <si>
    <t>收益法-地下商业</t>
  </si>
  <si>
    <t>收益法-地下商业</t>
    <phoneticPr fontId="16" type="noConversion"/>
  </si>
  <si>
    <t>成本法-酒店配套</t>
  </si>
  <si>
    <t>成本法-酒店配套</t>
    <phoneticPr fontId="16" type="noConversion"/>
  </si>
  <si>
    <t>成本法-办公</t>
  </si>
  <si>
    <t>成本法-办公</t>
    <phoneticPr fontId="16" type="noConversion"/>
  </si>
  <si>
    <t>现房</t>
  </si>
  <si>
    <t>项目局部</t>
  </si>
  <si>
    <t>比较法-车位</t>
  </si>
  <si>
    <t>面积根据实测报告及抵押物清单</t>
  </si>
  <si>
    <t>分摊土地面积</t>
    <phoneticPr fontId="3" type="noConversion"/>
  </si>
  <si>
    <t>日坛国际</t>
  </si>
  <si>
    <t>朝字第727407号</t>
  </si>
  <si>
    <t>日坛上街</t>
  </si>
  <si>
    <t>朝字第72677号</t>
  </si>
  <si>
    <t>总出租面积</t>
  </si>
  <si>
    <t>空置面积</t>
  </si>
  <si>
    <t>出租面积</t>
  </si>
  <si>
    <t>分摊土地</t>
    <phoneticPr fontId="3" type="noConversion"/>
  </si>
  <si>
    <t>序号</t>
  </si>
  <si>
    <t>租赁期限</t>
  </si>
  <si>
    <t>租赁期间</t>
  </si>
  <si>
    <t>面积</t>
  </si>
  <si>
    <t>租金总计</t>
  </si>
  <si>
    <t>年均租金收益</t>
  </si>
  <si>
    <t>物业费</t>
  </si>
  <si>
    <t>年净收益</t>
  </si>
  <si>
    <t>租金单价</t>
  </si>
  <si>
    <r>
      <t>2</t>
    </r>
    <r>
      <rPr>
        <sz val="12"/>
        <color indexed="8"/>
        <rFont val="宋体"/>
        <family val="3"/>
        <charset val="134"/>
      </rPr>
      <t>011.5.10-2021.05.09</t>
    </r>
  </si>
  <si>
    <r>
      <t>2</t>
    </r>
    <r>
      <rPr>
        <sz val="12"/>
        <color indexed="8"/>
        <rFont val="宋体"/>
        <family val="3"/>
        <charset val="134"/>
      </rPr>
      <t>013.9.15-2021.9.14</t>
    </r>
  </si>
  <si>
    <r>
      <t>2</t>
    </r>
    <r>
      <rPr>
        <sz val="12"/>
        <color indexed="8"/>
        <rFont val="宋体"/>
        <family val="3"/>
        <charset val="134"/>
      </rPr>
      <t>013.6.1-2021.9.30</t>
    </r>
  </si>
  <si>
    <r>
      <t>2</t>
    </r>
    <r>
      <rPr>
        <sz val="12"/>
        <color indexed="8"/>
        <rFont val="宋体"/>
        <family val="3"/>
        <charset val="134"/>
      </rPr>
      <t>009.10.1-2021.9.30</t>
    </r>
  </si>
  <si>
    <t>前四项</t>
  </si>
  <si>
    <t>收益</t>
  </si>
  <si>
    <t>车位数</t>
  </si>
  <si>
    <t>日坛上街地下二层车库</t>
  </si>
  <si>
    <t>日坛国际1号楼地下二层车库</t>
  </si>
  <si>
    <t>日坛国际2号楼地下二层车库</t>
  </si>
  <si>
    <t>测绘报告</t>
    <phoneticPr fontId="3" type="noConversion"/>
  </si>
  <si>
    <t>日坛国际1号楼地下三层车库</t>
  </si>
  <si>
    <t>合计</t>
    <phoneticPr fontId="3" type="noConversion"/>
  </si>
  <si>
    <t>总建筑面积</t>
    <phoneticPr fontId="3" type="noConversion"/>
  </si>
  <si>
    <t>总容积率</t>
    <phoneticPr fontId="3" type="noConversion"/>
  </si>
  <si>
    <t>日坛国际</t>
    <phoneticPr fontId="3" type="noConversion"/>
  </si>
  <si>
    <t>日坛上街</t>
    <phoneticPr fontId="3" type="noConversion"/>
  </si>
  <si>
    <t>日坛上街</t>
    <phoneticPr fontId="143" type="noConversion"/>
  </si>
  <si>
    <t>中国红街</t>
    <phoneticPr fontId="143" type="noConversion"/>
  </si>
  <si>
    <t>泰悦豪庭</t>
    <phoneticPr fontId="143" type="noConversion"/>
  </si>
  <si>
    <t>正常</t>
    <phoneticPr fontId="31" type="noConversion"/>
  </si>
  <si>
    <t>商业</t>
    <phoneticPr fontId="31" type="noConversion"/>
  </si>
  <si>
    <t>20-30（含）</t>
  </si>
  <si>
    <t>好</t>
  </si>
  <si>
    <t>七通</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</si>
  <si>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商圈，周边商业氛围成熟，人流量大，商业繁华度较好</t>
    </r>
    <phoneticPr fontId="25" type="noConversion"/>
  </si>
  <si>
    <t>估价对象所在区域基础设施水平七通</t>
    <phoneticPr fontId="25" type="noConversion"/>
  </si>
  <si>
    <t>区域自然环境：；人文环境；综合评价环境状况较好</t>
    <phoneticPr fontId="41" type="noConversion"/>
  </si>
  <si>
    <t>成本法-地下商业</t>
  </si>
  <si>
    <t>成本法-地下商业</t>
    <phoneticPr fontId="16" type="noConversion"/>
  </si>
  <si>
    <t>估价对象所在区域公共配套设施齐备</t>
    <phoneticPr fontId="41" type="noConversion"/>
  </si>
  <si>
    <t>七通</t>
    <phoneticPr fontId="32" type="noConversion"/>
  </si>
  <si>
    <t>七通</t>
    <phoneticPr fontId="32" type="noConversion"/>
  </si>
  <si>
    <t>较好</t>
    <phoneticPr fontId="32" type="noConversion"/>
  </si>
  <si>
    <t>车库</t>
    <phoneticPr fontId="32" type="noConversion"/>
  </si>
  <si>
    <t>精装</t>
    <phoneticPr fontId="32" type="noConversion"/>
  </si>
  <si>
    <t>专业</t>
    <phoneticPr fontId="32" type="noConversion"/>
  </si>
  <si>
    <t>办公</t>
    <phoneticPr fontId="32" type="noConversion"/>
  </si>
  <si>
    <t>住宅</t>
    <phoneticPr fontId="32" type="noConversion"/>
  </si>
  <si>
    <t>商业</t>
    <phoneticPr fontId="32" type="noConversion"/>
  </si>
  <si>
    <t>未包含在土地购买价格中</t>
  </si>
  <si>
    <t>已包含在土地取得成本中</t>
  </si>
  <si>
    <t>本次</t>
    <phoneticPr fontId="143" type="noConversion"/>
  </si>
  <si>
    <t>上次</t>
    <phoneticPr fontId="143" type="noConversion"/>
  </si>
  <si>
    <t>项目</t>
    <phoneticPr fontId="143" type="noConversion"/>
  </si>
  <si>
    <t>酒店配套</t>
    <phoneticPr fontId="143" type="noConversion"/>
  </si>
  <si>
    <t>办公</t>
    <phoneticPr fontId="143" type="noConversion"/>
  </si>
  <si>
    <t>车库</t>
    <phoneticPr fontId="143" type="noConversion"/>
  </si>
  <si>
    <t>地下商业</t>
    <phoneticPr fontId="143" type="noConversion"/>
  </si>
  <si>
    <t>地下商业</t>
    <phoneticPr fontId="143" type="noConversion"/>
  </si>
  <si>
    <t>日坛国际</t>
    <phoneticPr fontId="143" type="noConversion"/>
  </si>
  <si>
    <t>日坛上街</t>
    <phoneticPr fontId="143" type="noConversion"/>
  </si>
  <si>
    <t>汇总</t>
    <phoneticPr fontId="143" type="noConversion"/>
  </si>
  <si>
    <t>土地价值</t>
    <phoneticPr fontId="143" type="noConversion"/>
  </si>
  <si>
    <t>房屋价值</t>
    <phoneticPr fontId="143" type="noConversion"/>
  </si>
  <si>
    <t>合计</t>
    <phoneticPr fontId="143" type="noConversion"/>
  </si>
  <si>
    <t>住宿餐饮用地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</si>
</sst>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2"/>
      <color indexed="10"/>
      <name val="宋体"/>
      <family val="3"/>
      <charset val="134"/>
    </font>
    <font>
      <b/>
      <sz val="10"/>
      <color indexed="8"/>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7"/>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89" fillId="0" borderId="1" xfId="0" applyFont="1" applyBorder="1" applyAlignment="1">
      <alignment horizontal="center" vertical="center"/>
    </xf>
    <xf numFmtId="0" fontId="190" fillId="0" borderId="0" xfId="0" applyFont="1" applyAlignment="1">
      <alignment horizontal="center" vertical="center"/>
    </xf>
    <xf numFmtId="0" fontId="254" fillId="0" borderId="23" xfId="0" applyFont="1" applyFill="1" applyBorder="1" applyAlignment="1">
      <alignment horizontal="left" vertical="center"/>
    </xf>
    <xf numFmtId="0" fontId="190" fillId="0" borderId="1" xfId="0" applyFont="1" applyFill="1" applyBorder="1" applyAlignment="1">
      <alignment horizontal="center" vertical="center"/>
    </xf>
    <xf numFmtId="0" fontId="190" fillId="0" borderId="5" xfId="0" applyFont="1" applyFill="1" applyBorder="1" applyAlignment="1">
      <alignment horizontal="center" vertical="center"/>
    </xf>
    <xf numFmtId="0" fontId="189" fillId="0" borderId="1" xfId="0" applyFont="1" applyFill="1" applyBorder="1" applyAlignment="1">
      <alignment horizontal="center" vertical="center"/>
    </xf>
    <xf numFmtId="0" fontId="190" fillId="0" borderId="0" xfId="0" applyFont="1" applyFill="1" applyAlignment="1">
      <alignment horizontal="center" vertical="center"/>
    </xf>
    <xf numFmtId="0" fontId="11" fillId="0" borderId="23" xfId="0" applyFont="1" applyBorder="1" applyAlignment="1">
      <alignment horizontal="center" vertical="center"/>
    </xf>
    <xf numFmtId="0" fontId="11" fillId="0" borderId="1" xfId="0" applyFont="1" applyBorder="1" applyAlignment="1">
      <alignment horizontal="center" vertical="center" wrapText="1"/>
    </xf>
    <xf numFmtId="0" fontId="190" fillId="0" borderId="5" xfId="0" applyFont="1" applyBorder="1" applyAlignment="1">
      <alignment horizontal="center" vertical="center"/>
    </xf>
    <xf numFmtId="0" fontId="190" fillId="0" borderId="23" xfId="0" applyFont="1" applyFill="1" applyBorder="1" applyAlignment="1">
      <alignment horizontal="center" vertical="center"/>
    </xf>
    <xf numFmtId="0" fontId="190" fillId="0" borderId="1" xfId="0" applyFont="1" applyFill="1" applyBorder="1" applyAlignment="1">
      <alignment vertical="center"/>
    </xf>
    <xf numFmtId="0" fontId="190" fillId="0" borderId="24" xfId="0" applyFont="1" applyBorder="1" applyAlignment="1">
      <alignment horizontal="center" vertical="center"/>
    </xf>
    <xf numFmtId="0" fontId="190" fillId="0" borderId="23" xfId="0" applyFont="1" applyBorder="1" applyAlignment="1">
      <alignment horizontal="center" vertical="center"/>
    </xf>
    <xf numFmtId="0" fontId="190" fillId="0" borderId="1" xfId="0" applyFont="1" applyBorder="1" applyAlignment="1">
      <alignment horizontal="center" vertical="center"/>
    </xf>
    <xf numFmtId="0" fontId="190" fillId="0" borderId="0" xfId="0" applyFont="1" applyBorder="1" applyAlignment="1">
      <alignment horizontal="center" vertical="center"/>
    </xf>
    <xf numFmtId="0" fontId="11" fillId="0" borderId="25" xfId="0" applyFont="1" applyBorder="1" applyAlignment="1">
      <alignment horizontal="center" vertical="center"/>
    </xf>
    <xf numFmtId="0" fontId="255" fillId="0" borderId="32" xfId="0" applyFont="1" applyBorder="1" applyAlignment="1">
      <alignment horizontal="center" vertical="center"/>
    </xf>
    <xf numFmtId="0" fontId="11" fillId="0" borderId="32" xfId="0" applyFont="1" applyBorder="1" applyAlignment="1">
      <alignment horizontal="center" vertical="center" wrapText="1"/>
    </xf>
    <xf numFmtId="0" fontId="11" fillId="0" borderId="49" xfId="0" applyFont="1" applyBorder="1" applyAlignment="1">
      <alignment horizontal="center" vertical="center" wrapText="1"/>
    </xf>
    <xf numFmtId="0" fontId="80" fillId="0" borderId="0" xfId="0" applyFont="1" applyBorder="1" applyAlignment="1">
      <alignment horizontal="center" vertical="center"/>
    </xf>
    <xf numFmtId="0" fontId="189" fillId="0" borderId="0" xfId="0" applyFont="1" applyBorder="1" applyAlignment="1">
      <alignment vertical="center" wrapText="1"/>
    </xf>
    <xf numFmtId="0" fontId="190" fillId="17" borderId="27" xfId="0" applyFont="1" applyFill="1" applyBorder="1" applyAlignment="1">
      <alignment horizontal="center" vertical="center"/>
    </xf>
    <xf numFmtId="0" fontId="190" fillId="2" borderId="6" xfId="0" applyFont="1" applyFill="1" applyBorder="1" applyAlignment="1">
      <alignment horizontal="center" vertical="center"/>
    </xf>
    <xf numFmtId="0" fontId="190" fillId="0" borderId="9" xfId="0" applyFont="1" applyBorder="1" applyAlignment="1">
      <alignment horizontal="center" vertical="center"/>
    </xf>
    <xf numFmtId="0" fontId="190" fillId="0" borderId="10" xfId="0" applyFont="1" applyBorder="1" applyAlignment="1">
      <alignment horizontal="center" vertical="center"/>
    </xf>
    <xf numFmtId="0" fontId="190" fillId="0" borderId="24" xfId="0" applyFont="1" applyFill="1" applyBorder="1" applyAlignment="1">
      <alignment horizontal="center" vertical="center"/>
    </xf>
    <xf numFmtId="0" fontId="80" fillId="0" borderId="23" xfId="0" applyFont="1" applyBorder="1" applyAlignment="1">
      <alignment horizontal="center" vertical="center"/>
    </xf>
    <xf numFmtId="0" fontId="190" fillId="0" borderId="25" xfId="0" applyFont="1" applyBorder="1" applyAlignment="1">
      <alignment horizontal="center" vertical="center"/>
    </xf>
    <xf numFmtId="0" fontId="190" fillId="0" borderId="32" xfId="0" applyFont="1" applyBorder="1" applyAlignment="1">
      <alignment horizontal="center" vertical="center"/>
    </xf>
    <xf numFmtId="0" fontId="190" fillId="0" borderId="32" xfId="0" applyFont="1" applyFill="1" applyBorder="1" applyAlignment="1">
      <alignment horizontal="center" vertical="center"/>
    </xf>
    <xf numFmtId="0" fontId="190" fillId="0" borderId="49" xfId="0" applyFont="1" applyFill="1" applyBorder="1" applyAlignment="1">
      <alignment horizontal="center" vertical="center"/>
    </xf>
    <xf numFmtId="0" fontId="144" fillId="0" borderId="0" xfId="0" applyFont="1" applyBorder="1" applyAlignment="1">
      <alignment horizontal="center" vertical="center"/>
    </xf>
    <xf numFmtId="0" fontId="37" fillId="0" borderId="0" xfId="0" applyFont="1" applyBorder="1" applyAlignment="1">
      <alignment horizontal="center" vertical="center"/>
    </xf>
    <xf numFmtId="0" fontId="80" fillId="0" borderId="0" xfId="0" applyFont="1" applyBorder="1">
      <alignment vertical="center"/>
    </xf>
    <xf numFmtId="0" fontId="190" fillId="9" borderId="1" xfId="0" applyFont="1" applyFill="1" applyBorder="1" applyAlignment="1">
      <alignment horizontal="center" vertical="center"/>
    </xf>
    <xf numFmtId="0" fontId="80" fillId="0" borderId="0" xfId="0" applyFont="1" applyAlignment="1">
      <alignment horizontal="center" vertical="center"/>
    </xf>
    <xf numFmtId="0" fontId="190" fillId="17" borderId="1" xfId="0" applyFont="1" applyFill="1" applyBorder="1" applyAlignment="1">
      <alignment horizontal="center" vertical="center"/>
    </xf>
    <xf numFmtId="0" fontId="254" fillId="0" borderId="82" xfId="0" applyFont="1" applyFill="1" applyBorder="1" applyAlignment="1">
      <alignment horizontal="left" vertical="center"/>
    </xf>
    <xf numFmtId="177" fontId="190" fillId="0" borderId="1" xfId="0" applyNumberFormat="1" applyFont="1" applyFill="1" applyBorder="1" applyAlignment="1">
      <alignment horizontal="center" vertical="center"/>
    </xf>
    <xf numFmtId="0" fontId="80" fillId="0" borderId="1" xfId="0" applyFont="1" applyBorder="1" applyAlignment="1">
      <alignment horizontal="center" vertical="center"/>
    </xf>
    <xf numFmtId="0" fontId="80" fillId="0" borderId="6" xfId="0" applyFont="1" applyBorder="1" applyAlignment="1">
      <alignment horizontal="center" vertical="center"/>
    </xf>
    <xf numFmtId="0" fontId="83" fillId="0" borderId="19" xfId="1" applyFont="1" applyBorder="1" applyAlignment="1" applyProtection="1">
      <alignment horizontal="center"/>
      <protection hidden="1"/>
    </xf>
    <xf numFmtId="0" fontId="83" fillId="0" borderId="27" xfId="0" applyFont="1" applyBorder="1" applyAlignment="1">
      <alignment horizontal="center" vertical="center"/>
    </xf>
    <xf numFmtId="177" fontId="80" fillId="0" borderId="0" xfId="1" applyNumberFormat="1" applyFont="1" applyBorder="1" applyAlignment="1" applyProtection="1">
      <alignment horizontal="center"/>
      <protection hidden="1"/>
    </xf>
    <xf numFmtId="0" fontId="189" fillId="0" borderId="80" xfId="0" applyFont="1" applyFill="1" applyBorder="1" applyAlignment="1">
      <alignment horizontal="center" vertical="center"/>
    </xf>
    <xf numFmtId="0" fontId="190" fillId="0" borderId="0" xfId="0" applyFont="1" applyFill="1" applyBorder="1" applyAlignment="1">
      <alignment horizontal="center" vertical="center"/>
    </xf>
    <xf numFmtId="177" fontId="80" fillId="0" borderId="47" xfId="1" applyNumberFormat="1" applyFont="1" applyBorder="1" applyAlignment="1" applyProtection="1">
      <alignment horizontal="center"/>
      <protection hidden="1"/>
    </xf>
    <xf numFmtId="0" fontId="189" fillId="0" borderId="81" xfId="0" applyFont="1" applyFill="1" applyBorder="1" applyAlignment="1">
      <alignment horizontal="center" vertical="center"/>
    </xf>
    <xf numFmtId="177" fontId="83" fillId="0" borderId="0" xfId="1" applyNumberFormat="1" applyFont="1" applyBorder="1" applyAlignment="1" applyProtection="1">
      <alignment horizontal="center"/>
      <protection hidden="1"/>
    </xf>
    <xf numFmtId="179" fontId="190" fillId="0" borderId="0" xfId="0" applyNumberFormat="1" applyFont="1" applyBorder="1" applyAlignment="1">
      <alignment horizontal="center" vertical="center"/>
    </xf>
    <xf numFmtId="0" fontId="190" fillId="2" borderId="0" xfId="0" applyFont="1" applyFill="1" applyAlignment="1">
      <alignment horizontal="center" vertical="center"/>
    </xf>
    <xf numFmtId="0" fontId="190" fillId="2" borderId="0" xfId="0" applyFont="1" applyFill="1" applyBorder="1" applyAlignment="1">
      <alignment horizontal="center" vertical="center"/>
    </xf>
    <xf numFmtId="0" fontId="131" fillId="0" borderId="0" xfId="0" applyFont="1">
      <alignment vertical="center"/>
    </xf>
    <xf numFmtId="0" fontId="0" fillId="0" borderId="1" xfId="0" applyBorder="1">
      <alignment vertical="center"/>
    </xf>
    <xf numFmtId="0" fontId="137" fillId="0" borderId="1" xfId="0" applyFont="1" applyBorder="1" applyAlignment="1">
      <alignment horizontal="center" vertical="center"/>
    </xf>
    <xf numFmtId="0" fontId="137" fillId="0" borderId="1" xfId="0" applyFont="1" applyBorder="1">
      <alignment vertical="center"/>
    </xf>
    <xf numFmtId="0" fontId="0" fillId="0" borderId="1" xfId="0" applyBorder="1" applyAlignment="1">
      <alignment horizontal="center" vertical="center"/>
    </xf>
    <xf numFmtId="0" fontId="0" fillId="0" borderId="0" xfId="0" applyBorder="1">
      <alignment vertical="center"/>
    </xf>
    <xf numFmtId="0" fontId="99" fillId="0" borderId="0" xfId="0" applyFont="1">
      <alignment vertical="center"/>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0" borderId="33" xfId="0" applyFont="1" applyBorder="1" applyAlignment="1">
      <alignment horizontal="center" vertical="center"/>
    </xf>
    <xf numFmtId="0" fontId="190" fillId="0" borderId="66" xfId="0" applyFont="1" applyBorder="1" applyAlignment="1">
      <alignment horizontal="center" vertical="center"/>
    </xf>
    <xf numFmtId="0" fontId="190" fillId="0" borderId="0" xfId="0" applyFont="1" applyBorder="1" applyAlignment="1">
      <alignment horizontal="center" vertical="center"/>
    </xf>
    <xf numFmtId="0" fontId="190" fillId="0" borderId="5" xfId="0" applyFont="1" applyFill="1" applyBorder="1" applyAlignment="1">
      <alignment horizontal="center" vertical="center"/>
    </xf>
    <xf numFmtId="0" fontId="190" fillId="0" borderId="3" xfId="0" applyFont="1" applyFill="1" applyBorder="1" applyAlignment="1">
      <alignment horizontal="center" vertical="center"/>
    </xf>
    <xf numFmtId="0" fontId="189" fillId="2" borderId="51" xfId="0" applyFont="1" applyFill="1" applyBorder="1" applyAlignment="1">
      <alignment horizontal="center" vertical="center"/>
    </xf>
    <xf numFmtId="0" fontId="189" fillId="2" borderId="20" xfId="0" applyFont="1" applyFill="1" applyBorder="1" applyAlignment="1">
      <alignment horizontal="center" vertical="center"/>
    </xf>
    <xf numFmtId="0" fontId="190" fillId="0" borderId="37" xfId="0" applyFont="1" applyBorder="1" applyAlignment="1">
      <alignment horizontal="center" vertical="center"/>
    </xf>
    <xf numFmtId="0" fontId="190" fillId="0" borderId="54" xfId="0" applyFont="1" applyBorder="1" applyAlignment="1">
      <alignment horizontal="center" vertical="center"/>
    </xf>
    <xf numFmtId="0" fontId="190" fillId="0" borderId="3" xfId="0" applyFont="1" applyBorder="1" applyAlignment="1">
      <alignment horizontal="center" vertical="center"/>
    </xf>
    <xf numFmtId="0" fontId="189" fillId="0" borderId="27" xfId="0" applyFont="1" applyFill="1" applyBorder="1" applyAlignment="1">
      <alignment horizontal="center" vertical="center"/>
    </xf>
    <xf numFmtId="0" fontId="189" fillId="0" borderId="80" xfId="0" applyFont="1" applyFill="1" applyBorder="1" applyAlignment="1">
      <alignment horizontal="center" vertical="center"/>
    </xf>
    <xf numFmtId="0" fontId="189" fillId="0" borderId="81" xfId="0" applyFont="1" applyFill="1" applyBorder="1" applyAlignment="1">
      <alignment horizontal="center" vertical="center"/>
    </xf>
    <xf numFmtId="181" fontId="47" fillId="18" borderId="24"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9" fontId="50" fillId="18" borderId="5" xfId="0" applyNumberFormat="1" applyFont="1" applyFill="1" applyBorder="1" applyAlignment="1" applyProtection="1">
      <alignment horizontal="center" vertical="center"/>
      <protection locked="0"/>
    </xf>
    <xf numFmtId="9" fontId="19" fillId="18" borderId="1" xfId="0" applyNumberFormat="1" applyFont="1" applyFill="1" applyBorder="1" applyAlignment="1">
      <alignment horizontal="center" vertical="center"/>
    </xf>
    <xf numFmtId="0" fontId="98" fillId="0" borderId="2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38100</xdr:rowOff>
    </xdr:from>
    <xdr:to>
      <xdr:col>5</xdr:col>
      <xdr:colOff>361476</xdr:colOff>
      <xdr:row>25</xdr:row>
      <xdr:rowOff>85312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
          <a:ext cx="3790476" cy="3304762"/>
        </a:xfrm>
        <a:prstGeom prst="rect">
          <a:avLst/>
        </a:prstGeom>
      </xdr:spPr>
    </xdr:pic>
    <xdr:clientData/>
  </xdr:twoCellAnchor>
  <xdr:twoCellAnchor editAs="oneCell">
    <xdr:from>
      <xdr:col>5</xdr:col>
      <xdr:colOff>419100</xdr:colOff>
      <xdr:row>6</xdr:row>
      <xdr:rowOff>47625</xdr:rowOff>
    </xdr:from>
    <xdr:to>
      <xdr:col>11</xdr:col>
      <xdr:colOff>56681</xdr:colOff>
      <xdr:row>26</xdr:row>
      <xdr:rowOff>171006</xdr:rowOff>
    </xdr:to>
    <xdr:pic>
      <xdr:nvPicPr>
        <xdr:cNvPr id="3" name="图片 2"/>
        <xdr:cNvPicPr>
          <a:picLocks noChangeAspect="1"/>
        </xdr:cNvPicPr>
      </xdr:nvPicPr>
      <xdr:blipFill>
        <a:blip xmlns:r="http://schemas.openxmlformats.org/officeDocument/2006/relationships" r:embed="rId2"/>
        <a:stretch>
          <a:fillRect/>
        </a:stretch>
      </xdr:blipFill>
      <xdr:spPr>
        <a:xfrm>
          <a:off x="3848100" y="1076325"/>
          <a:ext cx="3752381" cy="3552381"/>
        </a:xfrm>
        <a:prstGeom prst="rect">
          <a:avLst/>
        </a:prstGeom>
      </xdr:spPr>
    </xdr:pic>
    <xdr:clientData/>
  </xdr:twoCellAnchor>
  <xdr:twoCellAnchor editAs="oneCell">
    <xdr:from>
      <xdr:col>11</xdr:col>
      <xdr:colOff>57150</xdr:colOff>
      <xdr:row>6</xdr:row>
      <xdr:rowOff>9525</xdr:rowOff>
    </xdr:from>
    <xdr:to>
      <xdr:col>16</xdr:col>
      <xdr:colOff>304341</xdr:colOff>
      <xdr:row>26</xdr:row>
      <xdr:rowOff>47192</xdr:rowOff>
    </xdr:to>
    <xdr:pic>
      <xdr:nvPicPr>
        <xdr:cNvPr id="4" name="图片 3"/>
        <xdr:cNvPicPr>
          <a:picLocks noChangeAspect="1"/>
        </xdr:cNvPicPr>
      </xdr:nvPicPr>
      <xdr:blipFill>
        <a:blip xmlns:r="http://schemas.openxmlformats.org/officeDocument/2006/relationships" r:embed="rId3"/>
        <a:stretch>
          <a:fillRect/>
        </a:stretch>
      </xdr:blipFill>
      <xdr:spPr>
        <a:xfrm>
          <a:off x="7600950" y="1038225"/>
          <a:ext cx="3676191" cy="3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85;&#22363;&#19978;&#34903;-&#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车位"/>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基准地价修正"/>
      <sheetName val="比较法-车位"/>
      <sheetName val="收益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40432</v>
          </cell>
        </row>
      </sheetData>
      <sheetData sheetId="18">
        <row r="19">
          <cell r="G19">
            <v>9650</v>
          </cell>
        </row>
      </sheetData>
      <sheetData sheetId="19"/>
      <sheetData sheetId="20"/>
      <sheetData sheetId="21"/>
      <sheetData sheetId="22">
        <row r="13">
          <cell r="C13">
            <v>4367</v>
          </cell>
        </row>
      </sheetData>
      <sheetData sheetId="23"/>
      <sheetData sheetId="24"/>
      <sheetData sheetId="25"/>
      <sheetData sheetId="26"/>
      <sheetData sheetId="27"/>
      <sheetData sheetId="28"/>
      <sheetData sheetId="29"/>
      <sheetData sheetId="30"/>
      <sheetData sheetId="31"/>
      <sheetData sheetId="32">
        <row r="13">
          <cell r="C13">
            <v>2963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估价对象为北京市房地产，为所有。根据《国有土地使用证》[]，估价对象（分摊）出让国有建设用地使用权面积为3781.7平方米，建筑面积为26917.52平方米。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估价对象为北京市房地产,属开发建设的，该项目尚在开发建设中。根据《国有土地使用证》[]，估价对象（分摊）出让国有建设用地使用权面积为3781.7平方米，规划建筑面积为26917.52平方米。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2018年2月26日（评估专业人员实地查勘之日）</v>
      </c>
    </row>
    <row r="13" spans="1:2" s="1595" customFormat="1">
      <c r="A13" s="1593" t="s">
        <v>1227</v>
      </c>
      <c r="B13" s="1594" t="str">
        <f>'预评函-1'!A18</f>
        <v>本次估价的“房地产价值”是指在正常市场情况下，在价值时点2018年2月26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17124</v>
      </c>
    </row>
    <row r="21" spans="1:2" s="1595" customFormat="1">
      <c r="A21" s="1593" t="s">
        <v>1235</v>
      </c>
      <c r="B21" s="1594">
        <f ca="1">'预评函-2'!D7</f>
        <v>34471</v>
      </c>
    </row>
    <row r="22" spans="1:2" s="1595" customFormat="1">
      <c r="A22" s="1593" t="s">
        <v>1236</v>
      </c>
      <c r="B22" s="1594" t="str">
        <f ca="1">'预评函-2'!D6</f>
        <v>壹亿柒仟壹佰贰拾肆万元整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17124</v>
      </c>
    </row>
    <row r="31" spans="1:2" s="1595" customFormat="1">
      <c r="A31" s="1593" t="s">
        <v>1274</v>
      </c>
      <c r="B31" s="1594">
        <f ca="1">'预评函-2'!D15</f>
        <v>6362</v>
      </c>
    </row>
    <row r="32" spans="1:2" s="1595" customFormat="1">
      <c r="A32" s="1593" t="s">
        <v>1241</v>
      </c>
      <c r="B32" s="1594" t="str">
        <f ca="1">'预评函-2'!D14</f>
        <v>壹亿柒仟壹佰贰拾肆万元整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26917.519999999997</v>
      </c>
    </row>
    <row r="44" spans="1:2" s="1595" customFormat="1">
      <c r="A44" s="1593" t="s">
        <v>1273</v>
      </c>
      <c r="B44" s="1594" t="str">
        <f>'预评函-3'!C2</f>
        <v>(分摊)土地面积</v>
      </c>
    </row>
    <row r="45" spans="1:2" s="1595" customFormat="1">
      <c r="A45" s="1593" t="s">
        <v>1245</v>
      </c>
      <c r="B45" s="1594">
        <f>'预评函-3'!C4</f>
        <v>3781.7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3081</v>
      </c>
      <c r="C17" s="2017"/>
    </row>
    <row r="18" spans="1:3">
      <c r="A18" s="2016" t="s">
        <v>1768</v>
      </c>
      <c r="B18" s="2016" t="s">
        <v>3104</v>
      </c>
      <c r="C18" s="2017"/>
    </row>
    <row r="19" spans="1:3">
      <c r="A19" s="2016" t="s">
        <v>1769</v>
      </c>
      <c r="B19" s="2016" t="s">
        <v>3106</v>
      </c>
      <c r="C19" s="2017"/>
    </row>
    <row r="20" spans="1:3">
      <c r="A20" s="2016" t="s">
        <v>1770</v>
      </c>
      <c r="B20" s="2016" t="s">
        <v>3108</v>
      </c>
      <c r="C20" s="2017"/>
    </row>
    <row r="21" spans="1:3">
      <c r="A21" s="2016" t="s">
        <v>1771</v>
      </c>
      <c r="B21" s="2016" t="s">
        <v>3110</v>
      </c>
      <c r="C21" s="2017"/>
    </row>
    <row r="22" spans="1:3">
      <c r="A22" s="2016" t="s">
        <v>1772</v>
      </c>
      <c r="B22" s="2016" t="s">
        <v>3112</v>
      </c>
      <c r="C22" s="2017"/>
    </row>
    <row r="23" spans="1:3">
      <c r="A23" s="2016" t="s">
        <v>1773</v>
      </c>
      <c r="B23" s="2016" t="s">
        <v>3164</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8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3"/>
      <c r="B54" s="2024" t="s">
        <v>864</v>
      </c>
      <c r="C54" s="2021" t="s">
        <v>1281</v>
      </c>
    </row>
    <row r="55" spans="1:4">
      <c r="A55" s="3083"/>
      <c r="B55" s="2024" t="s">
        <v>865</v>
      </c>
      <c r="C55" s="2021" t="s">
        <v>1282</v>
      </c>
    </row>
    <row r="56" spans="1:4">
      <c r="A56" s="3083"/>
      <c r="B56" s="2024" t="s">
        <v>866</v>
      </c>
      <c r="C56" s="2021" t="s">
        <v>1286</v>
      </c>
    </row>
    <row r="57" spans="1:4">
      <c r="A57" s="308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5" sqref="J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1777</v>
      </c>
      <c r="B1" s="3092" t="str">
        <f>IF(B10="北京市","北京市",C10)&amp;F10&amp;IF('结果表-酒店配套'!G1="在建","出让国有建设用地使用权及在建建筑物",IF('结果表-酒店配套'!G1="土地","出让国有建设用地使用权",))&amp;B9&amp;"预评估"</f>
        <v>北京市房地产抵押价值预评估</v>
      </c>
      <c r="C1" s="3093"/>
      <c r="D1" s="3093"/>
      <c r="E1" s="3093"/>
      <c r="F1" s="3093"/>
      <c r="G1" s="3093"/>
      <c r="H1" s="3093"/>
      <c r="I1" s="3094"/>
      <c r="J1" s="2028"/>
      <c r="K1" s="2029"/>
      <c r="L1" s="2030"/>
      <c r="M1" s="2030"/>
      <c r="N1" s="2031"/>
      <c r="O1" s="2032"/>
      <c r="P1" s="2031"/>
      <c r="Q1" s="2031"/>
      <c r="R1" s="2031"/>
      <c r="S1" s="2033" t="str">
        <f>IF(B10="北京市","北京市",C10)&amp;F10&amp;IF('结果表-酒店配套'!G1="在建","出让国有建设用地使用权及在建建筑物房地产抵押价值",IF('结果表-酒店配套'!G1="土地","出让国有建设用地使用权抵押价值",B9))</f>
        <v>北京市房地产抵押价值</v>
      </c>
    </row>
    <row r="2" spans="1:19" ht="18" customHeight="1">
      <c r="A2" s="2028" t="s">
        <v>1778</v>
      </c>
      <c r="B2" s="1041"/>
      <c r="C2" s="2035"/>
      <c r="D2" s="2028"/>
      <c r="E2" s="2036"/>
      <c r="F2" s="2036"/>
      <c r="G2" s="2028"/>
      <c r="H2" s="2028"/>
      <c r="I2" s="2028"/>
      <c r="J2" s="2028"/>
      <c r="K2" s="2029"/>
      <c r="L2" s="2030"/>
      <c r="M2" s="2030"/>
      <c r="N2" s="2031"/>
      <c r="O2" s="2032"/>
      <c r="P2" s="2031"/>
      <c r="Q2" s="2031"/>
      <c r="R2" s="2031"/>
      <c r="S2" s="2033" t="str">
        <f>IF(B10="北京市","北京市",C10)&amp;F10&amp;IF('结果表-酒店配套'!G1="在建","出让国有建设用地使用权及在建建筑物房地产",IF('结果表-酒店配套'!G1="土地","出让国有建设用地使用权","房地产"))</f>
        <v>北京市房地产</v>
      </c>
    </row>
    <row r="3" spans="1:19" ht="18" customHeight="1">
      <c r="A3" s="2037" t="s">
        <v>1779</v>
      </c>
      <c r="B3" s="2038">
        <v>43157</v>
      </c>
      <c r="C3" s="2039" t="s">
        <v>1780</v>
      </c>
      <c r="D3" s="2038">
        <v>43157</v>
      </c>
      <c r="E3" s="2028"/>
      <c r="F3" s="2028"/>
      <c r="G3" s="2028"/>
      <c r="H3" s="2028"/>
      <c r="I3" s="2028"/>
      <c r="J3" s="2028"/>
      <c r="K3" s="2029"/>
      <c r="L3" s="2030"/>
      <c r="M3" s="2030"/>
      <c r="N3" s="2031"/>
      <c r="O3" s="2032"/>
      <c r="P3" s="2031"/>
      <c r="Q3" s="2031"/>
      <c r="R3" s="2031"/>
      <c r="S3" s="2033"/>
    </row>
    <row r="4" spans="1:19" ht="18" customHeight="1" thickBot="1">
      <c r="A4" s="2040" t="s">
        <v>1781</v>
      </c>
      <c r="B4" s="2041" t="s">
        <v>3066</v>
      </c>
      <c r="C4" s="1039">
        <f ca="1">SUMIF(注册房地产估价师,B4,估价师及机构信息!B3:B24)</f>
        <v>1120140022</v>
      </c>
      <c r="D4" s="2041" t="s">
        <v>3067</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1782</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1783</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1784</v>
      </c>
      <c r="B7" s="2055"/>
      <c r="C7" s="2052"/>
      <c r="D7" s="2053"/>
      <c r="E7" s="2036"/>
      <c r="F7" s="2044"/>
      <c r="G7" s="2044"/>
      <c r="H7" s="2044"/>
      <c r="I7" s="2044"/>
      <c r="J7" s="2044"/>
      <c r="K7" s="2056"/>
      <c r="L7" s="2030"/>
      <c r="M7" s="2030"/>
      <c r="N7" s="2031"/>
      <c r="O7" s="2032"/>
      <c r="P7" s="2031"/>
      <c r="Q7" s="2031"/>
      <c r="R7" s="2031"/>
    </row>
    <row r="8" spans="1:19" ht="18" customHeight="1">
      <c r="A8" s="2050" t="s">
        <v>1785</v>
      </c>
      <c r="B8" s="2057" t="s">
        <v>3068</v>
      </c>
      <c r="C8" s="2058"/>
      <c r="D8" s="3095" t="s">
        <v>1786</v>
      </c>
      <c r="E8" s="2059" t="s">
        <v>3069</v>
      </c>
      <c r="F8" s="2060"/>
      <c r="G8" s="2028"/>
      <c r="H8" s="2028"/>
      <c r="I8" s="2028"/>
      <c r="J8" s="2044"/>
      <c r="K8" s="2045"/>
      <c r="L8" s="2030"/>
      <c r="M8" s="2030"/>
      <c r="N8" s="2031"/>
      <c r="O8" s="2032"/>
      <c r="P8" s="2031"/>
      <c r="Q8" s="2031"/>
      <c r="R8" s="2031"/>
    </row>
    <row r="9" spans="1:19" ht="18" customHeight="1" thickBot="1">
      <c r="A9" s="2042" t="s">
        <v>1787</v>
      </c>
      <c r="B9" s="2061" t="s">
        <v>3069</v>
      </c>
      <c r="C9" s="2062"/>
      <c r="D9" s="3096"/>
      <c r="E9" s="2061"/>
      <c r="F9" s="2063"/>
      <c r="G9" s="2064"/>
      <c r="H9" s="2064"/>
      <c r="I9" s="2064"/>
      <c r="J9" s="2044"/>
      <c r="K9" s="2056"/>
      <c r="L9" s="2030"/>
      <c r="M9" s="2030"/>
      <c r="N9" s="2031"/>
      <c r="O9" s="2032"/>
      <c r="P9" s="2031"/>
      <c r="Q9" s="2031"/>
      <c r="R9" s="2031"/>
    </row>
    <row r="10" spans="1:19" ht="18" customHeight="1" thickTop="1">
      <c r="A10" s="2065" t="s">
        <v>1788</v>
      </c>
      <c r="B10" s="2066" t="s">
        <v>3070</v>
      </c>
      <c r="C10" s="2067"/>
      <c r="D10" s="2049"/>
      <c r="E10" s="2068" t="s">
        <v>1789</v>
      </c>
      <c r="F10" s="2069"/>
      <c r="G10" s="2070"/>
      <c r="H10" s="2071"/>
      <c r="I10" s="2049"/>
      <c r="J10" s="2044"/>
      <c r="K10" s="2056"/>
      <c r="L10" s="2030"/>
      <c r="M10" s="2030"/>
      <c r="N10" s="2031"/>
      <c r="O10" s="2032"/>
      <c r="P10" s="2031"/>
      <c r="Q10" s="2031"/>
      <c r="R10" s="2031"/>
    </row>
    <row r="11" spans="1:19" ht="18" customHeight="1">
      <c r="A11" s="2072" t="s">
        <v>1790</v>
      </c>
      <c r="B11" s="2073" t="s">
        <v>3071</v>
      </c>
      <c r="C11" s="2074"/>
      <c r="D11" s="2075"/>
      <c r="E11" s="2044"/>
      <c r="F11" s="2044"/>
      <c r="G11" s="2044"/>
      <c r="H11" s="2044"/>
      <c r="I11" s="2044"/>
      <c r="J11" s="2044"/>
      <c r="K11" s="2056"/>
      <c r="L11" s="2030"/>
      <c r="M11" s="2030"/>
      <c r="N11" s="2031"/>
      <c r="O11" s="2032"/>
      <c r="P11" s="2031"/>
      <c r="Q11" s="2031"/>
      <c r="R11" s="2031"/>
    </row>
    <row r="12" spans="1:19" ht="18" customHeight="1">
      <c r="A12" s="2076" t="s">
        <v>1791</v>
      </c>
      <c r="B12" s="2073" t="s">
        <v>3072</v>
      </c>
      <c r="C12" s="2077" t="s">
        <v>1792</v>
      </c>
      <c r="D12" s="2078" t="s">
        <v>1793</v>
      </c>
      <c r="E12" s="2078" t="s">
        <v>1794</v>
      </c>
      <c r="F12" s="2078" t="s">
        <v>1795</v>
      </c>
      <c r="G12" s="2078" t="s">
        <v>1796</v>
      </c>
      <c r="H12" s="2078" t="s">
        <v>1797</v>
      </c>
      <c r="I12" s="2078" t="s">
        <v>1798</v>
      </c>
      <c r="J12" s="2044"/>
      <c r="K12" s="2056"/>
      <c r="L12" s="2030"/>
      <c r="M12" s="2030"/>
      <c r="N12" s="2031"/>
      <c r="O12" s="2032"/>
      <c r="P12" s="2031"/>
      <c r="Q12" s="2031"/>
      <c r="R12" s="2031"/>
    </row>
    <row r="13" spans="1:19" ht="18" customHeight="1">
      <c r="A13" s="2079"/>
      <c r="B13" s="2080"/>
      <c r="C13" s="2081" t="s">
        <v>1799</v>
      </c>
      <c r="D13" s="2082"/>
      <c r="E13" s="2082">
        <v>51810</v>
      </c>
      <c r="F13" s="2082"/>
      <c r="G13" s="2082">
        <v>55462</v>
      </c>
      <c r="H13" s="2082"/>
      <c r="I13" s="1049"/>
      <c r="J13" s="2044"/>
      <c r="K13" s="2056"/>
      <c r="L13" s="2030"/>
      <c r="M13" s="2030"/>
      <c r="N13" s="2031"/>
      <c r="O13" s="2032"/>
      <c r="P13" s="2031"/>
      <c r="Q13" s="2031"/>
      <c r="R13" s="2031"/>
    </row>
    <row r="14" spans="1:19" ht="18" customHeight="1">
      <c r="A14" s="2079"/>
      <c r="B14" s="2080"/>
      <c r="C14" s="2081" t="s">
        <v>1800</v>
      </c>
      <c r="D14" s="1052"/>
      <c r="E14" s="1052">
        <v>40</v>
      </c>
      <c r="F14" s="1052"/>
      <c r="G14" s="1052">
        <v>50</v>
      </c>
      <c r="H14" s="1052"/>
      <c r="I14" s="1052"/>
      <c r="J14" s="2044"/>
      <c r="K14" s="2083"/>
      <c r="L14" s="2030"/>
      <c r="M14" s="2030"/>
      <c r="N14" s="2031"/>
      <c r="O14" s="2032"/>
      <c r="P14" s="2031"/>
      <c r="Q14" s="2031"/>
      <c r="R14" s="2031"/>
    </row>
    <row r="15" spans="1:19" ht="18" customHeight="1">
      <c r="A15" s="2065"/>
      <c r="B15" s="2084"/>
      <c r="C15" s="2081" t="s">
        <v>1801</v>
      </c>
      <c r="D15" s="1051" t="str">
        <f>IF(B12="出让",IF(D13="","",ROUNDDOWN(MIN((D13-$D$3)/365,D14),2)),D14)</f>
        <v/>
      </c>
      <c r="E15" s="1051">
        <f>IF(B12="出让",IF(E13="","",ROUNDDOWN(MIN((E13-$D$3)/365,E14),2)),E14)</f>
        <v>23.7</v>
      </c>
      <c r="F15" s="1051" t="str">
        <f>IF(B12="出让",IF(F13="","",ROUNDDOWN(MIN((F13-$D$3)/365,F14),2)),F14)</f>
        <v/>
      </c>
      <c r="G15" s="1051">
        <f>IF(B12="出让",IF(G13="","",ROUNDDOWN(MIN((G13-$D$3)/365,G14),2)),G14)</f>
        <v>33.71</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1802</v>
      </c>
      <c r="B16" s="3102"/>
      <c r="C16" s="3103"/>
      <c r="D16" s="3104"/>
      <c r="E16" s="2088" t="s">
        <v>1803</v>
      </c>
      <c r="F16" s="3105"/>
      <c r="G16" s="3106"/>
      <c r="H16" s="3106"/>
      <c r="I16" s="3107"/>
      <c r="J16" s="2031"/>
      <c r="K16" s="2085"/>
      <c r="L16" s="2086"/>
      <c r="M16" s="2086"/>
      <c r="N16" s="2087"/>
      <c r="O16" s="2086"/>
      <c r="P16" s="2087"/>
      <c r="Q16" s="2031"/>
      <c r="R16" s="2031"/>
    </row>
    <row r="17" spans="1:22" ht="18" customHeight="1">
      <c r="A17" s="2089" t="s">
        <v>1804</v>
      </c>
      <c r="B17" s="2037" t="s">
        <v>1805</v>
      </c>
      <c r="C17" s="1056">
        <f>'数据-汇总表'!E3</f>
        <v>26917.519999999997</v>
      </c>
      <c r="D17" s="2090" t="s">
        <v>1806</v>
      </c>
      <c r="E17" s="3108" t="s">
        <v>1807</v>
      </c>
      <c r="F17" s="3109"/>
      <c r="G17" s="3109"/>
      <c r="H17" s="3109"/>
      <c r="I17" s="3110"/>
      <c r="J17" s="2031"/>
      <c r="K17" s="2091"/>
      <c r="L17" s="2086"/>
      <c r="M17" s="2086"/>
      <c r="N17" s="2087"/>
      <c r="O17" s="2086"/>
      <c r="P17" s="2087"/>
      <c r="Q17" s="2031"/>
      <c r="R17" s="2031"/>
      <c r="S17" s="2031"/>
      <c r="T17" s="2031"/>
      <c r="U17" s="2031"/>
      <c r="V17" s="2031"/>
    </row>
    <row r="18" spans="1:22" ht="36" customHeight="1" thickBot="1">
      <c r="A18" s="2092" t="s">
        <v>1808</v>
      </c>
      <c r="B18" s="2040" t="s">
        <v>1809</v>
      </c>
      <c r="C18" s="1446">
        <f>'数据-汇总表'!D3</f>
        <v>3781.7</v>
      </c>
      <c r="D18" s="2093" t="s">
        <v>1806</v>
      </c>
      <c r="E18" s="3111" t="s">
        <v>1810</v>
      </c>
      <c r="F18" s="3112"/>
      <c r="G18" s="3112"/>
      <c r="H18" s="3112"/>
      <c r="I18" s="3113"/>
      <c r="J18" s="2031"/>
      <c r="K18" s="2091"/>
      <c r="L18" s="2086"/>
      <c r="M18" s="2086"/>
      <c r="N18" s="2087"/>
      <c r="O18" s="2086"/>
      <c r="P18" s="2087"/>
      <c r="Q18" s="2031"/>
      <c r="R18" s="2031"/>
      <c r="S18" s="2031"/>
      <c r="T18" s="2031"/>
      <c r="U18" s="2031"/>
      <c r="V18" s="2031"/>
    </row>
    <row r="19" spans="1:22" ht="37.5" customHeight="1" thickTop="1" thickBot="1">
      <c r="A19" s="373" t="s">
        <v>1811</v>
      </c>
      <c r="B19" s="352" t="s">
        <v>1812</v>
      </c>
      <c r="C19" s="2094"/>
      <c r="D19" s="2095" t="s">
        <v>1813</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1814</v>
      </c>
      <c r="B20" s="3098" t="s">
        <v>1815</v>
      </c>
      <c r="C20" s="3099"/>
      <c r="D20" s="3100" t="s">
        <v>1816</v>
      </c>
      <c r="E20" s="3101"/>
      <c r="F20" s="2100" t="s">
        <v>1817</v>
      </c>
      <c r="G20" s="2044"/>
      <c r="H20" s="2044"/>
      <c r="I20" s="2044"/>
      <c r="J20" s="2044"/>
      <c r="K20" s="3097"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1819</v>
      </c>
      <c r="C21" s="2102" t="s">
        <v>1820</v>
      </c>
      <c r="D21" s="2103" t="s">
        <v>1821</v>
      </c>
      <c r="E21" s="2104" t="s">
        <v>1820</v>
      </c>
      <c r="F21" s="2105"/>
      <c r="G21" s="2044"/>
      <c r="H21" s="2044"/>
      <c r="I21" s="2044"/>
      <c r="J21" s="2044"/>
      <c r="K21" s="309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1822</v>
      </c>
      <c r="C22" s="2102" t="s">
        <v>1823</v>
      </c>
      <c r="D22" s="2028"/>
      <c r="E22" s="2028"/>
      <c r="F22" s="2107"/>
      <c r="G22" s="2044"/>
      <c r="H22" s="2044"/>
      <c r="I22" s="2044"/>
      <c r="J22" s="2044"/>
      <c r="K22" s="3097"/>
      <c r="L22" s="748" t="str">
        <f>IF(E19="否","",IF('结果表-酒店配套'!D36="同一抵押权人同一抵押物续贷","由于本次评估为同一抵押权人的续贷房地产抵押估价，故未将已抵押担保的债权数额（"&amp;C26&amp;"）作为法定优先受偿款予以扣减。",IF('结果表-酒店配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1824</v>
      </c>
      <c r="B23" s="183" t="s">
        <v>1825</v>
      </c>
      <c r="C23" s="2109"/>
      <c r="D23" s="2110" t="s">
        <v>1825</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1826</v>
      </c>
      <c r="C24" s="2114"/>
      <c r="D24" s="2108" t="s">
        <v>1826</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1827</v>
      </c>
      <c r="C25" s="2114"/>
      <c r="D25" s="2108" t="s">
        <v>1827</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1828</v>
      </c>
      <c r="C26" s="2118"/>
      <c r="D26" s="2119" t="s">
        <v>1829</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85" t="s">
        <v>1830</v>
      </c>
      <c r="B27" s="2065" t="s">
        <v>1831</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85"/>
      <c r="B28" s="2037" t="s">
        <v>1832</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85"/>
      <c r="B29" s="2037" t="s">
        <v>1833</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86"/>
      <c r="B30" s="2037" t="s">
        <v>1834</v>
      </c>
      <c r="C30" s="3087"/>
      <c r="D30" s="308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89" t="s">
        <v>1835</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9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9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1836</v>
      </c>
      <c r="B34" s="2136" t="s">
        <v>3074</v>
      </c>
      <c r="C34" s="2136" t="s">
        <v>3075</v>
      </c>
      <c r="D34" s="2136" t="s">
        <v>3076</v>
      </c>
      <c r="E34" s="2136" t="s">
        <v>3078</v>
      </c>
      <c r="F34" s="2136" t="s">
        <v>3077</v>
      </c>
      <c r="G34" s="2136" t="s">
        <v>3079</v>
      </c>
      <c r="H34" s="2136" t="s">
        <v>70</v>
      </c>
      <c r="I34" s="2044"/>
      <c r="J34" s="2044"/>
      <c r="K34" s="1797">
        <f>COUNTIF(B34:H34,"——")</f>
        <v>1</v>
      </c>
      <c r="L34" s="2077" t="s">
        <v>1837</v>
      </c>
      <c r="M34" s="2077" t="s">
        <v>1838</v>
      </c>
      <c r="N34" s="2077" t="s">
        <v>1839</v>
      </c>
      <c r="O34" s="2077" t="s">
        <v>1840</v>
      </c>
      <c r="P34" s="2077" t="s">
        <v>1841</v>
      </c>
      <c r="Q34" s="2077" t="s">
        <v>1842</v>
      </c>
      <c r="R34" s="2077" t="s">
        <v>1843</v>
      </c>
      <c r="S34" s="3084" t="s">
        <v>1844</v>
      </c>
      <c r="T34" s="2137" t="str">
        <f>NUMBERSTRING(7-K34,1)&amp;"通"</f>
        <v>六通</v>
      </c>
      <c r="U34" s="2031"/>
      <c r="V34" s="2031"/>
    </row>
    <row r="35" spans="1:22" ht="18" customHeight="1">
      <c r="A35" s="2138"/>
      <c r="B35" s="3091" t="s">
        <v>1845</v>
      </c>
      <c r="C35" s="3091"/>
      <c r="D35" s="3091"/>
      <c r="E35" s="3091"/>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4"/>
      <c r="T35" s="48" t="str">
        <f>IF(T34="一通",L35,IF(T34="二通",M35,IF(T34="三通",N35,IF(T34="四通",O35,IF(T34="五通",P35,IF(T34="六通",Q35,R35))))))</f>
        <v>通路、通电、通讯、通上水、通下水、燃气</v>
      </c>
      <c r="U35" s="2031"/>
      <c r="V35" s="2031"/>
    </row>
    <row r="36" spans="1:22" ht="18" customHeight="1">
      <c r="A36" s="2140"/>
      <c r="B36" s="2139" t="s">
        <v>1846</v>
      </c>
      <c r="C36" s="2139" t="s">
        <v>1847</v>
      </c>
      <c r="D36" s="2139" t="s">
        <v>1848</v>
      </c>
      <c r="E36" s="2139" t="s">
        <v>1849</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1850</v>
      </c>
      <c r="B37" s="2143" t="s">
        <v>212</v>
      </c>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1851</v>
      </c>
      <c r="B38" s="2145" t="s">
        <v>213</v>
      </c>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1853</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1854</v>
      </c>
      <c r="B42" s="1797" t="s">
        <v>1855</v>
      </c>
      <c r="C42" s="1797" t="s">
        <v>1856</v>
      </c>
      <c r="D42" s="1797" t="s">
        <v>1857</v>
      </c>
      <c r="E42" s="1797" t="s">
        <v>1858</v>
      </c>
      <c r="F42" s="1797" t="s">
        <v>1859</v>
      </c>
      <c r="G42" s="1797" t="s">
        <v>1860</v>
      </c>
      <c r="H42" s="1797" t="s">
        <v>1861</v>
      </c>
      <c r="I42" s="1797" t="s">
        <v>1862</v>
      </c>
      <c r="J42" s="2155" t="s">
        <v>1863</v>
      </c>
      <c r="K42" s="2078" t="s">
        <v>1864</v>
      </c>
      <c r="L42" s="2078" t="s">
        <v>1865</v>
      </c>
      <c r="M42" s="2078" t="s">
        <v>1866</v>
      </c>
      <c r="N42" s="1797" t="s">
        <v>1867</v>
      </c>
      <c r="O42" s="1797" t="s">
        <v>1868</v>
      </c>
      <c r="P42" s="1797" t="s">
        <v>1869</v>
      </c>
      <c r="Q42" s="2077" t="s">
        <v>1870</v>
      </c>
      <c r="R42" s="2077" t="s">
        <v>1871</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6" sqref="O1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1877</v>
      </c>
      <c r="AZ2" s="1272"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160.08+726.73+2894.89</f>
        <v>3781.7</v>
      </c>
      <c r="B3" s="14">
        <f>IF(C3="否",G5-AT5,G5)</f>
        <v>26917.519999999997</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5"/>
      <c r="C5" s="1805"/>
      <c r="D5" s="1808"/>
      <c r="E5" s="16" t="s">
        <v>1</v>
      </c>
      <c r="F5" s="16">
        <f>SUM(F13:F587)</f>
        <v>0</v>
      </c>
      <c r="G5" s="16">
        <f>SUM(G13:G587)</f>
        <v>26917.519999999997</v>
      </c>
      <c r="H5" s="16">
        <f t="shared" ref="H5:AT5" si="0">SUM(H13:H656)</f>
        <v>26917.519999999997</v>
      </c>
      <c r="I5" s="16">
        <f t="shared" si="0"/>
        <v>1316.46</v>
      </c>
      <c r="J5" s="16">
        <f t="shared" si="0"/>
        <v>0</v>
      </c>
      <c r="K5" s="16">
        <f t="shared" si="0"/>
        <v>4967.6099999999997</v>
      </c>
      <c r="L5" s="16">
        <f t="shared" si="0"/>
        <v>0</v>
      </c>
      <c r="M5" s="16">
        <f t="shared" si="0"/>
        <v>4129.8999999999996</v>
      </c>
      <c r="N5" s="16">
        <f t="shared" si="0"/>
        <v>0</v>
      </c>
      <c r="O5" s="16">
        <f t="shared" si="0"/>
        <v>16503.55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26917.519999999997</v>
      </c>
      <c r="BA5" s="18">
        <f t="shared" si="1"/>
        <v>26917.519999999997</v>
      </c>
      <c r="BB5" s="18">
        <f t="shared" si="1"/>
        <v>1316.46</v>
      </c>
      <c r="BC5" s="18">
        <f t="shared" si="1"/>
        <v>4967.6099999999997</v>
      </c>
      <c r="BD5" s="18">
        <f t="shared" si="1"/>
        <v>4129.8999999999996</v>
      </c>
      <c r="BE5" s="18">
        <f t="shared" si="1"/>
        <v>16503.55</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1882</v>
      </c>
      <c r="B6" s="2177"/>
      <c r="C6" s="2177"/>
      <c r="D6" s="2178"/>
      <c r="E6" s="16">
        <f>H6+AC6+AT6</f>
        <v>3781.7</v>
      </c>
      <c r="F6" s="16" t="s">
        <v>1</v>
      </c>
      <c r="G6" s="16" t="s">
        <v>2</v>
      </c>
      <c r="H6" s="20">
        <f>SUMIF(I$12:AB$12,"总值",I6:AB6)</f>
        <v>3781.7</v>
      </c>
      <c r="I6" s="16">
        <f t="shared" ref="I6:AB6" si="2">ROUND($A$3*I5/$B$3,2)</f>
        <v>184.95</v>
      </c>
      <c r="J6" s="16">
        <f t="shared" si="2"/>
        <v>0</v>
      </c>
      <c r="K6" s="16">
        <f t="shared" si="2"/>
        <v>697.91</v>
      </c>
      <c r="L6" s="16">
        <f t="shared" si="2"/>
        <v>0</v>
      </c>
      <c r="M6" s="16">
        <f t="shared" si="2"/>
        <v>580.22</v>
      </c>
      <c r="N6" s="16">
        <f t="shared" si="2"/>
        <v>0</v>
      </c>
      <c r="O6" s="16">
        <f t="shared" si="2"/>
        <v>2318.62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3781.7</v>
      </c>
      <c r="AZ6" s="16" t="s">
        <v>3</v>
      </c>
      <c r="BA6" s="16">
        <f>ROUND($AY$6*BA5/$AZ$5,2)</f>
        <v>3781.7</v>
      </c>
      <c r="BB6" s="16">
        <f>ROUND($AY$6*BB5/$AZ$5,2)</f>
        <v>184.95</v>
      </c>
      <c r="BC6" s="16">
        <f t="shared" ref="BC6:BH6" si="4">ROUND($AY$6*BC5/$AZ$5,2)</f>
        <v>697.91</v>
      </c>
      <c r="BD6" s="16">
        <f t="shared" si="4"/>
        <v>580.22</v>
      </c>
      <c r="BE6" s="16">
        <f t="shared" si="4"/>
        <v>2318.62</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1890</v>
      </c>
      <c r="AV7" s="23" t="s">
        <v>1891</v>
      </c>
      <c r="AW7" s="2169" t="s">
        <v>1892</v>
      </c>
      <c r="AX7" s="23" t="s">
        <v>1885</v>
      </c>
      <c r="AY7" s="1805"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0"/>
      <c r="K8" s="1820"/>
      <c r="L8" s="1820"/>
      <c r="M8" s="1820"/>
      <c r="N8" s="1820"/>
      <c r="O8" s="1820"/>
      <c r="P8" s="1820"/>
      <c r="Q8" s="1820"/>
      <c r="R8" s="1820"/>
      <c r="S8" s="1820"/>
      <c r="T8" s="1820"/>
      <c r="U8" s="1820"/>
      <c r="V8" s="2189"/>
      <c r="W8" s="1820"/>
      <c r="X8" s="1820"/>
      <c r="Y8" s="1820"/>
      <c r="Z8" s="1820"/>
      <c r="AA8" s="2189"/>
      <c r="AB8" s="2190"/>
      <c r="AC8" s="983" t="s">
        <v>1896</v>
      </c>
      <c r="AD8" s="2191"/>
      <c r="AE8" s="2183"/>
      <c r="AF8" s="1820"/>
      <c r="AG8" s="1820"/>
      <c r="AH8" s="1820"/>
      <c r="AI8" s="1820"/>
      <c r="AJ8" s="1820"/>
      <c r="AK8" s="1820"/>
      <c r="AL8" s="1820"/>
      <c r="AM8" s="1820"/>
      <c r="AN8" s="1820"/>
      <c r="AO8" s="1820"/>
      <c r="AP8" s="1820"/>
      <c r="AQ8" s="1820"/>
      <c r="AR8" s="1820"/>
      <c r="AS8" s="1820"/>
      <c r="AT8" s="1294" t="s">
        <v>1897</v>
      </c>
      <c r="AU8" s="2185" t="s">
        <v>1898</v>
      </c>
      <c r="AV8" s="1294"/>
      <c r="AW8" s="2168"/>
      <c r="AX8" s="1294"/>
      <c r="AY8" s="2169"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1901</v>
      </c>
      <c r="I9" s="2194" t="s">
        <v>3055</v>
      </c>
      <c r="J9" s="983"/>
      <c r="K9" s="2194" t="s">
        <v>3055</v>
      </c>
      <c r="L9" s="983"/>
      <c r="M9" s="2194" t="s">
        <v>3058</v>
      </c>
      <c r="N9" s="983"/>
      <c r="O9" s="2194" t="s">
        <v>3058</v>
      </c>
      <c r="P9" s="983"/>
      <c r="Q9" s="2194"/>
      <c r="R9" s="983"/>
      <c r="S9" s="2194"/>
      <c r="T9" s="983"/>
      <c r="U9" s="2194"/>
      <c r="V9" s="983"/>
      <c r="W9" s="2194"/>
      <c r="X9" s="2195"/>
      <c r="Y9" s="2194"/>
      <c r="Z9" s="983"/>
      <c r="AA9" s="2194"/>
      <c r="AB9" s="983"/>
      <c r="AC9" s="2186" t="s">
        <v>1901</v>
      </c>
      <c r="AD9" s="15" t="s">
        <v>1902</v>
      </c>
      <c r="AE9" s="1300"/>
      <c r="AF9" s="15" t="s">
        <v>1903</v>
      </c>
      <c r="AG9" s="1300"/>
      <c r="AH9" s="15" t="s">
        <v>1902</v>
      </c>
      <c r="AI9" s="1300"/>
      <c r="AJ9" s="15" t="s">
        <v>1903</v>
      </c>
      <c r="AK9" s="1300"/>
      <c r="AL9" s="15" t="s">
        <v>1902</v>
      </c>
      <c r="AM9" s="1300"/>
      <c r="AN9" s="15" t="s">
        <v>1903</v>
      </c>
      <c r="AO9" s="1300"/>
      <c r="AP9" s="15" t="s">
        <v>1902</v>
      </c>
      <c r="AQ9" s="1300"/>
      <c r="AR9" s="15" t="s">
        <v>1903</v>
      </c>
      <c r="AS9" s="2196"/>
      <c r="AT9" s="2185"/>
      <c r="AU9" s="2185" t="s">
        <v>1904</v>
      </c>
      <c r="AV9" s="1294"/>
      <c r="AW9" s="2168"/>
      <c r="AX9" s="1294"/>
      <c r="AY9" s="28"/>
      <c r="AZ9" s="28" t="s">
        <v>1894</v>
      </c>
      <c r="BA9" s="2197" t="s">
        <v>1905</v>
      </c>
      <c r="BB9" s="2198"/>
      <c r="BC9" s="1340"/>
      <c r="BD9" s="1340"/>
      <c r="BE9" s="1340"/>
      <c r="BF9" s="1340"/>
      <c r="BG9" s="1340"/>
      <c r="BH9" s="1340"/>
      <c r="BI9" s="1340"/>
      <c r="BJ9" s="1340"/>
      <c r="BK9" s="2199"/>
      <c r="BL9" s="15" t="s">
        <v>1906</v>
      </c>
      <c r="BM9" s="1820"/>
      <c r="BN9" s="2188"/>
      <c r="BO9" s="1820"/>
      <c r="BP9" s="1820"/>
      <c r="BQ9" s="1820"/>
      <c r="BR9" s="1820"/>
      <c r="BS9" s="1820"/>
      <c r="BT9" s="26"/>
    </row>
    <row r="10" spans="1:72" s="2192" customFormat="1" ht="12.75">
      <c r="A10" s="2185"/>
      <c r="B10" s="2185"/>
      <c r="C10" s="2185"/>
      <c r="D10" s="2185"/>
      <c r="E10" s="2185"/>
      <c r="F10" s="2185"/>
      <c r="G10" s="1294"/>
      <c r="H10" s="28"/>
      <c r="I10" s="2194" t="s">
        <v>1377</v>
      </c>
      <c r="J10" s="983"/>
      <c r="K10" s="2200" t="s">
        <v>1377</v>
      </c>
      <c r="L10" s="983"/>
      <c r="M10" s="2200" t="s">
        <v>1377</v>
      </c>
      <c r="N10" s="983"/>
      <c r="O10" s="2200" t="s">
        <v>3060</v>
      </c>
      <c r="P10" s="983"/>
      <c r="Q10" s="2200"/>
      <c r="R10" s="983"/>
      <c r="S10" s="2200"/>
      <c r="T10" s="983"/>
      <c r="U10" s="2200"/>
      <c r="V10" s="983"/>
      <c r="W10" s="2200"/>
      <c r="X10" s="983"/>
      <c r="Y10" s="2200"/>
      <c r="Z10" s="983"/>
      <c r="AA10" s="2200"/>
      <c r="AB10" s="983"/>
      <c r="AC10" s="1294"/>
      <c r="AD10" s="15" t="s">
        <v>1907</v>
      </c>
      <c r="AE10" s="2201"/>
      <c r="AF10" s="15" t="s">
        <v>1907</v>
      </c>
      <c r="AG10" s="2201"/>
      <c r="AH10" s="15" t="s">
        <v>1908</v>
      </c>
      <c r="AI10" s="2201"/>
      <c r="AJ10" s="15" t="s">
        <v>1908</v>
      </c>
      <c r="AK10" s="2201"/>
      <c r="AL10" s="15" t="s">
        <v>1909</v>
      </c>
      <c r="AM10" s="1300"/>
      <c r="AN10" s="15" t="s">
        <v>1909</v>
      </c>
      <c r="AO10" s="1300"/>
      <c r="AP10" s="15" t="s">
        <v>1910</v>
      </c>
      <c r="AQ10" s="1300"/>
      <c r="AR10" s="15" t="s">
        <v>1910</v>
      </c>
      <c r="AS10" s="1300"/>
      <c r="AT10" s="2185"/>
      <c r="AU10" s="2185"/>
      <c r="AV10" s="1294"/>
      <c r="AW10" s="2168"/>
      <c r="AX10" s="1294"/>
      <c r="AY10" s="28"/>
      <c r="AZ10" s="28"/>
      <c r="BA10" s="2202" t="s">
        <v>1901</v>
      </c>
      <c r="BB10" s="2203"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3056</v>
      </c>
      <c r="J11" s="2206"/>
      <c r="K11" s="2205" t="s">
        <v>3057</v>
      </c>
      <c r="L11" s="2206"/>
      <c r="M11" s="2205" t="s">
        <v>3059</v>
      </c>
      <c r="N11" s="2206"/>
      <c r="O11" s="2205" t="s">
        <v>3061</v>
      </c>
      <c r="P11" s="2206"/>
      <c r="Q11" s="2205"/>
      <c r="R11" s="2206"/>
      <c r="S11" s="2205"/>
      <c r="T11" s="2206"/>
      <c r="U11" s="2205"/>
      <c r="V11" s="2206"/>
      <c r="W11" s="2205"/>
      <c r="X11" s="2206"/>
      <c r="Y11" s="2205"/>
      <c r="Z11" s="2206"/>
      <c r="AA11" s="2205"/>
      <c r="AB11" s="2206"/>
      <c r="AC11" s="1294"/>
      <c r="AD11" s="2207" t="s">
        <v>1911</v>
      </c>
      <c r="AE11" s="1821"/>
      <c r="AF11" s="2207" t="s">
        <v>1911</v>
      </c>
      <c r="AG11" s="1821"/>
      <c r="AH11" s="2207" t="s">
        <v>1912</v>
      </c>
      <c r="AI11" s="2208"/>
      <c r="AJ11" s="2207" t="s">
        <v>1912</v>
      </c>
      <c r="AK11" s="1821"/>
      <c r="AL11" s="1819"/>
      <c r="AM11" s="1821"/>
      <c r="AN11" s="1819"/>
      <c r="AO11" s="1821"/>
      <c r="AP11" s="1819"/>
      <c r="AQ11" s="1821"/>
      <c r="AR11" s="1819"/>
      <c r="AS11" s="1821"/>
      <c r="AT11" s="2168"/>
      <c r="AU11" s="2185"/>
      <c r="AV11" s="1294"/>
      <c r="AW11" s="2168"/>
      <c r="AX11" s="1294"/>
      <c r="AY11" s="28"/>
      <c r="AZ11" s="28"/>
      <c r="BA11" s="28"/>
      <c r="BB11" s="2190" t="str">
        <f>I10</f>
        <v>商业</v>
      </c>
      <c r="BC11" s="2190" t="str">
        <f>K10</f>
        <v>商业</v>
      </c>
      <c r="BD11" s="2190" t="str">
        <f>M10</f>
        <v>商业</v>
      </c>
      <c r="BE11" s="2190" t="str">
        <f>O10</f>
        <v>车库—商业</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12"/>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t="str">
        <f>I11</f>
        <v>办公楼</v>
      </c>
      <c r="BC12" s="2215" t="str">
        <f>K11</f>
        <v>酒店</v>
      </c>
      <c r="BD12" s="2215" t="str">
        <f>M11</f>
        <v>底商</v>
      </c>
      <c r="BE12" s="2190" t="str">
        <f>O11</f>
        <v>车库</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v>1</v>
      </c>
      <c r="C13" s="2964" t="s">
        <v>3048</v>
      </c>
      <c r="D13" s="2216" t="s">
        <v>3054</v>
      </c>
      <c r="E13" s="16">
        <f>IF($C$3="是",ROUND($A$3*G13/$B$3,2),ROUND($A$3*(G13-AT13)/$B$3,2))</f>
        <v>184.95</v>
      </c>
      <c r="F13" s="32"/>
      <c r="G13" s="33">
        <f>H13+AC13+AT13</f>
        <v>1316.46</v>
      </c>
      <c r="H13" s="20">
        <f>SUMIF(I$12:AB$12,"总值",I13:AB13)</f>
        <v>1316.46</v>
      </c>
      <c r="I13" s="2217">
        <v>1316.46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1</v>
      </c>
      <c r="AX13" s="11" t="str">
        <f t="shared" si="6"/>
        <v>办公</v>
      </c>
      <c r="AY13" s="1808">
        <f>ROUND($AY$6*AZ13/$AZ$5,2)</f>
        <v>184.95</v>
      </c>
      <c r="AZ13" s="16">
        <f>BA13+BL13</f>
        <v>1316.46</v>
      </c>
      <c r="BA13" s="16">
        <f>SUM(BB13:BK13)</f>
        <v>1316.46</v>
      </c>
      <c r="BB13" s="16">
        <f>IF($D13="是",I13-J13,0)</f>
        <v>1316.46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v>2</v>
      </c>
      <c r="C14" s="2965" t="s">
        <v>3050</v>
      </c>
      <c r="D14" s="2216" t="s">
        <v>3054</v>
      </c>
      <c r="E14" s="16">
        <f>IF($C$3="是",ROUND($A$3*G14/$B$3,2),ROUND($A$3*(G14-AT14)/$B$3,2))</f>
        <v>697.91</v>
      </c>
      <c r="F14" s="32"/>
      <c r="G14" s="33">
        <f>H14+AC14+AT14</f>
        <v>4967.6099999999997</v>
      </c>
      <c r="H14" s="20">
        <f>SUMIF(I$12:AB$12,"总值",I14:AB14)</f>
        <v>4967.6099999999997</v>
      </c>
      <c r="I14" s="2217"/>
      <c r="J14" s="2217"/>
      <c r="K14" s="2217">
        <v>4967.6099999999997</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2</v>
      </c>
      <c r="AX14" s="11" t="str">
        <f t="shared" si="6"/>
        <v>酒店配套</v>
      </c>
      <c r="AY14" s="1808">
        <f>ROUND($AY$6*AZ14/$AZ$5,2)</f>
        <v>697.91</v>
      </c>
      <c r="AZ14" s="16">
        <f>BA14+BL14</f>
        <v>4967.6099999999997</v>
      </c>
      <c r="BA14" s="16">
        <f>SUM(BB14:BK14)</f>
        <v>4967.6099999999997</v>
      </c>
      <c r="BB14" s="16">
        <f>IF($D14="是",I14-J14,0)</f>
        <v>0</v>
      </c>
      <c r="BC14" s="16">
        <f>IF($D14="是",K14-L14,0)</f>
        <v>4967.6099999999997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965" t="s">
        <v>3052</v>
      </c>
      <c r="D15" s="2216" t="s">
        <v>3054</v>
      </c>
      <c r="E15" s="16">
        <f>IF($C$3="是",ROUND($A$3*G15/$B$3,2),ROUND($A$3*(G15-AT15)/$B$3,2))</f>
        <v>580.22</v>
      </c>
      <c r="F15" s="32"/>
      <c r="G15" s="33">
        <f>H15+AC15+AT15</f>
        <v>4129.8999999999996</v>
      </c>
      <c r="H15" s="20">
        <f>SUMIF(I$12:AB$12,"总值",I15:AB15)</f>
        <v>4129.8999999999996</v>
      </c>
      <c r="I15" s="2217"/>
      <c r="J15" s="2217"/>
      <c r="K15" s="2217"/>
      <c r="L15" s="2217"/>
      <c r="M15" s="2217">
        <v>4129.8999999999996</v>
      </c>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地下商业</v>
      </c>
      <c r="AY15" s="1808">
        <f>ROUND($AY$6*AZ15/$AZ$5,2)</f>
        <v>580.22</v>
      </c>
      <c r="AZ15" s="16">
        <f>BA15+BL15</f>
        <v>4129.8999999999996</v>
      </c>
      <c r="BA15" s="16">
        <f>SUM(BB15:BK15)</f>
        <v>4129.8999999999996</v>
      </c>
      <c r="BB15" s="16">
        <f>IF($D15="是",I15-J15,0)</f>
        <v>0</v>
      </c>
      <c r="BC15" s="16">
        <f>IF($D15="是",K15-L15,0)</f>
        <v>0</v>
      </c>
      <c r="BD15" s="16">
        <f>IF($D15="是",M15-N15,0)</f>
        <v>4129.8999999999996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965" t="s">
        <v>3053</v>
      </c>
      <c r="D16" s="2216" t="s">
        <v>3054</v>
      </c>
      <c r="E16" s="16">
        <f>IF($C$3="是",ROUND($A$3*G16/$B$3,2),ROUND($A$3*(G16-AT16)/$B$3,2))</f>
        <v>2318.62</v>
      </c>
      <c r="F16" s="32"/>
      <c r="G16" s="33">
        <f>H16+AC16+AT16</f>
        <v>16503.55</v>
      </c>
      <c r="H16" s="20">
        <f>SUMIF(I$12:AB$12,"总值",I16:AB16)</f>
        <v>16503.55</v>
      </c>
      <c r="I16" s="2217"/>
      <c r="J16" s="2217"/>
      <c r="K16" s="2217"/>
      <c r="L16" s="2217"/>
      <c r="M16" s="2217"/>
      <c r="N16" s="2217"/>
      <c r="O16" s="2217">
        <v>16503.55</v>
      </c>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地下车库</v>
      </c>
      <c r="AY16" s="1808">
        <f>ROUND($AY$6*AZ16/$AZ$5,2)</f>
        <v>2318.62</v>
      </c>
      <c r="AZ16" s="16">
        <f>BA16+BL16</f>
        <v>16503.55</v>
      </c>
      <c r="BA16" s="16">
        <f>SUM(BB16:BK16)</f>
        <v>16503.55</v>
      </c>
      <c r="BB16" s="16">
        <f>IF($D16="是",I16-J16,0)</f>
        <v>0</v>
      </c>
      <c r="BC16" s="16">
        <f>IF($D16="是",K16-L16,0)</f>
        <v>0</v>
      </c>
      <c r="BD16" s="16">
        <f>IF($D16="是",M16-N16,0)</f>
        <v>0</v>
      </c>
      <c r="BE16" s="16">
        <f>IF($D16="是",O16-P16,0)</f>
        <v>16503.55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28.5">
      <c r="A3" s="3114"/>
      <c r="B3" s="3114"/>
      <c r="C3" s="3114"/>
      <c r="D3" s="3115"/>
      <c r="E3" s="31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4"/>
      <c r="C1" s="1394"/>
      <c r="D1" s="1394"/>
      <c r="E1" s="1394"/>
      <c r="F1" s="1394"/>
      <c r="G1" s="1394"/>
      <c r="H1" s="1394"/>
      <c r="I1" s="1394"/>
      <c r="J1" s="1394"/>
      <c r="K1" s="1394"/>
      <c r="L1" s="1394"/>
      <c r="M1" s="1394"/>
      <c r="N1" s="1394"/>
      <c r="O1" s="1394"/>
      <c r="P1" s="1394"/>
    </row>
    <row r="2" spans="1:16" ht="15">
      <c r="A2" s="3125" t="s">
        <v>1941</v>
      </c>
      <c r="B2" s="3125"/>
      <c r="C2" s="3125"/>
      <c r="D2" s="969" t="s">
        <v>1917</v>
      </c>
      <c r="E2" s="2230" t="s">
        <v>1918</v>
      </c>
      <c r="F2" s="1394"/>
      <c r="G2" s="2231"/>
      <c r="H2" s="2232"/>
      <c r="I2" s="2233" t="s">
        <v>1942</v>
      </c>
      <c r="J2" s="1394"/>
      <c r="K2" s="1394"/>
      <c r="L2" s="1394"/>
      <c r="M2" s="1394"/>
      <c r="N2" s="1429"/>
      <c r="O2" s="1394"/>
      <c r="P2" s="1394"/>
    </row>
    <row r="3" spans="1:16" ht="15.75" thickBot="1">
      <c r="A3" s="3126" t="s">
        <v>1915</v>
      </c>
      <c r="B3" s="3126"/>
      <c r="C3" s="3126"/>
      <c r="D3" s="46">
        <f>'数据-基础表'!AY6</f>
        <v>3781.7</v>
      </c>
      <c r="E3" s="46">
        <f>'数据-基础表'!AZ5</f>
        <v>26917.519999999997</v>
      </c>
      <c r="F3" s="1394"/>
      <c r="G3" s="1401"/>
      <c r="H3" s="1249" t="s">
        <v>1916</v>
      </c>
      <c r="I3" s="55">
        <f>ROUND('数据-基础表'!B3/'数据-基础表'!A3,2)</f>
        <v>7.12</v>
      </c>
      <c r="J3" s="1394"/>
      <c r="K3" s="1394"/>
      <c r="L3" s="1394"/>
      <c r="M3" s="1394"/>
      <c r="N3" s="1429"/>
      <c r="O3" s="1394"/>
      <c r="P3" s="1394"/>
    </row>
    <row r="4" spans="1:16" ht="15">
      <c r="A4" s="3127"/>
      <c r="B4" s="3128"/>
      <c r="C4" s="3129"/>
      <c r="D4" s="2234" t="s">
        <v>1917</v>
      </c>
      <c r="E4" s="2235" t="s">
        <v>1918</v>
      </c>
      <c r="F4" s="1394"/>
      <c r="G4" s="2236" t="s">
        <v>1943</v>
      </c>
      <c r="H4" s="1249" t="s">
        <v>1923</v>
      </c>
      <c r="I4" s="55">
        <f>ROUND(SUMIF('数据-基础表'!I9:AS9,"地上",'数据-基础表'!I5:AS5)/'数据-基础表'!A3,2)</f>
        <v>1.66</v>
      </c>
      <c r="J4" s="1394"/>
      <c r="K4" s="1394"/>
      <c r="L4" s="1394"/>
      <c r="M4" s="1394"/>
      <c r="N4" s="1429"/>
      <c r="O4" s="1394"/>
      <c r="P4" s="1394"/>
    </row>
    <row r="5" spans="1:16">
      <c r="A5" s="47" t="s">
        <v>1919</v>
      </c>
      <c r="B5" s="3130" t="s">
        <v>1920</v>
      </c>
      <c r="C5" s="3130"/>
      <c r="D5" s="48">
        <f>ROUND($D$3*E5/$E$3,2)</f>
        <v>0</v>
      </c>
      <c r="E5" s="49">
        <f>SUMIF('数据-基础表'!$11:$11,"住宅",'数据-基础表'!$5:$5)</f>
        <v>0</v>
      </c>
      <c r="F5" s="1394"/>
      <c r="G5" s="1401"/>
      <c r="H5" s="1249" t="s">
        <v>1916</v>
      </c>
      <c r="I5" s="55">
        <f>ROUND(E31/D31,2)</f>
        <v>7.12</v>
      </c>
      <c r="J5" s="1394"/>
      <c r="K5" s="1394"/>
      <c r="L5" s="1394"/>
      <c r="M5" s="1394"/>
      <c r="N5" s="1394"/>
      <c r="O5" s="1394"/>
      <c r="P5" s="1394"/>
    </row>
    <row r="6" spans="1:16" ht="15" thickBot="1">
      <c r="A6" s="2237"/>
      <c r="B6" s="3130" t="s">
        <v>1921</v>
      </c>
      <c r="C6" s="3130"/>
      <c r="D6" s="48">
        <f>ROUND($D$3*E6/$E$3,2)</f>
        <v>3781.7</v>
      </c>
      <c r="E6" s="49">
        <f>E3-E5</f>
        <v>26917.519999999997</v>
      </c>
      <c r="F6" s="1394"/>
      <c r="G6" s="2238" t="s">
        <v>1922</v>
      </c>
      <c r="H6" s="1401" t="s">
        <v>1923</v>
      </c>
      <c r="I6" s="941">
        <f>ROUND(F31/D31,2)</f>
        <v>1.66</v>
      </c>
      <c r="J6" s="1394"/>
      <c r="K6" s="1394"/>
      <c r="L6" s="1394"/>
      <c r="M6" s="1394"/>
      <c r="N6" s="1394"/>
      <c r="O6" s="1394"/>
      <c r="P6" s="1394"/>
    </row>
    <row r="7" spans="1:16" ht="15">
      <c r="A7" s="3122"/>
      <c r="B7" s="3123"/>
      <c r="C7" s="3124"/>
      <c r="D7" s="2234" t="s">
        <v>1917</v>
      </c>
      <c r="E7" s="2239" t="s">
        <v>1924</v>
      </c>
      <c r="F7" s="1394"/>
      <c r="G7" s="2231" t="s">
        <v>1925</v>
      </c>
      <c r="H7" s="64"/>
      <c r="I7" s="420">
        <v>7.12</v>
      </c>
      <c r="J7" s="1394"/>
      <c r="K7" s="1394"/>
      <c r="L7" s="1394"/>
      <c r="M7" s="1394"/>
      <c r="N7" s="1394"/>
      <c r="O7" s="1394"/>
      <c r="P7" s="1394"/>
    </row>
    <row r="8" spans="1:16">
      <c r="A8" s="47" t="s">
        <v>1926</v>
      </c>
      <c r="B8" s="50" t="s">
        <v>1927</v>
      </c>
      <c r="C8" s="48" t="s">
        <v>1928</v>
      </c>
      <c r="D8" s="48">
        <f t="shared" ref="D8:D15" si="0">ROUND($D$3*E8/$E$3,2)</f>
        <v>882.86</v>
      </c>
      <c r="E8" s="51">
        <f>SUMIF('数据-基础表'!BB10:BK10,"地上",'数据-基础表'!BB5:BK5)</f>
        <v>6284.07</v>
      </c>
      <c r="F8" s="1394"/>
      <c r="G8" s="2240"/>
      <c r="H8" s="2240"/>
      <c r="I8" s="1394"/>
      <c r="J8" s="1394"/>
      <c r="K8" s="1394"/>
      <c r="L8" s="1394"/>
      <c r="M8" s="1394"/>
      <c r="N8" s="1394"/>
      <c r="O8" s="1394"/>
      <c r="P8" s="1394"/>
    </row>
    <row r="9" spans="1:16">
      <c r="A9" s="2241"/>
      <c r="B9" s="2242"/>
      <c r="C9" s="48" t="s">
        <v>1929</v>
      </c>
      <c r="D9" s="48">
        <f t="shared" si="0"/>
        <v>0</v>
      </c>
      <c r="E9" s="52">
        <v>0</v>
      </c>
      <c r="F9" s="1394"/>
      <c r="G9" s="2240"/>
      <c r="H9" s="2240"/>
      <c r="I9" s="1394"/>
      <c r="J9" s="1394"/>
      <c r="K9" s="1394"/>
      <c r="L9" s="1394"/>
      <c r="M9" s="1394"/>
      <c r="N9" s="1394"/>
      <c r="O9" s="1394"/>
      <c r="P9" s="1394"/>
    </row>
    <row r="10" spans="1:16">
      <c r="A10" s="2241"/>
      <c r="B10" s="2242"/>
      <c r="C10" s="48" t="s">
        <v>1938</v>
      </c>
      <c r="D10" s="48">
        <f t="shared" si="0"/>
        <v>580.22</v>
      </c>
      <c r="E10" s="51">
        <f>SUMPRODUCT(('数据-基础表'!BB10:BK10="地下")*('数据-基础表'!BB11:BK11="商业")*('数据-基础表'!BB5:BK5))</f>
        <v>4129.8999999999996</v>
      </c>
      <c r="F10" s="1394"/>
      <c r="G10" s="2240"/>
      <c r="H10" s="2240"/>
      <c r="I10" s="1394"/>
      <c r="J10" s="1394"/>
      <c r="K10" s="1394"/>
      <c r="L10" s="1394"/>
      <c r="M10" s="1394"/>
      <c r="N10" s="1394"/>
      <c r="O10" s="1394"/>
      <c r="P10" s="1394"/>
    </row>
    <row r="11" spans="1:16">
      <c r="A11" s="2241"/>
      <c r="B11" s="2242"/>
      <c r="C11" s="48" t="s">
        <v>1930</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1931</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1932</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1944</v>
      </c>
      <c r="D14" s="48">
        <f t="shared" si="0"/>
        <v>2318.62</v>
      </c>
      <c r="E14" s="51">
        <f>SUMPRODUCT(('数据-基础表'!BB10:BK10="地下")*('数据-基础表'!BB11:BK11="车库—商业")*('数据-基础表'!BB5:BK5))</f>
        <v>16503.55</v>
      </c>
      <c r="F14" s="1394"/>
      <c r="G14" s="2240"/>
      <c r="H14" s="2240"/>
      <c r="I14" s="1394"/>
      <c r="J14" s="1394"/>
      <c r="K14" s="1394"/>
      <c r="L14" s="1394"/>
      <c r="M14" s="1394"/>
      <c r="N14" s="1394"/>
      <c r="O14" s="1394"/>
      <c r="P14" s="1394"/>
    </row>
    <row r="15" spans="1:16" ht="15" thickBot="1">
      <c r="A15" s="2241"/>
      <c r="B15" s="2242"/>
      <c r="C15" s="48" t="s">
        <v>1939</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1933</v>
      </c>
      <c r="D16" s="50">
        <f>SUM(D8:D15)</f>
        <v>3781.7</v>
      </c>
      <c r="E16" s="53">
        <f>SUM(E8:E15)</f>
        <v>26917.519999999997</v>
      </c>
      <c r="F16" s="1394"/>
      <c r="G16" s="2240"/>
      <c r="H16" s="2243" t="s">
        <v>1945</v>
      </c>
      <c r="I16" s="2244"/>
      <c r="J16" s="1394"/>
      <c r="K16" s="3119" t="s">
        <v>1945</v>
      </c>
      <c r="L16" s="3120"/>
      <c r="M16" s="3120"/>
      <c r="N16" s="3120"/>
      <c r="O16" s="3120"/>
      <c r="P16" s="3121"/>
    </row>
    <row r="17" spans="1:19" ht="15">
      <c r="A17" s="2245" t="s">
        <v>1946</v>
      </c>
      <c r="B17" s="2246" t="s">
        <v>1947</v>
      </c>
      <c r="C17" s="2247" t="s">
        <v>1948</v>
      </c>
      <c r="D17" s="2248" t="s">
        <v>1936</v>
      </c>
      <c r="E17" s="2249" t="s">
        <v>1937</v>
      </c>
      <c r="F17" s="2250"/>
      <c r="G17" s="2251"/>
      <c r="H17" s="2252" t="s">
        <v>1949</v>
      </c>
      <c r="I17" s="2253" t="s">
        <v>1934</v>
      </c>
      <c r="J17" s="1394"/>
      <c r="K17" s="3116" t="s">
        <v>1950</v>
      </c>
      <c r="L17" s="3117"/>
      <c r="M17" s="3118"/>
      <c r="N17" s="3116" t="s">
        <v>1951</v>
      </c>
      <c r="O17" s="3117"/>
      <c r="P17" s="3118"/>
      <c r="R17" s="2231" t="s">
        <v>1952</v>
      </c>
      <c r="S17" s="64"/>
    </row>
    <row r="18" spans="1:19" ht="15">
      <c r="A18" s="2241"/>
      <c r="B18" s="2254"/>
      <c r="C18" s="2255"/>
      <c r="D18" s="2256"/>
      <c r="E18" s="2257" t="s">
        <v>1953</v>
      </c>
      <c r="F18" s="2258" t="s">
        <v>1954</v>
      </c>
      <c r="G18" s="2259" t="s">
        <v>1955</v>
      </c>
      <c r="H18" s="1264" t="s">
        <v>1956</v>
      </c>
      <c r="I18" s="2260" t="s">
        <v>1957</v>
      </c>
      <c r="J18" s="1394"/>
      <c r="K18" s="1264" t="s">
        <v>1958</v>
      </c>
      <c r="L18" s="2261" t="s">
        <v>1959</v>
      </c>
      <c r="M18" s="1048" t="s">
        <v>1960</v>
      </c>
      <c r="N18" s="1264" t="s">
        <v>1958</v>
      </c>
      <c r="O18" s="2261" t="s">
        <v>1959</v>
      </c>
      <c r="P18" s="1048" t="s">
        <v>1960</v>
      </c>
      <c r="R18" s="1249" t="s">
        <v>1961</v>
      </c>
      <c r="S18" s="1249" t="s">
        <v>1962</v>
      </c>
    </row>
    <row r="19" spans="1:19">
      <c r="A19" s="2262"/>
      <c r="B19" s="50" t="s">
        <v>1935</v>
      </c>
      <c r="C19" s="2966" t="s">
        <v>3062</v>
      </c>
      <c r="D19" s="48">
        <f>ROUND($D$3*E19/$E$3,2)</f>
        <v>184.95</v>
      </c>
      <c r="E19" s="56">
        <f t="shared" ref="E19:E26" si="1">SUM(F19:G19)</f>
        <v>1316.46</v>
      </c>
      <c r="F19" s="57">
        <f>'数据-基础表'!I13</f>
        <v>1316.46</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184.95</v>
      </c>
      <c r="S19" s="1250">
        <f t="shared" si="5"/>
        <v>1316.46</v>
      </c>
    </row>
    <row r="20" spans="1:19">
      <c r="A20" s="2265"/>
      <c r="B20" s="50" t="s">
        <v>1963</v>
      </c>
      <c r="C20" s="2966" t="s">
        <v>3063</v>
      </c>
      <c r="D20" s="48">
        <f t="shared" ref="D20:D26" si="6">ROUND($D$3*E20/$E$3,2)</f>
        <v>697.91</v>
      </c>
      <c r="E20" s="56">
        <f t="shared" si="1"/>
        <v>4967.6099999999997</v>
      </c>
      <c r="F20" s="57">
        <f>'数据-基础表'!K14</f>
        <v>4967.6099999999997</v>
      </c>
      <c r="G20" s="58"/>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697.91</v>
      </c>
      <c r="S20" s="1250">
        <f t="shared" si="5"/>
        <v>4967.6099999999997</v>
      </c>
    </row>
    <row r="21" spans="1:19">
      <c r="A21" s="2265"/>
      <c r="B21" s="50" t="s">
        <v>1963</v>
      </c>
      <c r="C21" s="2966" t="s">
        <v>3064</v>
      </c>
      <c r="D21" s="48">
        <f t="shared" si="6"/>
        <v>580.22</v>
      </c>
      <c r="E21" s="56">
        <f t="shared" si="1"/>
        <v>4129.8999999999996</v>
      </c>
      <c r="F21" s="57"/>
      <c r="G21" s="58">
        <f>'数据-基础表'!M15</f>
        <v>4129.8999999999996</v>
      </c>
      <c r="H21" s="723">
        <f t="shared" si="7"/>
        <v>0</v>
      </c>
      <c r="I21" s="51">
        <f t="shared" si="2"/>
        <v>0</v>
      </c>
      <c r="J21" s="1394"/>
      <c r="K21" s="1393">
        <f t="shared" si="3"/>
        <v>0</v>
      </c>
      <c r="L21" s="1249">
        <f t="shared" si="4"/>
        <v>0</v>
      </c>
      <c r="M21" s="1405">
        <f t="shared" si="8"/>
        <v>0</v>
      </c>
      <c r="N21" s="2263"/>
      <c r="O21" s="2264"/>
      <c r="P21" s="1405">
        <f t="shared" si="9"/>
        <v>0</v>
      </c>
      <c r="R21" s="1249">
        <f t="shared" si="5"/>
        <v>580.22</v>
      </c>
      <c r="S21" s="1250">
        <f t="shared" si="5"/>
        <v>4129.8999999999996</v>
      </c>
    </row>
    <row r="22" spans="1:19">
      <c r="A22" s="2265"/>
      <c r="B22" s="50" t="s">
        <v>1963</v>
      </c>
      <c r="C22" s="2967" t="s">
        <v>3065</v>
      </c>
      <c r="D22" s="48">
        <f t="shared" si="6"/>
        <v>2318.62</v>
      </c>
      <c r="E22" s="56">
        <f t="shared" si="1"/>
        <v>16503.55</v>
      </c>
      <c r="F22" s="61"/>
      <c r="G22" s="62">
        <f>'数据-基础表'!O16</f>
        <v>16503.55</v>
      </c>
      <c r="H22" s="723">
        <f t="shared" si="7"/>
        <v>0</v>
      </c>
      <c r="I22" s="51">
        <f t="shared" si="2"/>
        <v>0</v>
      </c>
      <c r="J22" s="1394"/>
      <c r="K22" s="1393">
        <f t="shared" si="3"/>
        <v>0</v>
      </c>
      <c r="L22" s="1249">
        <f t="shared" si="4"/>
        <v>0</v>
      </c>
      <c r="M22" s="1405">
        <f t="shared" si="8"/>
        <v>0</v>
      </c>
      <c r="N22" s="2263"/>
      <c r="O22" s="2264"/>
      <c r="P22" s="1405">
        <f t="shared" si="9"/>
        <v>0</v>
      </c>
      <c r="R22" s="1249">
        <f t="shared" si="5"/>
        <v>2318.62</v>
      </c>
      <c r="S22" s="1250">
        <f t="shared" si="5"/>
        <v>16503.55</v>
      </c>
    </row>
    <row r="23" spans="1:19">
      <c r="A23" s="2265"/>
      <c r="B23" s="50" t="s">
        <v>1963</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1963</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1963</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1963</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1964</v>
      </c>
      <c r="D27" s="1395">
        <f>SUM(D19:D26)</f>
        <v>3781.7</v>
      </c>
      <c r="E27" s="1396">
        <f>IF(SUM(E19:E26)='数据-基础表'!BA5,SUM(E19:E26),IF(F27="地上面积有误","面积有误","地下面积有误"))</f>
        <v>26917.519999999997</v>
      </c>
      <c r="F27" s="1395">
        <f>IF(SUM(F19:F26)=E8,SUM(F19:F26),"地上面积有误")</f>
        <v>6284.07</v>
      </c>
      <c r="G27" s="1397">
        <f>SUM(G19:G26)</f>
        <v>20633.449999999997</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3781.7</v>
      </c>
      <c r="S27" s="1249">
        <f>IF(SUM(S19:S26)=$E$3,SUM(S19:S26),SUM(S19:S26)&amp;"误差"&amp;ROUND(SUM(S19:S26)-E3,2))</f>
        <v>26917.519999999997</v>
      </c>
    </row>
    <row r="28" spans="1:19">
      <c r="A28" s="2265"/>
      <c r="B28" s="50" t="s">
        <v>1965</v>
      </c>
      <c r="C28" s="1261" t="s">
        <v>1966</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1965</v>
      </c>
      <c r="C29" s="2269" t="s">
        <v>1967</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1964</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1968</v>
      </c>
      <c r="D31" s="729">
        <f>D27+D30</f>
        <v>3781.7</v>
      </c>
      <c r="E31" s="729">
        <f>E27+E30</f>
        <v>26917.519999999997</v>
      </c>
      <c r="F31" s="730">
        <f>F27+F30</f>
        <v>6284.07</v>
      </c>
      <c r="G31" s="731">
        <f>G27+G30</f>
        <v>20633.449999999997</v>
      </c>
      <c r="H31" s="1394"/>
      <c r="I31" s="1394"/>
      <c r="J31" s="1394"/>
      <c r="K31" s="1394"/>
      <c r="L31" s="1394"/>
      <c r="M31" s="1394"/>
      <c r="N31" s="1394"/>
      <c r="O31" s="1394"/>
      <c r="P31" s="1394"/>
    </row>
    <row r="32" spans="1:19">
      <c r="A32" s="2236"/>
      <c r="B32" s="2236" t="s">
        <v>1969</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1970</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1971</v>
      </c>
      <c r="B2" s="1268">
        <f>项目基本情况!D3</f>
        <v>43157</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1972</v>
      </c>
      <c r="B4" s="2283"/>
      <c r="C4" s="2284"/>
      <c r="D4" s="2285"/>
      <c r="E4" s="2284" t="s">
        <v>1973</v>
      </c>
      <c r="F4" s="2284"/>
      <c r="G4" s="2284"/>
      <c r="H4" s="2284"/>
      <c r="I4" s="2284"/>
      <c r="J4" s="2286"/>
      <c r="K4" s="2287"/>
      <c r="L4" s="2288"/>
      <c r="M4" s="2284"/>
      <c r="N4" s="2284" t="s">
        <v>1974</v>
      </c>
      <c r="O4" s="2284"/>
      <c r="P4" s="2284"/>
      <c r="Q4" s="2284"/>
      <c r="R4" s="2284"/>
      <c r="S4" s="2286"/>
      <c r="T4" s="2289" t="str">
        <f>'数据-汇总表'!I17</f>
        <v>按面积比例</v>
      </c>
      <c r="U4" s="2283" t="s">
        <v>1975</v>
      </c>
      <c r="V4" s="2284"/>
      <c r="W4" s="2284"/>
      <c r="X4" s="2284"/>
      <c r="Y4" s="2286"/>
      <c r="Z4" s="2247" t="s">
        <v>1976</v>
      </c>
      <c r="AA4" s="2247"/>
      <c r="AB4" s="2247"/>
      <c r="AC4" s="2247"/>
      <c r="AD4" s="2247"/>
      <c r="AE4" s="2245" t="s">
        <v>1977</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1978</v>
      </c>
      <c r="B5" s="2292" t="s">
        <v>1979</v>
      </c>
      <c r="C5" s="2293" t="s">
        <v>1980</v>
      </c>
      <c r="D5" s="2294" t="s">
        <v>1981</v>
      </c>
      <c r="E5" s="1270" t="s">
        <v>1982</v>
      </c>
      <c r="F5" s="2295" t="s">
        <v>1983</v>
      </c>
      <c r="G5" s="1270" t="s">
        <v>1984</v>
      </c>
      <c r="H5" s="1270" t="s">
        <v>1985</v>
      </c>
      <c r="I5" s="1270" t="s">
        <v>1986</v>
      </c>
      <c r="J5" s="2296" t="s">
        <v>1987</v>
      </c>
      <c r="K5" s="2297" t="s">
        <v>1988</v>
      </c>
      <c r="L5" s="2298" t="s">
        <v>1989</v>
      </c>
      <c r="M5" s="2299" t="s">
        <v>1990</v>
      </c>
      <c r="N5" s="2300" t="s">
        <v>3073</v>
      </c>
      <c r="O5" s="2298" t="s">
        <v>1991</v>
      </c>
      <c r="P5" s="2301" t="s">
        <v>1992</v>
      </c>
      <c r="Q5" s="69" t="s">
        <v>1993</v>
      </c>
      <c r="R5" s="2302" t="s">
        <v>1994</v>
      </c>
      <c r="S5" s="2303" t="s">
        <v>1995</v>
      </c>
      <c r="T5" s="2304" t="s">
        <v>1996</v>
      </c>
      <c r="U5" s="1269" t="s">
        <v>1997</v>
      </c>
      <c r="V5" s="1270" t="s">
        <v>1998</v>
      </c>
      <c r="W5" s="1270" t="s">
        <v>1999</v>
      </c>
      <c r="X5" s="71"/>
      <c r="Y5" s="70" t="s">
        <v>2000</v>
      </c>
      <c r="Z5" s="2305" t="s">
        <v>1997</v>
      </c>
      <c r="AA5" s="1270" t="s">
        <v>1998</v>
      </c>
      <c r="AB5" s="1270" t="s">
        <v>1999</v>
      </c>
      <c r="AC5" s="71"/>
      <c r="AD5" s="71" t="s">
        <v>2000</v>
      </c>
      <c r="AE5" s="1269" t="s">
        <v>2001</v>
      </c>
      <c r="AF5" s="1270" t="s">
        <v>2002</v>
      </c>
      <c r="AG5" s="70" t="s">
        <v>2003</v>
      </c>
      <c r="AH5" s="1269" t="s">
        <v>2004</v>
      </c>
      <c r="AI5" s="2305" t="s">
        <v>2005</v>
      </c>
      <c r="AJ5" s="2305" t="s">
        <v>2006</v>
      </c>
      <c r="AK5" s="1270" t="s">
        <v>2007</v>
      </c>
      <c r="AL5" s="1270" t="s">
        <v>2008</v>
      </c>
      <c r="AM5" s="70" t="s">
        <v>2009</v>
      </c>
      <c r="AN5" s="2306" t="s">
        <v>2010</v>
      </c>
      <c r="AO5" s="2077" t="s">
        <v>2011</v>
      </c>
      <c r="AP5" s="1251" t="s">
        <v>2012</v>
      </c>
      <c r="AQ5" s="2307" t="s">
        <v>2013</v>
      </c>
      <c r="AR5" s="2307"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1377</v>
      </c>
      <c r="D6" s="1053">
        <f>SUMIF(项目基本情况!D$12:I$12,C6,项目基本情况!D$14:I$14)</f>
        <v>40</v>
      </c>
      <c r="E6" s="1050">
        <f>IF(B6="","",SUMIF(项目基本情况!D$12:I$12,C6,项目基本情况!D$13:I$13))</f>
        <v>51810</v>
      </c>
      <c r="F6" s="72">
        <f>SUMIF(项目基本情况!D$12:I$12,C6,项目基本情况!D$15:I$15)</f>
        <v>23.7</v>
      </c>
      <c r="G6" s="73">
        <f>IF(ISERROR(ROUND(POWER(1+H6,D6-F6)*(POWER(1+H6,F6)-1)/(POWER(1+H6,D6)-1),3)),0,ROUND(POWER(1+H6,D6-F6)*(POWER(1+H6,F6)-1)/(POWER(1+H6,D6)-1),3))</f>
        <v>0.78200000000000003</v>
      </c>
      <c r="H6" s="802">
        <v>4.4999999999999998E-2</v>
      </c>
      <c r="I6" s="802">
        <v>0.05</v>
      </c>
      <c r="J6" s="74">
        <v>0.08</v>
      </c>
      <c r="K6" s="1253">
        <f>SUMIF('数据-汇总表'!C$19:C$33,A6,'数据-汇总表'!E$19:E$33)</f>
        <v>1316.46</v>
      </c>
      <c r="L6" s="3379">
        <v>4000</v>
      </c>
      <c r="M6" s="75">
        <f t="shared" ref="M6:M14" si="0">ROUND(K6*L6/10000,0)</f>
        <v>527</v>
      </c>
      <c r="N6" s="801">
        <f>ROUND(1-(2018-2007)/60,2)</f>
        <v>0.82</v>
      </c>
      <c r="O6" s="75" t="str">
        <f>IF($N$5="成新度","——",ROUND(M6*N6,0))</f>
        <v>——</v>
      </c>
      <c r="P6" s="76" t="str">
        <f>IF($N$5="成新度","——",M6-O6)</f>
        <v>——</v>
      </c>
      <c r="Q6" s="3381">
        <v>0.2</v>
      </c>
      <c r="R6" s="77">
        <f ca="1">SUMIF('数据-汇总表'!C$19:C$33,A6,'数据-汇总表'!R$19:R$27)</f>
        <v>184.95</v>
      </c>
      <c r="S6" s="54">
        <f>IF('数据-汇总表'!$I$17="按面积比例",SUMIF('数据-汇总表'!C$19:C$33,A6,'数据-汇总表'!K$19:K$33),SUMIF('数据-汇总表'!C$19:C$33,A6,'数据-汇总表'!N$19:N$33))</f>
        <v>0</v>
      </c>
      <c r="T6" s="1445">
        <f>ROUND($L$14*S6/10000,0)</f>
        <v>0</v>
      </c>
      <c r="U6" s="78">
        <v>5</v>
      </c>
      <c r="V6" s="79">
        <v>0.02</v>
      </c>
      <c r="W6" s="79">
        <v>0.1</v>
      </c>
      <c r="X6" s="1263"/>
      <c r="Y6" s="80">
        <f>N6</f>
        <v>0.82</v>
      </c>
      <c r="Z6" s="81"/>
      <c r="AA6" s="74"/>
      <c r="AB6" s="74"/>
      <c r="AC6" s="1263"/>
      <c r="AD6" s="82"/>
      <c r="AE6" s="1264">
        <f ca="1">IF(AN6="",0,SUMIF(INDIRECT("'"&amp;AN6&amp;"'"&amp;"!E:E"),$AE$5,INDIRECT("'"&amp;AN6&amp;"'"&amp;"!F:F")))</f>
        <v>23.7</v>
      </c>
      <c r="AF6" s="1806"/>
      <c r="AG6" s="147">
        <f>IF(AF6="",0,AE6-AF6)</f>
        <v>0</v>
      </c>
      <c r="AH6" s="83"/>
      <c r="AI6" s="85">
        <v>365</v>
      </c>
      <c r="AJ6" s="86"/>
      <c r="AK6" s="87">
        <v>1.4999999999999999E-2</v>
      </c>
      <c r="AL6" s="88">
        <v>1.5E-3</v>
      </c>
      <c r="AM6" s="89">
        <v>0.02</v>
      </c>
      <c r="AN6" s="2311" t="s">
        <v>3105</v>
      </c>
      <c r="AO6" s="55">
        <f ca="1">SUMIF(INDIRECT("'"&amp;AN6&amp;"'"&amp;"!A:A"),"总价",INDIRECT("'"&amp;AN6&amp;"'"&amp;"!B:B"))</f>
        <v>2982</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酒店配套</v>
      </c>
      <c r="B7" s="2309" t="str">
        <f t="shared" ref="B7:B13" si="1">IF(A7=0,"","经营性")</f>
        <v>经营性</v>
      </c>
      <c r="C7" s="2310" t="s">
        <v>1377</v>
      </c>
      <c r="D7" s="1053">
        <f>SUMIF(项目基本情况!D$12:I$12,C7,项目基本情况!D$14:I$14)</f>
        <v>40</v>
      </c>
      <c r="E7" s="1050">
        <f>IF(B7="","",SUMIF(项目基本情况!D$12:I$12,C7,项目基本情况!D$13:I$13))</f>
        <v>51810</v>
      </c>
      <c r="F7" s="72">
        <f>SUMIF(项目基本情况!D$12:I$12,C7,项目基本情况!D$15:I$15)</f>
        <v>23.7</v>
      </c>
      <c r="G7" s="73">
        <f t="shared" ref="G7:G11" si="2">IF(ISERROR(ROUND(POWER(1+H7,D7-F7)*(POWER(1+H7,F7)-1)/(POWER(1+H7,D7)-1),3)),0,ROUND(POWER(1+H7,D7-F7)*(POWER(1+H7,F7)-1)/(POWER(1+H7,D7)-1),3))</f>
        <v>0.79900000000000004</v>
      </c>
      <c r="H7" s="802">
        <v>0.05</v>
      </c>
      <c r="I7" s="802">
        <v>5.5E-2</v>
      </c>
      <c r="J7" s="74">
        <v>0.08</v>
      </c>
      <c r="K7" s="1253">
        <f>SUMIF('数据-汇总表'!C$19:C$33,A7,'数据-汇总表'!E$19:E$33)</f>
        <v>4967.6099999999997</v>
      </c>
      <c r="L7" s="3379">
        <v>4000</v>
      </c>
      <c r="M7" s="75">
        <f t="shared" si="0"/>
        <v>1987</v>
      </c>
      <c r="N7" s="801">
        <f>N6</f>
        <v>0.82</v>
      </c>
      <c r="O7" s="75" t="str">
        <f t="shared" ref="O7:O14" si="3">IF($N$5="成新度","——",ROUND(M7*N7,0))</f>
        <v>——</v>
      </c>
      <c r="P7" s="76" t="str">
        <f t="shared" ref="P7:P14" si="4">IF($N$5="成新度","——",M7-O7)</f>
        <v>——</v>
      </c>
      <c r="Q7" s="3381">
        <v>0.2</v>
      </c>
      <c r="R7" s="77">
        <f ca="1">SUMIF('数据-汇总表'!C$19:C$33,A7,'数据-汇总表'!R$19:R$27)</f>
        <v>697.91</v>
      </c>
      <c r="S7" s="54">
        <f>IF('数据-汇总表'!$I$17="按面积比例",SUMIF('数据-汇总表'!C$19:C$33,A7,'数据-汇总表'!K$19:K$33),SUMIF('数据-汇总表'!C$19:C$33,A7,'数据-汇总表'!N$19:N$33))</f>
        <v>0</v>
      </c>
      <c r="T7" s="1445">
        <f t="shared" ref="T7:T13" si="5">ROUND($L$14*S7/10000,0)</f>
        <v>0</v>
      </c>
      <c r="U7" s="78">
        <v>6</v>
      </c>
      <c r="V7" s="79">
        <v>0.02</v>
      </c>
      <c r="W7" s="79">
        <v>0</v>
      </c>
      <c r="X7" s="1263"/>
      <c r="Y7" s="80">
        <f>N6</f>
        <v>0.82</v>
      </c>
      <c r="Z7" s="81"/>
      <c r="AA7" s="74"/>
      <c r="AB7" s="74"/>
      <c r="AC7" s="1263"/>
      <c r="AD7" s="82"/>
      <c r="AE7" s="1264">
        <f t="shared" ref="AE7:AE13" ca="1" si="6">IF(AN7="",0,SUMIF(INDIRECT("'"&amp;AN7&amp;"'"&amp;"!E:E"),$AE$5,INDIRECT("'"&amp;AN7&amp;"'"&amp;"!F:F")))</f>
        <v>23.7</v>
      </c>
      <c r="AF7" s="1806"/>
      <c r="AG7" s="147">
        <f t="shared" ref="AG7:AG13" si="7">IF(AF7="",0,AE7-AF7)</f>
        <v>0</v>
      </c>
      <c r="AH7" s="83"/>
      <c r="AI7" s="85">
        <v>365</v>
      </c>
      <c r="AJ7" s="86"/>
      <c r="AK7" s="94">
        <v>1.4999999999999999E-2</v>
      </c>
      <c r="AL7" s="88">
        <v>1.5E-3</v>
      </c>
      <c r="AM7" s="3378">
        <v>0.05</v>
      </c>
      <c r="AN7" s="2311" t="s">
        <v>3103</v>
      </c>
      <c r="AO7" s="55">
        <f t="shared" ref="AO7:AO13" ca="1" si="8">SUMIF(INDIRECT("'"&amp;AN7&amp;"'"&amp;"!A:A"),"总价",INDIRECT("'"&amp;AN7&amp;"'"&amp;"!B:B"))</f>
        <v>14155</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地下商业</v>
      </c>
      <c r="B8" s="2309" t="str">
        <f t="shared" si="1"/>
        <v>经营性</v>
      </c>
      <c r="C8" s="2310" t="s">
        <v>1377</v>
      </c>
      <c r="D8" s="1053">
        <f>SUMIF(项目基本情况!D$12:I$12,C8,项目基本情况!D$14:I$14)</f>
        <v>40</v>
      </c>
      <c r="E8" s="1050">
        <f>IF(B8="","",SUMIF(项目基本情况!D$12:I$12,C8,项目基本情况!D$13:I$13))</f>
        <v>51810</v>
      </c>
      <c r="F8" s="72">
        <f>SUMIF(项目基本情况!D$12:I$12,C8,项目基本情况!D$15:I$15)</f>
        <v>23.7</v>
      </c>
      <c r="G8" s="73">
        <f t="shared" si="2"/>
        <v>0.79900000000000004</v>
      </c>
      <c r="H8" s="802">
        <v>0.05</v>
      </c>
      <c r="I8" s="802">
        <v>5.5E-2</v>
      </c>
      <c r="J8" s="74">
        <v>0.08</v>
      </c>
      <c r="K8" s="1253">
        <f>SUMIF('数据-汇总表'!C$19:C$33,A8,'数据-汇总表'!E$19:E$33)</f>
        <v>4129.8999999999996</v>
      </c>
      <c r="L8" s="803">
        <v>2500</v>
      </c>
      <c r="M8" s="75">
        <f>ROUND(K8*L8/10000,0)</f>
        <v>1032</v>
      </c>
      <c r="N8" s="801">
        <f>N6</f>
        <v>0.82</v>
      </c>
      <c r="O8" s="75" t="str">
        <f t="shared" si="3"/>
        <v>——</v>
      </c>
      <c r="P8" s="76" t="str">
        <f t="shared" si="4"/>
        <v>——</v>
      </c>
      <c r="Q8" s="3381">
        <v>0.2</v>
      </c>
      <c r="R8" s="77">
        <f ca="1">SUMIF('数据-汇总表'!C$19:C$33,A8,'数据-汇总表'!R$19:R$27)</f>
        <v>580.22</v>
      </c>
      <c r="S8" s="54">
        <f>IF('数据-汇总表'!$I$17="按面积比例",SUMIF('数据-汇总表'!C$19:C$33,A8,'数据-汇总表'!K$19:K$33),SUMIF('数据-汇总表'!C$19:C$33,A8,'数据-汇总表'!N$19:N$33))</f>
        <v>0</v>
      </c>
      <c r="T8" s="1445">
        <f t="shared" si="5"/>
        <v>0</v>
      </c>
      <c r="U8" s="804">
        <v>5</v>
      </c>
      <c r="V8" s="805">
        <v>0.02</v>
      </c>
      <c r="W8" s="805">
        <v>0.1</v>
      </c>
      <c r="X8" s="1263"/>
      <c r="Y8" s="806">
        <f>N6</f>
        <v>0.82</v>
      </c>
      <c r="Z8" s="81"/>
      <c r="AA8" s="74"/>
      <c r="AB8" s="74"/>
      <c r="AC8" s="1263"/>
      <c r="AD8" s="82"/>
      <c r="AE8" s="1264">
        <f t="shared" ca="1" si="6"/>
        <v>23.7</v>
      </c>
      <c r="AF8" s="1806"/>
      <c r="AG8" s="147">
        <f t="shared" si="7"/>
        <v>0</v>
      </c>
      <c r="AH8" s="807"/>
      <c r="AI8" s="85">
        <v>365</v>
      </c>
      <c r="AJ8" s="86"/>
      <c r="AK8" s="808">
        <v>1.4999999999999999E-2</v>
      </c>
      <c r="AL8" s="809">
        <v>1.5E-3</v>
      </c>
      <c r="AM8" s="810">
        <v>0.02</v>
      </c>
      <c r="AN8" s="2311" t="s">
        <v>3107</v>
      </c>
      <c r="AO8" s="55">
        <f t="shared" ca="1" si="8"/>
        <v>9248</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t="str">
        <f>'数据-汇总表'!C22</f>
        <v>地下车库</v>
      </c>
      <c r="B9" s="2309" t="str">
        <f t="shared" si="1"/>
        <v>经营性</v>
      </c>
      <c r="C9" s="2310" t="s">
        <v>3061</v>
      </c>
      <c r="D9" s="1053">
        <f>SUMIF(项目基本情况!D$12:I$12,C9,项目基本情况!D$14:I$14)</f>
        <v>50</v>
      </c>
      <c r="E9" s="1050">
        <f>IF(B9="","",SUMIF(项目基本情况!D$12:I$12,C9,项目基本情况!D$13:I$13))</f>
        <v>55462</v>
      </c>
      <c r="F9" s="72">
        <f>SUMIF(项目基本情况!D$12:I$12,C9,项目基本情况!D$15:I$15)</f>
        <v>33.71</v>
      </c>
      <c r="G9" s="73">
        <f t="shared" si="2"/>
        <v>0.85399999999999998</v>
      </c>
      <c r="H9" s="74">
        <v>0.04</v>
      </c>
      <c r="I9" s="74">
        <v>4.4999999999999998E-2</v>
      </c>
      <c r="J9" s="74">
        <v>0.08</v>
      </c>
      <c r="K9" s="1253">
        <f>SUMIF('数据-汇总表'!C$19:C$33,A9,'数据-汇总表'!E$19:E$33)</f>
        <v>16503.55</v>
      </c>
      <c r="L9" s="803">
        <v>1800</v>
      </c>
      <c r="M9" s="75">
        <f t="shared" si="0"/>
        <v>2971</v>
      </c>
      <c r="N9" s="801">
        <f>N6</f>
        <v>0.82</v>
      </c>
      <c r="O9" s="75" t="str">
        <f t="shared" si="3"/>
        <v>——</v>
      </c>
      <c r="P9" s="76" t="str">
        <f t="shared" si="4"/>
        <v>——</v>
      </c>
      <c r="Q9" s="3380">
        <v>0.2</v>
      </c>
      <c r="R9" s="77">
        <f ca="1">SUMIF('数据-汇总表'!C$19:C$33,A9,'数据-汇总表'!R$19:R$27)</f>
        <v>2318.62</v>
      </c>
      <c r="S9" s="54">
        <f>IF('数据-汇总表'!$I$17="按面积比例",SUMIF('数据-汇总表'!C$19:C$33,A9,'数据-汇总表'!K$19:K$33),SUMIF('数据-汇总表'!C$19:C$33,A9,'数据-汇总表'!N$19:N$33))</f>
        <v>0</v>
      </c>
      <c r="T9" s="1445">
        <f t="shared" si="5"/>
        <v>0</v>
      </c>
      <c r="U9" s="78">
        <v>1400</v>
      </c>
      <c r="V9" s="79">
        <v>0.02</v>
      </c>
      <c r="W9" s="79">
        <v>0.1</v>
      </c>
      <c r="X9" s="1263"/>
      <c r="Y9" s="80">
        <f>N6</f>
        <v>0.82</v>
      </c>
      <c r="Z9" s="81"/>
      <c r="AA9" s="74"/>
      <c r="AB9" s="74"/>
      <c r="AC9" s="1263"/>
      <c r="AD9" s="82"/>
      <c r="AE9" s="1264">
        <f t="shared" ca="1" si="6"/>
        <v>33.71</v>
      </c>
      <c r="AF9" s="1806"/>
      <c r="AG9" s="147">
        <f t="shared" si="7"/>
        <v>0</v>
      </c>
      <c r="AH9" s="83">
        <v>311</v>
      </c>
      <c r="AI9" s="85">
        <v>12</v>
      </c>
      <c r="AJ9" s="86"/>
      <c r="AK9" s="87">
        <v>1.4999999999999999E-2</v>
      </c>
      <c r="AL9" s="88">
        <v>1.5E-3</v>
      </c>
      <c r="AM9" s="89">
        <v>0.02</v>
      </c>
      <c r="AN9" s="2311" t="s">
        <v>3080</v>
      </c>
      <c r="AO9" s="55">
        <f t="shared" ca="1" si="8"/>
        <v>6941</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2015</v>
      </c>
      <c r="B14" s="2309" t="s">
        <v>2016</v>
      </c>
      <c r="C14" s="2314" t="s">
        <v>2015</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2017</v>
      </c>
      <c r="B15" s="2309" t="s">
        <v>2016</v>
      </c>
      <c r="C15" s="2314" t="s">
        <v>2018</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2019</v>
      </c>
      <c r="B16" s="97"/>
      <c r="C16" s="1007"/>
      <c r="D16" s="2316"/>
      <c r="E16" s="97"/>
      <c r="F16" s="97"/>
      <c r="G16" s="98">
        <f>ROUND(SUMPRODUCT(G6:G13,K6:K13)/SUMPRODUCT((G6:G13&gt;0)*(K6:K13)),3)</f>
        <v>0.83199999999999996</v>
      </c>
      <c r="H16" s="99">
        <f>ROUND(SUMPRODUCT(H6:H13,K6:K13)/SUMPRODUCT((H6:H13&gt;0)*(K6:K13)),3)</f>
        <v>4.3999999999999997E-2</v>
      </c>
      <c r="I16" s="100"/>
      <c r="J16" s="100"/>
      <c r="K16" s="101">
        <f>SUM(K6:K15)</f>
        <v>26917.519999999997</v>
      </c>
      <c r="L16" s="102">
        <f>ROUND(M16*10000/SUM(K6:K14),0)</f>
        <v>2421</v>
      </c>
      <c r="M16" s="102">
        <f>SUM(M6:M14)</f>
        <v>6517</v>
      </c>
      <c r="N16" s="103">
        <f>ROUND(SUMPRODUCT(M6:M14,N6:N14)/M16,3)</f>
        <v>0.82</v>
      </c>
      <c r="O16" s="102">
        <f>SUM(O6:O14)</f>
        <v>0</v>
      </c>
      <c r="P16" s="102">
        <f>SUM(P6:P14)</f>
        <v>0</v>
      </c>
      <c r="Q16" s="104">
        <f>ROUND(SUMPRODUCT(Q6:Q13,K6:K13)/SUMPRODUCT((Q6:Q13&gt;0)*(K6:K13)),2)</f>
        <v>0.2</v>
      </c>
      <c r="R16" s="1257">
        <f ca="1">SUM(R6:R13)</f>
        <v>3781.7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2020</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2021</v>
      </c>
      <c r="B19" s="112">
        <v>0</v>
      </c>
      <c r="C19" s="2279" t="s">
        <v>2022</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2023</v>
      </c>
      <c r="B20" s="113">
        <v>2</v>
      </c>
      <c r="C20" s="2279" t="s">
        <v>2024</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2025</v>
      </c>
      <c r="B21" s="113">
        <v>2</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2026</v>
      </c>
      <c r="B22" s="114">
        <f>B19+B20</f>
        <v>2</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2027</v>
      </c>
      <c r="B23" s="114">
        <f>B19+B21</f>
        <v>2</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2028</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2029</v>
      </c>
      <c r="B26" s="2322" t="s">
        <v>2030</v>
      </c>
      <c r="C26" s="2323" t="s">
        <v>2031</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2032</v>
      </c>
      <c r="B27" s="116"/>
      <c r="C27" s="1766" t="s">
        <v>2033</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2034</v>
      </c>
      <c r="B28" s="119">
        <v>200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2035</v>
      </c>
      <c r="B29" s="121"/>
      <c r="C29" s="1766" t="s">
        <v>2036</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2037</v>
      </c>
      <c r="B30" s="724">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2038</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2039</v>
      </c>
      <c r="B32" s="725">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2040</v>
      </c>
      <c r="B33" s="726">
        <v>0.04</v>
      </c>
      <c r="C33" s="1765" t="s">
        <v>2041</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2042</v>
      </c>
      <c r="B34" s="122">
        <v>0.05</v>
      </c>
      <c r="C34" s="1765" t="s">
        <v>2043</v>
      </c>
      <c r="D34" s="2280" t="s">
        <v>2044</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2045</v>
      </c>
      <c r="B35" s="119">
        <v>200</v>
      </c>
      <c r="C35" s="1765" t="s">
        <v>2046</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2047</v>
      </c>
      <c r="B36" s="123">
        <v>1.4999999999999999E-2</v>
      </c>
      <c r="C36" s="1765" t="s">
        <v>2048</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2049</v>
      </c>
      <c r="B37" s="124">
        <v>0.02</v>
      </c>
      <c r="C37" s="1765" t="s">
        <v>2050</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2051</v>
      </c>
      <c r="B38" s="122">
        <v>0.02</v>
      </c>
      <c r="C38" s="1765" t="s">
        <v>2050</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2052</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2053</v>
      </c>
      <c r="B40" s="1302">
        <f ca="1">存贷款利率!G1</f>
        <v>4.7500000000000001E-2</v>
      </c>
      <c r="C40" s="1765" t="s">
        <v>2054</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2055</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2056</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2057</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2058</v>
      </c>
      <c r="B44" s="128">
        <v>7.0000000000000007E-2</v>
      </c>
      <c r="C44" s="1765" t="s">
        <v>2059</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2060</v>
      </c>
      <c r="B45" s="126">
        <v>0.03</v>
      </c>
      <c r="C45" s="1766" t="s">
        <v>2061</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2062</v>
      </c>
      <c r="B46" s="126">
        <v>0.02</v>
      </c>
      <c r="C46" s="1766" t="s">
        <v>2063</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2064</v>
      </c>
      <c r="B47" s="129"/>
      <c r="C47" s="1766" t="s">
        <v>2065</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2066</v>
      </c>
      <c r="B48" s="130">
        <v>0.03</v>
      </c>
      <c r="C48" s="1773" t="s">
        <v>2067</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2068</v>
      </c>
      <c r="B49" s="126">
        <v>5.0000000000000001E-4</v>
      </c>
      <c r="C49" s="1773" t="s">
        <v>2069</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2070</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2071</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2072</v>
      </c>
      <c r="B52" s="133">
        <f>SUMIF(A54:A63,B53,B54:B63)</f>
        <v>30</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2073</v>
      </c>
      <c r="B53" s="2338" t="s">
        <v>212</v>
      </c>
      <c r="C53" s="1429" t="s">
        <v>2074</v>
      </c>
      <c r="D53" s="2339" t="s">
        <v>2075</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2076</v>
      </c>
      <c r="B54" s="84">
        <v>30</v>
      </c>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2077</v>
      </c>
      <c r="B55" s="84">
        <v>24</v>
      </c>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2078</v>
      </c>
      <c r="B56" s="84">
        <v>18</v>
      </c>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2079</v>
      </c>
      <c r="B57" s="84">
        <v>12</v>
      </c>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2080</v>
      </c>
      <c r="B58" s="84">
        <v>3</v>
      </c>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2081</v>
      </c>
      <c r="B59" s="84">
        <v>1.5</v>
      </c>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2082</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2083</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2084</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2085</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8"/>
      <c r="L64" s="798"/>
    </row>
    <row r="65" spans="1:12" s="966" customFormat="1">
      <c r="A65" s="2343"/>
      <c r="D65" s="2344"/>
      <c r="K65" s="798"/>
      <c r="L65" s="798"/>
    </row>
    <row r="66" spans="1:12" s="966" customFormat="1">
      <c r="A66" s="2343"/>
      <c r="D66" s="2344"/>
      <c r="K66" s="798"/>
      <c r="L66" s="798"/>
    </row>
    <row r="67" spans="1:12" s="966" customFormat="1">
      <c r="A67" s="2343"/>
      <c r="D67" s="2344"/>
      <c r="K67" s="798"/>
      <c r="L67" s="798"/>
    </row>
    <row r="68" spans="1:12" s="966" customFormat="1">
      <c r="A68" s="2343"/>
      <c r="D68" s="2344"/>
      <c r="K68" s="798"/>
      <c r="L68" s="798"/>
    </row>
    <row r="69" spans="1:12" s="966" customFormat="1">
      <c r="A69" s="2343"/>
      <c r="D69" s="2344"/>
      <c r="K69" s="798"/>
      <c r="L69" s="798"/>
    </row>
    <row r="70" spans="1:12" s="966" customFormat="1">
      <c r="A70" s="2343"/>
      <c r="D70" s="2344"/>
      <c r="K70" s="798"/>
      <c r="L70" s="798"/>
    </row>
    <row r="71" spans="1:12" s="966" customFormat="1">
      <c r="A71" s="2343"/>
      <c r="D71" s="2344"/>
      <c r="K71" s="798"/>
      <c r="L71" s="798"/>
    </row>
    <row r="72" spans="1:12" s="966" customFormat="1">
      <c r="A72" s="2343"/>
      <c r="D72" s="2344"/>
      <c r="K72" s="798"/>
      <c r="L72" s="798"/>
    </row>
    <row r="73" spans="1:12" s="966" customFormat="1">
      <c r="A73" s="2343"/>
      <c r="D73" s="2344"/>
      <c r="K73" s="798"/>
      <c r="L73" s="798"/>
    </row>
    <row r="74" spans="1:12" s="966" customFormat="1">
      <c r="A74" s="2343"/>
      <c r="D74" s="2344"/>
      <c r="K74" s="798"/>
      <c r="L74" s="798"/>
    </row>
    <row r="75" spans="1:12" s="966" customFormat="1">
      <c r="A75" s="2343"/>
      <c r="D75" s="2344"/>
      <c r="K75" s="798"/>
      <c r="L75" s="798"/>
    </row>
    <row r="76" spans="1:12" s="966" customFormat="1">
      <c r="A76" s="2343"/>
      <c r="D76" s="2344"/>
      <c r="K76" s="798"/>
      <c r="L76" s="798"/>
    </row>
    <row r="77" spans="1:12" s="966" customFormat="1">
      <c r="A77" s="2343"/>
      <c r="D77" s="2344"/>
      <c r="K77" s="798"/>
      <c r="L77" s="798"/>
    </row>
    <row r="78" spans="1:12" s="966" customFormat="1">
      <c r="A78" s="2343"/>
      <c r="D78" s="2344"/>
      <c r="K78" s="798"/>
      <c r="L78" s="798"/>
    </row>
    <row r="79" spans="1:12" s="966" customFormat="1">
      <c r="A79" s="2343"/>
      <c r="D79" s="2344"/>
      <c r="K79" s="798"/>
      <c r="L79" s="798"/>
    </row>
    <row r="80" spans="1:12" s="966" customFormat="1">
      <c r="A80" s="2343"/>
      <c r="D80" s="2344"/>
      <c r="K80" s="798"/>
      <c r="L80" s="798"/>
    </row>
    <row r="81" spans="1:12" s="966" customFormat="1">
      <c r="A81" s="2343"/>
      <c r="D81" s="2344"/>
      <c r="K81" s="798"/>
      <c r="L81" s="798"/>
    </row>
    <row r="82" spans="1:12" s="966" customFormat="1">
      <c r="A82" s="2343"/>
      <c r="D82" s="2344"/>
      <c r="K82" s="798"/>
      <c r="L82" s="798"/>
    </row>
    <row r="83" spans="1:12" s="966" customFormat="1">
      <c r="A83" s="2343"/>
      <c r="D83" s="2344"/>
      <c r="K83" s="798"/>
      <c r="L83" s="798"/>
    </row>
    <row r="84" spans="1:12" s="966" customFormat="1">
      <c r="A84" s="2343"/>
      <c r="D84" s="2344"/>
      <c r="K84" s="798"/>
      <c r="L84" s="798"/>
    </row>
    <row r="85" spans="1:12" s="966" customFormat="1">
      <c r="A85" s="2343"/>
      <c r="D85" s="2344"/>
      <c r="K85" s="798"/>
      <c r="L85" s="798"/>
    </row>
    <row r="86" spans="1:12" s="966" customFormat="1">
      <c r="A86" s="2343"/>
      <c r="D86" s="2344"/>
      <c r="K86" s="798"/>
      <c r="L86" s="798"/>
    </row>
    <row r="87" spans="1:12" s="966" customFormat="1">
      <c r="A87" s="2343"/>
      <c r="D87" s="2344"/>
      <c r="K87" s="798"/>
      <c r="L87" s="798"/>
    </row>
    <row r="88" spans="1:12" s="966" customFormat="1">
      <c r="A88" s="2343"/>
      <c r="D88" s="2344"/>
      <c r="K88" s="798"/>
      <c r="L88" s="798"/>
    </row>
    <row r="89" spans="1:12" s="966" customFormat="1">
      <c r="A89" s="2343"/>
      <c r="D89" s="2344"/>
      <c r="K89" s="798"/>
      <c r="L89" s="798"/>
    </row>
    <row r="90" spans="1:12" s="966" customFormat="1">
      <c r="A90" s="2343"/>
      <c r="D90" s="2344"/>
      <c r="K90" s="798"/>
      <c r="L90" s="798"/>
    </row>
    <row r="91" spans="1:12" s="966" customFormat="1">
      <c r="A91" s="2343"/>
      <c r="D91" s="2344"/>
      <c r="K91" s="798"/>
      <c r="L91" s="798"/>
    </row>
    <row r="92" spans="1:12" s="966" customFormat="1">
      <c r="A92" s="2343"/>
      <c r="D92" s="2344"/>
      <c r="K92" s="798"/>
      <c r="L92" s="798"/>
    </row>
    <row r="93" spans="1:12" s="966" customFormat="1">
      <c r="A93" s="2343"/>
      <c r="D93" s="2344"/>
      <c r="K93" s="798"/>
      <c r="L93" s="798"/>
    </row>
    <row r="94" spans="1:12" s="966" customFormat="1">
      <c r="A94" s="2343"/>
      <c r="D94" s="2344"/>
      <c r="K94" s="798"/>
      <c r="L94" s="798"/>
    </row>
    <row r="95" spans="1:12" s="966" customFormat="1">
      <c r="A95" s="2343"/>
      <c r="D95" s="2344"/>
      <c r="K95" s="798"/>
      <c r="L95" s="798"/>
    </row>
    <row r="96" spans="1:12" s="966" customFormat="1">
      <c r="A96" s="2343"/>
      <c r="D96" s="2344"/>
      <c r="K96" s="798"/>
      <c r="L96" s="798"/>
    </row>
    <row r="97" spans="1:12" s="966" customFormat="1">
      <c r="A97" s="2343"/>
      <c r="D97" s="2344"/>
      <c r="K97" s="798"/>
      <c r="L97" s="798"/>
    </row>
    <row r="98" spans="1:12" s="966" customFormat="1">
      <c r="A98" s="2343"/>
      <c r="D98" s="2344"/>
      <c r="K98" s="798"/>
      <c r="L98" s="798"/>
    </row>
    <row r="99" spans="1:12" s="966" customFormat="1">
      <c r="A99" s="2343"/>
      <c r="D99" s="2344"/>
      <c r="K99" s="798"/>
      <c r="L99" s="798"/>
    </row>
    <row r="100" spans="1:12" s="966" customFormat="1">
      <c r="A100" s="2343"/>
      <c r="D100" s="2344"/>
      <c r="K100" s="798"/>
      <c r="L100" s="798"/>
    </row>
    <row r="101" spans="1:12" s="966" customFormat="1">
      <c r="A101" s="2343"/>
      <c r="D101" s="2344"/>
      <c r="K101" s="798"/>
      <c r="L101" s="798"/>
    </row>
    <row r="102" spans="1:12" s="966" customFormat="1">
      <c r="A102" s="2343"/>
      <c r="D102" s="2344"/>
      <c r="K102" s="798"/>
      <c r="L102" s="798"/>
    </row>
    <row r="103" spans="1:12" s="966" customFormat="1">
      <c r="A103" s="2343"/>
      <c r="D103" s="2344"/>
      <c r="K103" s="798"/>
      <c r="L103" s="798"/>
    </row>
    <row r="104" spans="1:12" s="966" customFormat="1">
      <c r="A104" s="2343"/>
      <c r="D104" s="2344"/>
      <c r="K104" s="798"/>
      <c r="L104" s="798"/>
    </row>
    <row r="105" spans="1:12" s="966" customFormat="1">
      <c r="A105" s="2343"/>
      <c r="D105" s="2344"/>
      <c r="K105" s="798"/>
      <c r="L105" s="798"/>
    </row>
    <row r="106" spans="1:12" s="966" customFormat="1">
      <c r="A106" s="2343"/>
      <c r="D106" s="2344"/>
      <c r="K106" s="798"/>
      <c r="L106" s="798"/>
    </row>
    <row r="107" spans="1:12" s="966" customFormat="1">
      <c r="A107" s="2343"/>
      <c r="D107" s="2344"/>
      <c r="K107" s="798"/>
      <c r="L107" s="798"/>
    </row>
    <row r="108" spans="1:12" s="966" customFormat="1">
      <c r="A108" s="2343"/>
      <c r="D108" s="2344"/>
      <c r="K108" s="798"/>
      <c r="L108" s="798"/>
    </row>
    <row r="109" spans="1:12" s="966" customFormat="1">
      <c r="A109" s="2343"/>
      <c r="D109" s="2344"/>
      <c r="K109" s="798"/>
      <c r="L109" s="798"/>
    </row>
    <row r="110" spans="1:12" s="966" customFormat="1">
      <c r="A110" s="2343"/>
      <c r="D110" s="2344"/>
      <c r="K110" s="798"/>
      <c r="L110" s="798"/>
    </row>
    <row r="111" spans="1:12" s="966" customFormat="1">
      <c r="A111" s="2343"/>
      <c r="D111" s="2344"/>
      <c r="K111" s="798"/>
      <c r="L111" s="798"/>
    </row>
    <row r="112" spans="1:12" s="966" customFormat="1">
      <c r="A112" s="2343"/>
      <c r="D112" s="2344"/>
      <c r="K112" s="798"/>
      <c r="L112" s="798"/>
    </row>
    <row r="113" spans="1:12" s="966" customFormat="1">
      <c r="A113" s="2343"/>
      <c r="D113" s="2344"/>
      <c r="K113" s="798"/>
      <c r="L113" s="798"/>
    </row>
    <row r="114" spans="1:12" s="966" customFormat="1">
      <c r="A114" s="2343"/>
      <c r="D114" s="2344"/>
      <c r="K114" s="798"/>
      <c r="L114" s="798"/>
    </row>
    <row r="115" spans="1:12" s="966" customFormat="1">
      <c r="A115" s="2343"/>
      <c r="D115" s="2344"/>
      <c r="K115" s="798"/>
      <c r="L115" s="798"/>
    </row>
    <row r="116" spans="1:12" s="966" customFormat="1">
      <c r="A116" s="2343"/>
      <c r="D116" s="2344"/>
      <c r="K116" s="798"/>
      <c r="L116" s="798"/>
    </row>
    <row r="117" spans="1:12" s="966" customFormat="1">
      <c r="A117" s="2343"/>
      <c r="D117" s="2344"/>
      <c r="K117" s="798"/>
      <c r="L117" s="798"/>
    </row>
    <row r="118" spans="1:12" s="966" customFormat="1">
      <c r="A118" s="2343"/>
      <c r="D118" s="2344"/>
      <c r="K118" s="798"/>
      <c r="L118" s="798"/>
    </row>
    <row r="119" spans="1:12" s="966" customFormat="1">
      <c r="A119" s="2343"/>
      <c r="D119" s="2344"/>
      <c r="K119" s="798"/>
      <c r="L119" s="798"/>
    </row>
    <row r="120" spans="1:12" s="966" customFormat="1">
      <c r="A120" s="2343"/>
      <c r="D120" s="2344"/>
      <c r="K120" s="798"/>
      <c r="L120" s="798"/>
    </row>
    <row r="121" spans="1:12" s="966" customFormat="1">
      <c r="A121" s="2343"/>
      <c r="D121" s="2344"/>
      <c r="K121" s="798"/>
      <c r="L121" s="798"/>
    </row>
    <row r="122" spans="1:12" s="966" customFormat="1">
      <c r="A122" s="2343"/>
      <c r="D122" s="2344"/>
      <c r="K122" s="798"/>
      <c r="L122" s="798"/>
    </row>
    <row r="123" spans="1:12" s="966" customFormat="1">
      <c r="A123" s="2343"/>
      <c r="D123" s="2344"/>
      <c r="K123" s="798"/>
      <c r="L123" s="798"/>
    </row>
    <row r="124" spans="1:12" s="966" customFormat="1">
      <c r="A124" s="2343"/>
      <c r="D124" s="2344"/>
      <c r="K124" s="798"/>
      <c r="L124" s="798"/>
    </row>
    <row r="125" spans="1:12" s="966" customFormat="1">
      <c r="A125" s="2343"/>
      <c r="D125" s="2344"/>
      <c r="K125" s="798"/>
      <c r="L125" s="798"/>
    </row>
    <row r="126" spans="1:12" s="966" customFormat="1">
      <c r="A126" s="2343"/>
      <c r="D126" s="2344"/>
      <c r="K126" s="798"/>
      <c r="L126" s="798"/>
    </row>
    <row r="127" spans="1:12" s="966" customFormat="1">
      <c r="A127" s="2343"/>
      <c r="D127" s="2344"/>
      <c r="K127" s="798"/>
      <c r="L127" s="798"/>
    </row>
    <row r="128" spans="1:12" s="966" customFormat="1">
      <c r="A128" s="2343"/>
      <c r="D128" s="2344"/>
      <c r="K128" s="798"/>
      <c r="L128" s="798"/>
    </row>
    <row r="129" spans="1:12" s="966" customFormat="1">
      <c r="A129" s="2343"/>
      <c r="D129" s="2344"/>
      <c r="K129" s="798"/>
      <c r="L129" s="798"/>
    </row>
    <row r="130" spans="1:12" s="966" customFormat="1">
      <c r="A130" s="2343"/>
      <c r="D130" s="2344"/>
      <c r="K130" s="798"/>
      <c r="L130" s="798"/>
    </row>
    <row r="131" spans="1:12" s="966" customFormat="1">
      <c r="A131" s="2343"/>
      <c r="D131" s="2344"/>
      <c r="K131" s="798"/>
      <c r="L131" s="798"/>
    </row>
    <row r="132" spans="1:12" s="966" customFormat="1">
      <c r="A132" s="2343"/>
      <c r="D132" s="2344"/>
      <c r="K132" s="798"/>
      <c r="L132" s="798"/>
    </row>
    <row r="133" spans="1:12" s="966"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1" t="s">
        <v>2086</v>
      </c>
      <c r="B1" s="3132"/>
      <c r="C1" s="3132"/>
      <c r="D1" s="3132"/>
      <c r="E1" s="3132"/>
      <c r="F1" s="3132"/>
      <c r="G1" s="3132"/>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2087</v>
      </c>
      <c r="D2" s="2368"/>
      <c r="E2" s="2369"/>
      <c r="F2" s="2288"/>
      <c r="G2" s="2367" t="s">
        <v>2088</v>
      </c>
      <c r="H2" s="2370"/>
      <c r="I2" s="2370"/>
      <c r="J2" s="2370"/>
      <c r="K2" s="2370"/>
      <c r="L2" s="2370"/>
      <c r="M2" s="2370"/>
      <c r="N2" s="2370"/>
      <c r="O2" s="2370"/>
      <c r="P2" s="2370"/>
      <c r="Q2" s="2370"/>
      <c r="R2" s="2370"/>
    </row>
    <row r="3" spans="1:29" ht="54">
      <c r="A3" s="415" t="s">
        <v>2089</v>
      </c>
      <c r="B3" s="1270" t="s">
        <v>2090</v>
      </c>
      <c r="C3" s="2372" t="s">
        <v>2091</v>
      </c>
      <c r="D3" s="2373"/>
      <c r="E3" s="431" t="s">
        <v>2089</v>
      </c>
      <c r="F3" s="2374" t="s">
        <v>2092</v>
      </c>
      <c r="G3" s="2375" t="s">
        <v>2093</v>
      </c>
      <c r="H3" s="2370"/>
      <c r="I3" s="2370"/>
      <c r="J3" s="2370"/>
      <c r="K3" s="2370"/>
      <c r="L3" s="2370"/>
      <c r="M3" s="2370"/>
      <c r="N3" s="2370"/>
      <c r="O3" s="2370"/>
      <c r="P3" s="2370"/>
      <c r="Q3" s="2370"/>
      <c r="R3" s="2370"/>
    </row>
    <row r="4" spans="1:29" ht="41.25">
      <c r="A4" s="431"/>
      <c r="B4" s="1797" t="s">
        <v>2094</v>
      </c>
      <c r="C4" s="2376" t="s">
        <v>3160</v>
      </c>
      <c r="D4" s="2373"/>
      <c r="E4" s="2377"/>
      <c r="F4" s="42" t="s">
        <v>2095</v>
      </c>
      <c r="G4" s="2378" t="s">
        <v>2096</v>
      </c>
      <c r="H4" s="2370"/>
      <c r="I4" s="2370"/>
      <c r="J4" s="2370"/>
      <c r="K4" s="2370"/>
      <c r="L4" s="2370"/>
      <c r="M4" s="2370"/>
      <c r="N4" s="2370"/>
      <c r="O4" s="2370"/>
      <c r="P4" s="2370"/>
      <c r="Q4" s="2370"/>
      <c r="R4" s="2370"/>
    </row>
    <row r="5" spans="1:29" ht="41.25">
      <c r="A5" s="431"/>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1"/>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1"/>
      <c r="B7" s="1797" t="s">
        <v>2099</v>
      </c>
      <c r="C7" s="3032" t="s">
        <v>3165</v>
      </c>
      <c r="D7" s="2379"/>
      <c r="E7" s="2380"/>
      <c r="F7" s="2381" t="s">
        <v>2104</v>
      </c>
      <c r="G7" s="2382" t="s">
        <v>2105</v>
      </c>
      <c r="H7" s="2370"/>
      <c r="I7" s="2370"/>
      <c r="J7" s="2370"/>
      <c r="K7" s="2370"/>
      <c r="L7" s="2370"/>
      <c r="M7" s="2370"/>
      <c r="N7" s="2370"/>
      <c r="O7" s="2370"/>
      <c r="P7" s="2370"/>
      <c r="Q7" s="2370"/>
      <c r="R7" s="2370"/>
    </row>
    <row r="8" spans="1:29" ht="27">
      <c r="A8" s="431"/>
      <c r="B8" s="1797" t="s">
        <v>2102</v>
      </c>
      <c r="C8" s="3032" t="s">
        <v>3161</v>
      </c>
      <c r="D8" s="2379"/>
      <c r="E8" s="2379"/>
      <c r="F8" s="1135"/>
      <c r="G8" s="1135"/>
      <c r="H8" s="2370"/>
      <c r="I8" s="2370"/>
      <c r="J8" s="2370"/>
      <c r="K8" s="2370"/>
      <c r="L8" s="2370"/>
      <c r="M8" s="2370"/>
      <c r="N8" s="2370"/>
      <c r="O8" s="2370"/>
      <c r="P8" s="2370"/>
      <c r="Q8" s="2370"/>
      <c r="R8" s="2370"/>
    </row>
    <row r="9" spans="1:29" ht="27">
      <c r="A9" s="431"/>
      <c r="B9" s="1797" t="s">
        <v>2106</v>
      </c>
      <c r="C9" s="3033" t="s">
        <v>3162</v>
      </c>
      <c r="D9" s="2373"/>
      <c r="E9" s="2379"/>
      <c r="F9" s="1135"/>
      <c r="G9" s="1135"/>
      <c r="H9" s="2370"/>
      <c r="I9" s="2370"/>
      <c r="J9" s="2370"/>
      <c r="K9" s="2370"/>
      <c r="L9" s="2370"/>
      <c r="M9" s="2370"/>
      <c r="N9" s="2370"/>
      <c r="O9" s="2370"/>
      <c r="P9" s="2370"/>
      <c r="Q9" s="2370"/>
      <c r="R9" s="2370"/>
    </row>
    <row r="10" spans="1:29" s="117" customFormat="1" ht="15.75" thickBot="1">
      <c r="A10" s="2383"/>
      <c r="B10" s="2384" t="s">
        <v>2107</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2108</v>
      </c>
      <c r="B13" s="2390"/>
      <c r="C13" s="2390"/>
      <c r="D13" s="2397"/>
      <c r="E13" s="2390"/>
      <c r="F13" s="2390"/>
      <c r="G13" s="2390"/>
    </row>
    <row r="14" spans="1:29" ht="15.75" thickBot="1">
      <c r="A14" s="2401"/>
      <c r="B14" s="2402"/>
      <c r="C14" s="2403" t="s">
        <v>2109</v>
      </c>
      <c r="D14" s="2373"/>
      <c r="E14" s="2404"/>
      <c r="F14" s="2404"/>
      <c r="G14" s="2367" t="s">
        <v>2110</v>
      </c>
    </row>
    <row r="15" spans="1:29" ht="57">
      <c r="A15" s="68" t="s">
        <v>2111</v>
      </c>
      <c r="B15" s="1269" t="s">
        <v>2090</v>
      </c>
      <c r="C15" s="2405" t="str">
        <f>C3</f>
        <v>估价对象周边居住用地比例、居住小区规模和社区发展完善程度，综合评价居住社区成熟度一般</v>
      </c>
      <c r="D15" s="2373"/>
      <c r="E15" s="2406" t="s">
        <v>2112</v>
      </c>
      <c r="F15" s="1269" t="s">
        <v>2113</v>
      </c>
      <c r="G15" s="135" t="str">
        <f>G3</f>
        <v>估价对象位于XX开发区，园区建设成熟度XX，产业集聚程度XX</v>
      </c>
    </row>
    <row r="16" spans="1:29" ht="42.75">
      <c r="A16" s="645"/>
      <c r="B16" s="2407" t="s">
        <v>2094</v>
      </c>
      <c r="C16" s="2408" t="str">
        <f>C4</f>
        <v>估价对象位于XX商圈，周边商业氛围成熟，人流量大，商业繁华度较好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2114</v>
      </c>
      <c r="G17" s="1571"/>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2115</v>
      </c>
      <c r="C19" s="1571"/>
      <c r="D19" s="2373"/>
      <c r="E19" s="2409"/>
      <c r="F19" s="1797" t="s">
        <v>2099</v>
      </c>
      <c r="G19" s="136" t="str">
        <f>G5</f>
        <v>估价对象所在区域公共配套设施齐备情况</v>
      </c>
    </row>
    <row r="20" spans="1:18" ht="28.5">
      <c r="A20" s="645"/>
      <c r="B20" s="2410" t="s">
        <v>2116</v>
      </c>
      <c r="C20" s="2408" t="str">
        <f>C9</f>
        <v>区域自然环境：；人文环境；综合评价环境状况较好</v>
      </c>
      <c r="D20" s="2379"/>
      <c r="E20" s="2409"/>
      <c r="F20" s="1797" t="s">
        <v>2117</v>
      </c>
      <c r="G20" s="136" t="str">
        <f>G6</f>
        <v>估价对象所在区域基础设施水平</v>
      </c>
    </row>
    <row r="21" spans="1:18" ht="28.5">
      <c r="A21" s="645"/>
      <c r="B21" s="1797" t="s">
        <v>2099</v>
      </c>
      <c r="C21" s="136" t="str">
        <f>C7</f>
        <v>估价对象所在区域公共配套设施齐备</v>
      </c>
      <c r="D21" s="2373"/>
      <c r="E21" s="2409"/>
      <c r="F21" s="2410" t="s">
        <v>2118</v>
      </c>
      <c r="G21" s="2411"/>
    </row>
    <row r="22" spans="1:18" ht="13.5" customHeight="1">
      <c r="A22" s="645"/>
      <c r="B22" s="1797" t="s">
        <v>2102</v>
      </c>
      <c r="C22" s="136" t="str">
        <f>C8</f>
        <v>估价对象所在区域基础设施水平七通</v>
      </c>
      <c r="D22" s="2373"/>
      <c r="E22" s="2409"/>
      <c r="F22" s="2410" t="s">
        <v>2107</v>
      </c>
      <c r="G22" s="1571"/>
    </row>
    <row r="23" spans="1:18" s="2370" customFormat="1" ht="15.75" thickBot="1">
      <c r="A23" s="645"/>
      <c r="B23" s="2410" t="s">
        <v>2118</v>
      </c>
      <c r="C23" s="2411"/>
      <c r="D23" s="2398"/>
      <c r="E23" s="2412"/>
      <c r="F23" s="2413" t="s">
        <v>2119</v>
      </c>
      <c r="G23" s="2414"/>
      <c r="H23" s="2398"/>
      <c r="I23" s="2399"/>
      <c r="J23" s="2398"/>
      <c r="K23" s="2398"/>
      <c r="L23" s="2399"/>
      <c r="M23" s="2398"/>
      <c r="N23" s="2398"/>
      <c r="O23" s="2399"/>
      <c r="P23" s="2398"/>
      <c r="Q23" s="2398"/>
      <c r="R23" s="2400"/>
    </row>
    <row r="24" spans="1:18" s="2370" customFormat="1" ht="15.75" thickBot="1">
      <c r="A24" s="2415"/>
      <c r="B24" s="2413" t="s">
        <v>2120</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abSelected="1" workbookViewId="0">
      <selection activeCell="C11" sqref="C11"/>
    </sheetView>
  </sheetViews>
  <sheetFormatPr defaultRowHeight="13.5"/>
  <cols>
    <col min="1" max="1" width="12.25" customWidth="1"/>
    <col min="2" max="2" width="4.25" customWidth="1"/>
    <col min="4" max="4" width="3.875" customWidth="1"/>
  </cols>
  <sheetData>
    <row r="1" spans="1:8">
      <c r="A1" s="3031" t="s">
        <v>3179</v>
      </c>
      <c r="C1" s="3031" t="s">
        <v>3177</v>
      </c>
      <c r="E1" s="3031" t="s">
        <v>3178</v>
      </c>
    </row>
    <row r="2" spans="1:8">
      <c r="A2" s="3031" t="s">
        <v>3185</v>
      </c>
      <c r="C2" s="3031"/>
      <c r="E2" s="3031"/>
    </row>
    <row r="3" spans="1:8">
      <c r="A3" s="3031" t="s">
        <v>3180</v>
      </c>
      <c r="C3">
        <f ca="1">系统读取表!D14</f>
        <v>17124</v>
      </c>
      <c r="E3">
        <v>18642</v>
      </c>
      <c r="G3">
        <f ca="1">C3+C4+C5+C6</f>
        <v>45598</v>
      </c>
      <c r="H3">
        <f ca="1">ROUND(G3/G4*10000,0)</f>
        <v>16940</v>
      </c>
    </row>
    <row r="4" spans="1:8">
      <c r="A4" s="3031" t="s">
        <v>3181</v>
      </c>
      <c r="C4">
        <f ca="1">系统读取表!D15</f>
        <v>4077</v>
      </c>
      <c r="E4">
        <v>4766</v>
      </c>
      <c r="F4" s="3031"/>
      <c r="G4">
        <f>'数据-基础表'!B3</f>
        <v>26917.519999999997</v>
      </c>
    </row>
    <row r="5" spans="1:8">
      <c r="A5" s="3031" t="s">
        <v>3182</v>
      </c>
      <c r="C5">
        <f ca="1">系统读取表!D16</f>
        <v>11807</v>
      </c>
      <c r="E5">
        <v>7846</v>
      </c>
    </row>
    <row r="6" spans="1:8">
      <c r="A6" s="3031" t="s">
        <v>3183</v>
      </c>
      <c r="C6">
        <f ca="1">系统读取表!D17</f>
        <v>12590</v>
      </c>
      <c r="E6">
        <v>10241</v>
      </c>
    </row>
    <row r="7" spans="1:8">
      <c r="A7" s="3031" t="s">
        <v>3186</v>
      </c>
    </row>
    <row r="8" spans="1:8">
      <c r="A8" s="3031" t="s">
        <v>3184</v>
      </c>
      <c r="C8">
        <f ca="1">系统读取表!D18</f>
        <v>40432</v>
      </c>
      <c r="E8">
        <v>33021</v>
      </c>
      <c r="G8">
        <f ca="1">C8+C9</f>
        <v>50082</v>
      </c>
      <c r="H8">
        <f ca="1">ROUND(G8/G9*10000,0)</f>
        <v>19209</v>
      </c>
    </row>
    <row r="9" spans="1:8">
      <c r="A9" s="3031" t="s">
        <v>3182</v>
      </c>
      <c r="C9">
        <f ca="1">系统读取表!D19</f>
        <v>9650</v>
      </c>
      <c r="E9">
        <v>7367</v>
      </c>
      <c r="F9" s="3031"/>
      <c r="G9">
        <v>26071.75</v>
      </c>
    </row>
    <row r="11" spans="1:8">
      <c r="A11" s="3031" t="s">
        <v>3187</v>
      </c>
      <c r="C11">
        <f ca="1">SUM(C3:C9)</f>
        <v>95680</v>
      </c>
      <c r="E11">
        <f>SUM(E3:E9)</f>
        <v>81883</v>
      </c>
      <c r="G11">
        <f>G4+G9</f>
        <v>52989.27</v>
      </c>
      <c r="H11">
        <f ca="1">ROUND(C11/G11*10000,0)</f>
        <v>18056</v>
      </c>
    </row>
    <row r="14" spans="1:8">
      <c r="A14">
        <f>3781.7+9821.76</f>
        <v>13603.46</v>
      </c>
    </row>
    <row r="16" spans="1:8">
      <c r="C16" s="3031" t="s">
        <v>3188</v>
      </c>
      <c r="E16" s="3031" t="s">
        <v>3189</v>
      </c>
    </row>
    <row r="17" spans="1:7">
      <c r="C17">
        <f ca="1">G17-E17</f>
        <v>37204</v>
      </c>
      <c r="E17">
        <f ca="1">'收益法-酒店配套'!C13+'收益法-办公'!C13+'收益法-车位'!C13+'收益法-地下商业'!C13</f>
        <v>8394</v>
      </c>
      <c r="G17">
        <f ca="1">G3</f>
        <v>45598</v>
      </c>
    </row>
    <row r="18" spans="1:7">
      <c r="C18">
        <f ca="1">ROUND(C17/G4*10000,0)</f>
        <v>13821</v>
      </c>
      <c r="E18">
        <f ca="1">ROUND(E17/G4*10000,0)</f>
        <v>3118</v>
      </c>
    </row>
    <row r="20" spans="1:7">
      <c r="C20">
        <f ca="1">G20-E20</f>
        <v>42752</v>
      </c>
      <c r="E20">
        <f ca="1">[1]收益法!$C$13+'[1]收益法-车位'!$C$13</f>
        <v>7330</v>
      </c>
      <c r="G20">
        <f ca="1">G8</f>
        <v>50082</v>
      </c>
    </row>
    <row r="21" spans="1:7">
      <c r="C21">
        <f ca="1">ROUND(C20/G9*10000,0)</f>
        <v>16398</v>
      </c>
      <c r="E21">
        <f ca="1">ROUND(E20/G9*10000,0)</f>
        <v>2811</v>
      </c>
    </row>
    <row r="23" spans="1:7">
      <c r="A23" s="3031" t="s">
        <v>3190</v>
      </c>
      <c r="C23">
        <f ca="1">C20+C17</f>
        <v>79956</v>
      </c>
      <c r="E23">
        <f ca="1">E20+E17</f>
        <v>15724</v>
      </c>
    </row>
    <row r="24" spans="1:7">
      <c r="C24">
        <f ca="1">ROUND(C23/G11*10000,0)</f>
        <v>15089</v>
      </c>
      <c r="E24">
        <f ca="1">ROUND(E23/G11*10000,0)</f>
        <v>2967</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RowHeight="13.5"/>
  <cols>
    <col min="1" max="1" width="23.375" style="1740" customWidth="1"/>
    <col min="2" max="9" width="15.75" style="1740" customWidth="1"/>
    <col min="10" max="16384" width="9" style="1740"/>
  </cols>
  <sheetData>
    <row r="1" spans="1:10" ht="16.5">
      <c r="A1" s="1745" t="s">
        <v>1365</v>
      </c>
      <c r="B1" s="1745">
        <f>SUM(B14:B23)</f>
        <v>52989.27</v>
      </c>
      <c r="C1" s="1744"/>
      <c r="D1" s="1744"/>
      <c r="E1" s="1744"/>
      <c r="F1" s="1744"/>
      <c r="G1" s="1742"/>
    </row>
    <row r="2" spans="1:10" ht="16.5">
      <c r="A2" s="1745" t="s">
        <v>1353</v>
      </c>
      <c r="B2" s="1745">
        <f>SUM(C14:C23)</f>
        <v>13603.49</v>
      </c>
      <c r="C2" s="1744"/>
      <c r="D2" s="1744"/>
      <c r="E2" s="1744"/>
      <c r="F2" s="1744"/>
      <c r="G2" s="1742"/>
    </row>
    <row r="3" spans="1:10" ht="16.5">
      <c r="A3" s="1745" t="s">
        <v>1362</v>
      </c>
      <c r="B3" s="1746">
        <f>项目基本情况!D3</f>
        <v>43157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95680</v>
      </c>
      <c r="C5" s="1745">
        <f ca="1">ROUND(B5*10000/$B$1,0)</f>
        <v>18056</v>
      </c>
      <c r="D5" s="1745">
        <f ca="1">ROUND(B5*10000/$B$2,0)</f>
        <v>70335</v>
      </c>
      <c r="E5" s="1744"/>
      <c r="F5" s="1742"/>
      <c r="G5" s="1742"/>
    </row>
    <row r="6" spans="1:10" ht="16.5">
      <c r="A6" s="1745" t="s">
        <v>1356</v>
      </c>
      <c r="B6" s="1745">
        <f ca="1">SUM(G14:G23)</f>
        <v>95680</v>
      </c>
      <c r="C6" s="1745">
        <f ca="1">ROUND(B6*10000/$B$1,0)</f>
        <v>18056</v>
      </c>
      <c r="D6" s="1745">
        <f ca="1">ROUND(B6*10000/$B$2,0)</f>
        <v>70335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'结果表-酒店配套'!B118</f>
        <v>4967.6099999999997</v>
      </c>
      <c r="C14" s="1743">
        <f>'结果表-酒店配套'!C118</f>
        <v>697.91</v>
      </c>
      <c r="D14" s="1743">
        <f ca="1">'结果表-酒店配套'!H118</f>
        <v>17124</v>
      </c>
      <c r="E14" s="1743">
        <f ca="1">ROUND(D14*10000/B14,0)</f>
        <v>34471</v>
      </c>
      <c r="F14" s="1743">
        <f ca="1">ROUND(D14*10000/C14,0)</f>
        <v>245361</v>
      </c>
      <c r="G14" s="1743">
        <f ca="1">'结果表-酒店配套'!D122</f>
        <v>17124</v>
      </c>
      <c r="H14" s="1743" t="str">
        <f>'结果表-酒店配套'!D124</f>
        <v>——</v>
      </c>
      <c r="I14" s="1743" t="str">
        <f>'结果表-酒店配套'!D126</f>
        <v>——</v>
      </c>
      <c r="J14" s="1742"/>
    </row>
    <row r="15" spans="1:10" ht="16.5">
      <c r="A15" s="1741" t="s">
        <v>1349</v>
      </c>
      <c r="B15" s="1748">
        <f>'数据-汇总表'!F19</f>
        <v>1316.46</v>
      </c>
      <c r="C15" s="1748">
        <f>'数据-基础表'!I6</f>
        <v>184.95</v>
      </c>
      <c r="D15" s="1748">
        <f ca="1">'结果表-办公'!G19</f>
        <v>4077</v>
      </c>
      <c r="E15" s="1743">
        <f t="shared" ref="E15:E23" ca="1" si="0">ROUND(D15*10000/B15,0)</f>
        <v>30969</v>
      </c>
      <c r="F15" s="1743">
        <f t="shared" ref="F15:F23" ca="1" si="1">ROUND(D15*10000/C15,0)</f>
        <v>220438</v>
      </c>
      <c r="G15" s="1749">
        <f ca="1">D15</f>
        <v>4077</v>
      </c>
      <c r="H15" s="1749"/>
      <c r="I15" s="1748"/>
      <c r="J15" s="1742"/>
    </row>
    <row r="16" spans="1:10" ht="16.5">
      <c r="A16" s="1741" t="s">
        <v>1348</v>
      </c>
      <c r="B16" s="1748">
        <f>'数据-汇总表'!G22</f>
        <v>16503.55</v>
      </c>
      <c r="C16" s="1748">
        <f>'数据-基础表'!O6</f>
        <v>2318.62</v>
      </c>
      <c r="D16" s="1748">
        <f ca="1">'结果表-车库'!G19</f>
        <v>11807</v>
      </c>
      <c r="E16" s="1743">
        <f t="shared" ca="1" si="0"/>
        <v>7154</v>
      </c>
      <c r="F16" s="1743">
        <f t="shared" ca="1" si="1"/>
        <v>50923</v>
      </c>
      <c r="G16" s="1749">
        <f ca="1">D16</f>
        <v>11807</v>
      </c>
      <c r="H16" s="1749"/>
      <c r="I16" s="1748"/>
    </row>
    <row r="17" spans="1:9" ht="16.5">
      <c r="A17" s="1741" t="s">
        <v>1347</v>
      </c>
      <c r="B17" s="1748">
        <f>'数据-汇总表'!G21</f>
        <v>4129.8999999999996</v>
      </c>
      <c r="C17" s="1748">
        <f>'数据-基础表'!M6</f>
        <v>580.22</v>
      </c>
      <c r="D17" s="1748">
        <f ca="1">'结果表-地下商业'!G19</f>
        <v>12590</v>
      </c>
      <c r="E17" s="1743">
        <f t="shared" ca="1" si="0"/>
        <v>30485</v>
      </c>
      <c r="F17" s="1743">
        <f t="shared" ca="1" si="1"/>
        <v>216987</v>
      </c>
      <c r="G17" s="1749">
        <f ca="1">D17</f>
        <v>12590</v>
      </c>
      <c r="H17" s="1749"/>
      <c r="I17" s="1748"/>
    </row>
    <row r="18" spans="1:9" ht="16.5">
      <c r="A18" s="1741" t="s">
        <v>1346</v>
      </c>
      <c r="B18" s="1748">
        <v>13597.08</v>
      </c>
      <c r="C18" s="1748">
        <v>5122.3</v>
      </c>
      <c r="D18" s="1748">
        <f ca="1">[1]结果表!$G$19</f>
        <v>40432</v>
      </c>
      <c r="E18" s="1743">
        <f t="shared" ca="1" si="0"/>
        <v>29736</v>
      </c>
      <c r="F18" s="1743">
        <f t="shared" ca="1" si="1"/>
        <v>78933</v>
      </c>
      <c r="G18" s="1748">
        <f ca="1">D18</f>
        <v>40432</v>
      </c>
      <c r="H18" s="1748"/>
      <c r="I18" s="1748"/>
    </row>
    <row r="19" spans="1:9" ht="16.5">
      <c r="A19" s="1741" t="s">
        <v>1345</v>
      </c>
      <c r="B19" s="1748">
        <v>12474.67</v>
      </c>
      <c r="C19" s="1748">
        <v>4699.49</v>
      </c>
      <c r="D19" s="1748">
        <f ca="1">'[1]结果表-车位'!$G$19</f>
        <v>9650</v>
      </c>
      <c r="E19" s="1743">
        <f t="shared" ca="1" si="0"/>
        <v>7736</v>
      </c>
      <c r="F19" s="1743">
        <f t="shared" ca="1" si="1"/>
        <v>20534</v>
      </c>
      <c r="G19" s="1748">
        <f ca="1">D19</f>
        <v>9650</v>
      </c>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2121</v>
      </c>
      <c r="B1" s="2421"/>
      <c r="C1" s="2422" t="s">
        <v>3049</v>
      </c>
      <c r="D1" s="2421"/>
      <c r="E1" s="2421"/>
      <c r="F1" s="2423" t="s">
        <v>2122</v>
      </c>
      <c r="G1" s="2073" t="s">
        <v>3113</v>
      </c>
      <c r="H1" s="2424" t="str">
        <f>IF(G1="现房","——","估价对象范围")</f>
        <v>——</v>
      </c>
      <c r="I1" s="2425" t="s">
        <v>3114</v>
      </c>
    </row>
    <row r="2" spans="1:12" ht="21.75" customHeight="1" thickBot="1">
      <c r="A2" s="3166" t="str">
        <f>项目基本情况!S2</f>
        <v>北京市房地产</v>
      </c>
      <c r="B2" s="3167"/>
      <c r="C2" s="3167"/>
      <c r="D2" s="3167"/>
      <c r="E2" s="3167"/>
      <c r="F2" s="3167"/>
      <c r="G2" s="3167"/>
      <c r="H2" s="3167"/>
      <c r="I2" s="3168"/>
    </row>
    <row r="3" spans="1:12" ht="12.75">
      <c r="A3" s="3170" t="s">
        <v>2123</v>
      </c>
      <c r="B3" s="3171"/>
      <c r="C3" s="3171"/>
      <c r="D3" s="3171"/>
      <c r="E3" s="3171"/>
      <c r="F3" s="3171"/>
      <c r="G3" s="3171"/>
      <c r="H3" s="3171"/>
      <c r="I3" s="3171"/>
    </row>
    <row r="4" spans="1:12" ht="14.25">
      <c r="A4" s="2428" t="s">
        <v>2124</v>
      </c>
      <c r="B4" s="2429" t="s">
        <v>2125</v>
      </c>
      <c r="C4" s="2430" t="s">
        <v>3109</v>
      </c>
      <c r="D4" s="2430" t="s">
        <v>3103</v>
      </c>
      <c r="E4" s="3163" t="s">
        <v>2126</v>
      </c>
      <c r="F4" s="3164"/>
      <c r="G4" s="3164"/>
      <c r="H4" s="3164"/>
      <c r="I4" s="3172"/>
      <c r="K4" s="2431" t="str">
        <f>IF(ISNUMBER(FIND("比较法",'结果表-酒店配套'!C4)),"比较法",IF(ISNUMBER(FIND("成本法",'结果表-酒店配套'!C4)),"成本法",IF(ISNUMBER(FIND("假设开发法",'结果表-酒店配套'!C4)),"假设开发法",IF(ISNUMBER(FIND("收益法",'结果表-酒店配套'!C4)),"收益法","基准地价系数修正法"))))</f>
        <v>成本法</v>
      </c>
      <c r="L4" s="2431" t="str">
        <f>IF(ISNUMBER(FIND("比较法",'结果表-酒店配套'!D4)),"比较法",IF(ISNUMBER(FIND("成本法",'结果表-酒店配套'!D4)),"成本法",IF(ISNUMBER(FIND("假设开发法",'结果表-酒店配套'!D4)),"假设开发法",IF(ISNUMBER(FIND("收益法",'结果表-酒店配套'!D4)),"收益法","基准地价系数修正法"))))</f>
        <v>收益法</v>
      </c>
    </row>
    <row r="5" spans="1:12" ht="12.75">
      <c r="A5" s="3146" t="s">
        <v>2127</v>
      </c>
      <c r="B5" s="3084">
        <v>25</v>
      </c>
      <c r="C5" s="3149"/>
      <c r="D5" s="3169"/>
      <c r="E5" s="140" t="s">
        <v>2128</v>
      </c>
      <c r="F5" s="2432"/>
      <c r="G5" s="2432"/>
      <c r="H5" s="2432"/>
      <c r="I5" s="1833"/>
    </row>
    <row r="6" spans="1:12" ht="12.75">
      <c r="A6" s="3146"/>
      <c r="B6" s="3084"/>
      <c r="C6" s="3150"/>
      <c r="D6" s="3169"/>
      <c r="E6" s="140" t="s">
        <v>2129</v>
      </c>
      <c r="F6" s="2432"/>
      <c r="G6" s="2432"/>
      <c r="H6" s="2432"/>
      <c r="I6" s="1833"/>
    </row>
    <row r="7" spans="1:12" ht="12.75">
      <c r="A7" s="3146"/>
      <c r="B7" s="3084"/>
      <c r="C7" s="3151"/>
      <c r="D7" s="3169"/>
      <c r="E7" s="140" t="s">
        <v>2130</v>
      </c>
      <c r="F7" s="2432"/>
      <c r="G7" s="2432"/>
      <c r="H7" s="2432"/>
      <c r="I7" s="1833"/>
    </row>
    <row r="8" spans="1:12" ht="12.75">
      <c r="A8" s="3146" t="s">
        <v>2131</v>
      </c>
      <c r="B8" s="3084">
        <v>15</v>
      </c>
      <c r="C8" s="3149"/>
      <c r="D8" s="3169"/>
      <c r="E8" s="140" t="s">
        <v>2132</v>
      </c>
      <c r="F8" s="2432"/>
      <c r="G8" s="2432"/>
      <c r="H8" s="2432"/>
      <c r="I8" s="1833"/>
    </row>
    <row r="9" spans="1:12" ht="12.75">
      <c r="A9" s="3146"/>
      <c r="B9" s="3084"/>
      <c r="C9" s="3151"/>
      <c r="D9" s="3169"/>
      <c r="E9" s="140" t="s">
        <v>2133</v>
      </c>
      <c r="F9" s="2432"/>
      <c r="G9" s="2432"/>
      <c r="H9" s="2432"/>
      <c r="I9" s="1833"/>
    </row>
    <row r="10" spans="1:12" ht="12.75">
      <c r="A10" s="3146" t="s">
        <v>2134</v>
      </c>
      <c r="B10" s="3084">
        <v>15</v>
      </c>
      <c r="C10" s="3149"/>
      <c r="D10" s="3169"/>
      <c r="E10" s="140" t="s">
        <v>2135</v>
      </c>
      <c r="F10" s="2432"/>
      <c r="G10" s="2432"/>
      <c r="H10" s="2432"/>
      <c r="I10" s="1833"/>
    </row>
    <row r="11" spans="1:12" ht="12.75">
      <c r="A11" s="3146"/>
      <c r="B11" s="3084"/>
      <c r="C11" s="3151"/>
      <c r="D11" s="3169"/>
      <c r="E11" s="140" t="s">
        <v>2136</v>
      </c>
      <c r="F11" s="2432"/>
      <c r="G11" s="2432"/>
      <c r="H11" s="2432"/>
      <c r="I11" s="1833"/>
    </row>
    <row r="12" spans="1:12" ht="12.75">
      <c r="A12" s="3146" t="s">
        <v>2137</v>
      </c>
      <c r="B12" s="3084">
        <v>15</v>
      </c>
      <c r="C12" s="3149"/>
      <c r="D12" s="3169"/>
      <c r="E12" s="140" t="s">
        <v>2138</v>
      </c>
      <c r="F12" s="2432"/>
      <c r="G12" s="2432"/>
      <c r="H12" s="2432"/>
      <c r="I12" s="1833"/>
    </row>
    <row r="13" spans="1:12" ht="12.75">
      <c r="A13" s="3146"/>
      <c r="B13" s="3084"/>
      <c r="C13" s="3151"/>
      <c r="D13" s="3169"/>
      <c r="E13" s="140" t="s">
        <v>2139</v>
      </c>
      <c r="F13" s="2432"/>
      <c r="G13" s="2432"/>
      <c r="H13" s="2432"/>
      <c r="I13" s="1833"/>
    </row>
    <row r="14" spans="1:12" ht="12.75">
      <c r="A14" s="3146" t="s">
        <v>2140</v>
      </c>
      <c r="B14" s="3084">
        <v>30</v>
      </c>
      <c r="C14" s="3149">
        <v>4</v>
      </c>
      <c r="D14" s="3169">
        <v>6</v>
      </c>
      <c r="E14" s="140" t="s">
        <v>2141</v>
      </c>
      <c r="F14" s="2432"/>
      <c r="G14" s="2432"/>
      <c r="H14" s="2432"/>
      <c r="I14" s="1833"/>
    </row>
    <row r="15" spans="1:12" ht="12.75">
      <c r="A15" s="3146"/>
      <c r="B15" s="3084"/>
      <c r="C15" s="3150"/>
      <c r="D15" s="3169"/>
      <c r="E15" s="140" t="s">
        <v>2142</v>
      </c>
      <c r="F15" s="2432"/>
      <c r="G15" s="2432"/>
      <c r="H15" s="2432"/>
      <c r="I15" s="1833"/>
    </row>
    <row r="16" spans="1:12" ht="12.75">
      <c r="A16" s="3146"/>
      <c r="B16" s="3084"/>
      <c r="C16" s="3151"/>
      <c r="D16" s="3169"/>
      <c r="E16" s="140" t="s">
        <v>2143</v>
      </c>
      <c r="F16" s="2432"/>
      <c r="G16" s="2432"/>
      <c r="H16" s="2432"/>
      <c r="I16" s="1833"/>
    </row>
    <row r="17" spans="1:35" ht="15">
      <c r="A17" s="2433" t="s">
        <v>2144</v>
      </c>
      <c r="B17" s="64"/>
      <c r="C17" s="141">
        <f>SUM(C5:C16)</f>
        <v>4</v>
      </c>
      <c r="D17" s="141">
        <f>SUM(D5:D16)</f>
        <v>6</v>
      </c>
      <c r="E17" s="138"/>
      <c r="F17" s="138"/>
      <c r="G17" s="138"/>
      <c r="H17" s="138"/>
      <c r="I17" s="138"/>
      <c r="K17" s="2431"/>
      <c r="L17" s="2434" t="s">
        <v>2145</v>
      </c>
      <c r="M17" s="2434" t="s">
        <v>2146</v>
      </c>
    </row>
    <row r="18" spans="1:35" ht="15.75" thickBot="1">
      <c r="A18" s="2435" t="s">
        <v>2147</v>
      </c>
      <c r="B18" s="2436"/>
      <c r="C18" s="142">
        <f>ROUND(C17/SUM(C17:D17),2)</f>
        <v>0.4</v>
      </c>
      <c r="D18" s="142">
        <f>1-C18</f>
        <v>0.6</v>
      </c>
      <c r="E18" s="138"/>
      <c r="F18" s="138"/>
      <c r="G18" s="138"/>
      <c r="H18" s="138"/>
      <c r="I18" s="138"/>
      <c r="K18" s="2431" t="s">
        <v>2148</v>
      </c>
      <c r="L18" s="2431">
        <f>IF(C1="",'数据-汇总表'!E3,SUMIF(项目类型,C1,'数据-汇总表'!E17:E26)+SUMIF(项目类型,C1,'数据-汇总表'!I17:I26))</f>
        <v>4967.6099999999997</v>
      </c>
      <c r="M18" s="2431">
        <f>IF(C1="",'数据-汇总表'!E3,SUMIF(项目类型,C1,'数据-汇总表'!E17:E26))</f>
        <v>4967.6099999999997</v>
      </c>
    </row>
    <row r="19" spans="1:35" ht="15">
      <c r="A19" s="2437" t="s">
        <v>2149</v>
      </c>
      <c r="B19" s="2438" t="s">
        <v>2150</v>
      </c>
      <c r="C19" s="143">
        <f ca="1">SUMIF(INDIRECT("'"&amp;C4&amp;"'"&amp;"!A:A"),'结果表-酒店配套'!B19,INDIRECT("'"&amp;C4&amp;"'"&amp;"!B:B"))</f>
        <v>21578</v>
      </c>
      <c r="D19" s="144">
        <f ca="1">SUMIF(INDIRECT("'"&amp;D4&amp;"'"&amp;"!A:A"),'结果表-酒店配套'!B19,INDIRECT("'"&amp;D4&amp;"'"&amp;"!B:B"))</f>
        <v>14155</v>
      </c>
      <c r="E19" s="2437" t="s">
        <v>2151</v>
      </c>
      <c r="F19" s="2438" t="s">
        <v>2150</v>
      </c>
      <c r="G19" s="145">
        <f ca="1">ROUND(C19*$C$18+D19*$D$18,0)</f>
        <v>17124</v>
      </c>
      <c r="H19" s="2439" t="s">
        <v>2152</v>
      </c>
      <c r="I19" s="138"/>
      <c r="K19" s="2431" t="s">
        <v>2153</v>
      </c>
      <c r="L19" s="2431">
        <f>IF(C1="",'数据-汇总表'!D3,SUMIF(项目类型,C1,'数据-汇总表'!D17:D26)+SUMIF(项目类型,C1,'数据-汇总表'!H17:H27))</f>
        <v>697.91</v>
      </c>
      <c r="M19" s="2431">
        <f>IF(C1="",'数据-汇总表'!D3,SUMIF(项目类型,C1,'数据-汇总表'!D17:D26))</f>
        <v>697.91</v>
      </c>
    </row>
    <row r="20" spans="1:35" ht="15">
      <c r="A20" s="2440"/>
      <c r="B20" s="1249" t="s">
        <v>2154</v>
      </c>
      <c r="C20" s="146">
        <f ca="1">SUMIF(INDIRECT("'"&amp;C4&amp;"'"&amp;"!A:A"),'结果表-酒店配套'!B20,INDIRECT("'"&amp;C4&amp;"'"&amp;"!B:B"))</f>
        <v>43437</v>
      </c>
      <c r="D20" s="147">
        <f ca="1">SUMIF(INDIRECT("'"&amp;D4&amp;"'"&amp;"!A:A"),'结果表-酒店配套'!B20,INDIRECT("'"&amp;D4&amp;"'"&amp;"!B:B"))</f>
        <v>28495</v>
      </c>
      <c r="E20" s="2440"/>
      <c r="F20" s="1249" t="s">
        <v>2154</v>
      </c>
      <c r="G20" s="148">
        <f ca="1">ROUND(C20*$C$18+D20*$D$18,0)</f>
        <v>34472</v>
      </c>
      <c r="H20" s="982" t="s">
        <v>2155</v>
      </c>
      <c r="I20" s="138"/>
    </row>
    <row r="21" spans="1:35" ht="15" customHeight="1" thickBot="1">
      <c r="A21" s="1002"/>
      <c r="B21" s="2441" t="s">
        <v>2156</v>
      </c>
      <c r="C21" s="789">
        <f ca="1">ROUND(C19*10000/L19,0)</f>
        <v>309180</v>
      </c>
      <c r="D21" s="790">
        <f ca="1">ROUND(D19*10000/L19,0)</f>
        <v>202820</v>
      </c>
      <c r="E21" s="1002"/>
      <c r="F21" s="2441" t="s">
        <v>2156</v>
      </c>
      <c r="G21" s="149">
        <f ca="1">ROUND(G19*10000/L19,0)</f>
        <v>245361</v>
      </c>
      <c r="H21" s="2442" t="s">
        <v>2155</v>
      </c>
      <c r="I21" s="138"/>
    </row>
    <row r="22" spans="1:35" ht="15" thickBot="1">
      <c r="A22" s="2283" t="s">
        <v>2157</v>
      </c>
      <c r="B22" s="2443"/>
      <c r="C22" s="2444"/>
      <c r="D22" s="791">
        <f ca="1">IF(C19&lt;D19,D19/C19-1,C19/D19-1)</f>
        <v>0.52440833627693384</v>
      </c>
      <c r="E22" s="138"/>
      <c r="F22" s="138"/>
      <c r="G22" s="138"/>
      <c r="H22" s="138"/>
      <c r="I22" s="138"/>
    </row>
    <row r="23" spans="1:35" ht="13.5" thickBot="1">
      <c r="A23" s="2421"/>
      <c r="B23" s="2421"/>
      <c r="C23" s="2421"/>
      <c r="D23" s="2421"/>
      <c r="E23" s="138"/>
      <c r="F23" s="138"/>
      <c r="G23" s="138"/>
      <c r="H23" s="138"/>
      <c r="I23" s="138"/>
    </row>
    <row r="24" spans="1:35" ht="14.25">
      <c r="A24" s="3140" t="s">
        <v>2158</v>
      </c>
      <c r="B24" s="2438" t="s">
        <v>2150</v>
      </c>
      <c r="C24" s="145">
        <f>IF(B30=0,0,D30)</f>
        <v>0</v>
      </c>
      <c r="D24" s="2445"/>
      <c r="E24" s="138"/>
      <c r="F24" s="138"/>
      <c r="G24" s="138"/>
      <c r="H24" s="138"/>
      <c r="I24" s="138"/>
    </row>
    <row r="25" spans="1:35" ht="14.25">
      <c r="A25" s="3141"/>
      <c r="B25" s="1249" t="s">
        <v>2154</v>
      </c>
      <c r="C25" s="150">
        <f>IF(B30=0,0,C30)</f>
        <v>0</v>
      </c>
      <c r="D25" s="2446"/>
      <c r="E25" s="138"/>
      <c r="F25" s="138"/>
      <c r="G25" s="138"/>
      <c r="H25" s="138"/>
      <c r="I25" s="138"/>
    </row>
    <row r="26" spans="1:35" ht="13.5" customHeight="1">
      <c r="A26" s="2447" t="s">
        <v>2159</v>
      </c>
      <c r="B26" s="151" t="s">
        <v>2160</v>
      </c>
      <c r="C26" s="151" t="s">
        <v>2161</v>
      </c>
      <c r="D26" s="152" t="s">
        <v>2162</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2163</v>
      </c>
      <c r="B30" s="151"/>
      <c r="C30" s="151"/>
      <c r="D30" s="151"/>
      <c r="E30" s="2930" t="s">
        <v>3044</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2164</v>
      </c>
      <c r="B32" s="2451"/>
      <c r="C32" s="153">
        <f ca="1">IF(D32="总价",G19-C24,G20-C25)</f>
        <v>17124</v>
      </c>
      <c r="D32" s="2452" t="s">
        <v>2165</v>
      </c>
      <c r="E32" s="138"/>
      <c r="F32" s="138"/>
      <c r="G32" s="138"/>
      <c r="H32" s="138"/>
      <c r="I32" s="138"/>
    </row>
    <row r="33" spans="1:15" ht="15">
      <c r="A33" s="959" t="s">
        <v>2166</v>
      </c>
      <c r="B33" s="2453"/>
      <c r="C33" s="2454"/>
      <c r="D33" s="2455"/>
      <c r="E33" s="2456" t="s">
        <v>2167</v>
      </c>
      <c r="F33" s="2457" t="str">
        <f>IF(D32="楼面单价","取值（单价）","取值（总价）")</f>
        <v>取值（总价）</v>
      </c>
      <c r="G33" s="138"/>
      <c r="H33" s="138"/>
      <c r="I33" s="138"/>
    </row>
    <row r="34" spans="1:15" ht="15">
      <c r="A34" s="2458"/>
      <c r="B34" s="2459"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8"/>
      <c r="H34" s="138"/>
      <c r="I34" s="138"/>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3"/>
      <c r="G35" s="138"/>
      <c r="H35" s="138"/>
      <c r="I35" s="138"/>
    </row>
    <row r="36" spans="1:15" ht="15.75" thickBot="1">
      <c r="A36" s="3158" t="s">
        <v>2172</v>
      </c>
      <c r="B36" s="2464" t="s">
        <v>2173</v>
      </c>
      <c r="C36" s="154"/>
      <c r="D36" s="2465"/>
      <c r="E36" s="2466"/>
      <c r="F36" s="2467"/>
      <c r="G36" s="138"/>
      <c r="H36" s="138"/>
      <c r="I36" s="138"/>
    </row>
    <row r="37" spans="1:15" ht="15.75" thickBot="1">
      <c r="A37" s="3159"/>
      <c r="B37" s="2269" t="s">
        <v>2174</v>
      </c>
      <c r="C37" s="156"/>
      <c r="D37" s="1394"/>
      <c r="E37" s="1394"/>
      <c r="F37" s="2467"/>
      <c r="G37" s="138"/>
      <c r="H37" s="138"/>
      <c r="I37" s="138"/>
    </row>
    <row r="38" spans="1:15" ht="15.75" thickBot="1">
      <c r="A38" s="3160"/>
      <c r="B38" s="2468" t="s">
        <v>2175</v>
      </c>
      <c r="C38" s="727"/>
      <c r="D38" s="2469" t="s">
        <v>2176</v>
      </c>
      <c r="E38" s="1394"/>
      <c r="F38" s="2467"/>
      <c r="G38" s="138"/>
      <c r="H38" s="138"/>
      <c r="I38" s="138"/>
    </row>
    <row r="39" spans="1:15" ht="15">
      <c r="A39" s="2440" t="s">
        <v>2177</v>
      </c>
      <c r="B39" s="2470" t="s">
        <v>2178</v>
      </c>
      <c r="C39" s="2471" t="s">
        <v>2179</v>
      </c>
      <c r="D39" s="2471" t="s">
        <v>2180</v>
      </c>
      <c r="E39" s="2472" t="s">
        <v>2181</v>
      </c>
      <c r="F39" s="2467"/>
      <c r="G39" s="138"/>
      <c r="H39" s="138"/>
      <c r="I39" s="138"/>
    </row>
    <row r="40" spans="1:15" ht="14.25">
      <c r="A40" s="2473" t="s">
        <v>2182</v>
      </c>
      <c r="B40" s="158"/>
      <c r="C40" s="159"/>
      <c r="D40" s="159"/>
      <c r="E40" s="160"/>
      <c r="F40" s="2467"/>
      <c r="G40" s="138"/>
      <c r="H40" s="138"/>
      <c r="I40" s="138"/>
    </row>
    <row r="41" spans="1:15" ht="14.25">
      <c r="A41" s="2473" t="s">
        <v>2183</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137" t="s">
        <v>2186</v>
      </c>
      <c r="B45" s="3138"/>
      <c r="C45" s="3139"/>
      <c r="D45" s="164">
        <f ca="1">ROUND(H101*F45,0)</f>
        <v>17124</v>
      </c>
      <c r="E45" s="165" t="s">
        <v>2187</v>
      </c>
      <c r="F45" s="166">
        <v>1</v>
      </c>
      <c r="G45" s="167" t="s">
        <v>2188</v>
      </c>
      <c r="H45" s="138"/>
      <c r="I45" s="138"/>
      <c r="J45" s="3197" t="s">
        <v>2189</v>
      </c>
      <c r="K45" s="3197"/>
      <c r="L45" s="3197"/>
      <c r="M45" s="3197"/>
      <c r="N45" s="3197"/>
      <c r="O45" s="3197"/>
    </row>
    <row r="46" spans="1:15" ht="14.25" customHeight="1">
      <c r="A46" s="3134" t="s">
        <v>2190</v>
      </c>
      <c r="B46" s="3135"/>
      <c r="C46" s="3135"/>
      <c r="D46" s="3135"/>
      <c r="E46" s="3135"/>
      <c r="F46" s="3135"/>
      <c r="G46" s="3136"/>
      <c r="H46" s="2483"/>
      <c r="I46" s="168"/>
      <c r="J46" s="1811">
        <v>1</v>
      </c>
      <c r="K46" s="3197" t="s">
        <v>2191</v>
      </c>
      <c r="L46" s="3197"/>
      <c r="M46" s="3217"/>
      <c r="N46" s="3217"/>
      <c r="O46" s="3217"/>
    </row>
    <row r="47" spans="1:15" ht="12" customHeight="1">
      <c r="A47" s="169" t="s">
        <v>2192</v>
      </c>
      <c r="B47" s="170"/>
      <c r="C47" s="171"/>
      <c r="D47" s="172" t="s">
        <v>2193</v>
      </c>
      <c r="E47" s="24" t="s">
        <v>2194</v>
      </c>
      <c r="F47" s="173" t="s">
        <v>2195</v>
      </c>
      <c r="G47" s="174" t="s">
        <v>2196</v>
      </c>
      <c r="H47" s="2483"/>
      <c r="I47" s="168"/>
      <c r="J47" s="1811">
        <v>2</v>
      </c>
      <c r="K47" s="3197" t="s">
        <v>2197</v>
      </c>
      <c r="L47" s="3197"/>
      <c r="M47" s="3218">
        <f>'数据-取费表'!B2</f>
        <v>43157</v>
      </c>
      <c r="N47" s="3218"/>
      <c r="O47" s="3218"/>
    </row>
    <row r="48" spans="1:15" ht="25.5">
      <c r="A48" s="3165" t="s">
        <v>2198</v>
      </c>
      <c r="B48" s="3148"/>
      <c r="C48" s="3148"/>
      <c r="D48" s="140">
        <f>IF(H48="情况1",0,IF(H48="情况2",D52,IF(H48="情况3",D53,IF(H48="情况4",D54))))</f>
        <v>0</v>
      </c>
      <c r="E48" s="1800" t="str">
        <f>IF(H48="情况4","(销售额-原购置价)×税（费）率","销售额×税（费）率")</f>
        <v>销售额×税（费）率</v>
      </c>
      <c r="F48" s="175" t="str">
        <f>IF(H48="情况1","免征",'数据-取费表'!B41)</f>
        <v>免征</v>
      </c>
      <c r="G48" s="2484" t="s">
        <v>2199</v>
      </c>
      <c r="H48" s="2485" t="s">
        <v>2200</v>
      </c>
      <c r="I48" s="2483"/>
      <c r="J48" s="1811">
        <v>3</v>
      </c>
      <c r="K48" s="3197" t="s">
        <v>2201</v>
      </c>
      <c r="L48" s="3197"/>
      <c r="M48" s="3219">
        <f ca="1">H101</f>
        <v>17124</v>
      </c>
      <c r="N48" s="3219"/>
      <c r="O48" s="3219"/>
    </row>
    <row r="49" spans="1:35" ht="25.5" customHeight="1">
      <c r="A49" s="176" t="s">
        <v>2202</v>
      </c>
      <c r="B49" s="3133" t="s">
        <v>2203</v>
      </c>
      <c r="C49" s="3133"/>
      <c r="D49" s="177">
        <v>0</v>
      </c>
      <c r="E49" s="23" t="s">
        <v>2204</v>
      </c>
      <c r="F49" s="28" t="s">
        <v>34</v>
      </c>
      <c r="G49" s="3203"/>
      <c r="H49" s="138"/>
      <c r="I49" s="2486"/>
      <c r="J49" s="1811">
        <v>4</v>
      </c>
      <c r="K49" s="3197" t="str">
        <f>IF(项目基本情况!E8="房地产抵押价值","房地产抵押价值","抵押担保权已注销时的房地产抵押价值")</f>
        <v>房地产抵押价值</v>
      </c>
      <c r="L49" s="3197"/>
      <c r="M49" s="3219">
        <f ca="1">IF(项目基本情况!E8="房地产抵押价值",H107,H109)</f>
        <v>17124</v>
      </c>
      <c r="N49" s="3219"/>
      <c r="O49" s="3219"/>
    </row>
    <row r="50" spans="1:35" ht="25.5" customHeight="1">
      <c r="A50" s="178"/>
      <c r="B50" s="3133" t="s">
        <v>2205</v>
      </c>
      <c r="C50" s="3133"/>
      <c r="D50" s="179"/>
      <c r="E50" s="31"/>
      <c r="F50" s="180"/>
      <c r="G50" s="3204"/>
      <c r="H50" s="138"/>
      <c r="I50" s="2486"/>
      <c r="J50" s="3197" t="s">
        <v>2206</v>
      </c>
      <c r="K50" s="3197"/>
      <c r="L50" s="3197"/>
      <c r="M50" s="3197"/>
      <c r="N50" s="3197"/>
      <c r="O50" s="3197"/>
    </row>
    <row r="51" spans="1:35" ht="12" customHeight="1">
      <c r="A51" s="181"/>
      <c r="B51" s="3133" t="s">
        <v>2207</v>
      </c>
      <c r="C51" s="3133"/>
      <c r="D51" s="182"/>
      <c r="E51" s="30"/>
      <c r="F51" s="180"/>
      <c r="G51" s="3205"/>
      <c r="H51" s="138"/>
      <c r="I51" s="2486"/>
      <c r="J51" s="2487" t="s">
        <v>2208</v>
      </c>
      <c r="K51" s="3197" t="s">
        <v>2209</v>
      </c>
      <c r="L51" s="3197"/>
      <c r="M51" s="2487" t="s">
        <v>2210</v>
      </c>
      <c r="N51" s="2487" t="s">
        <v>2211</v>
      </c>
      <c r="O51" s="2487" t="s">
        <v>2212</v>
      </c>
    </row>
    <row r="52" spans="1:35" ht="24" customHeight="1">
      <c r="A52" s="183" t="s">
        <v>2213</v>
      </c>
      <c r="B52" s="3133" t="s">
        <v>2214</v>
      </c>
      <c r="C52" s="3133"/>
      <c r="D52" s="182">
        <f ca="1">ROUND(D45*'数据-取费表'!B41/(1+'数据-取费表'!C42),0)</f>
        <v>913</v>
      </c>
      <c r="E52" s="11" t="s">
        <v>2215</v>
      </c>
      <c r="F52" s="184">
        <f>'数据-取费表'!B41</f>
        <v>5.6000000000000001E-2</v>
      </c>
      <c r="G52" s="2488"/>
      <c r="H52" s="138"/>
      <c r="I52" s="2486"/>
      <c r="J52" s="1811">
        <v>1</v>
      </c>
      <c r="K52" s="3198" t="s">
        <v>2216</v>
      </c>
      <c r="L52" s="3198"/>
      <c r="M52" s="1753">
        <f>D48</f>
        <v>0</v>
      </c>
      <c r="N52" s="1811" t="str">
        <f>E48</f>
        <v>销售额×税（费）率</v>
      </c>
      <c r="O52" s="1754" t="str">
        <f>F48</f>
        <v>免征</v>
      </c>
    </row>
    <row r="53" spans="1:35" ht="12" customHeight="1">
      <c r="A53" s="183" t="s">
        <v>2217</v>
      </c>
      <c r="B53" s="3156" t="s">
        <v>2218</v>
      </c>
      <c r="C53" s="3157"/>
      <c r="D53" s="182">
        <f ca="1">ROUND(D45*'数据-取费表'!B41/(1+'数据-取费表'!C42),0)</f>
        <v>913</v>
      </c>
      <c r="E53" s="11" t="s">
        <v>2215</v>
      </c>
      <c r="F53" s="184">
        <f>'数据-取费表'!B41</f>
        <v>5.6000000000000001E-2</v>
      </c>
      <c r="G53" s="2488"/>
      <c r="H53" s="138"/>
      <c r="I53" s="2486"/>
      <c r="J53" s="1811">
        <v>2</v>
      </c>
      <c r="K53" s="3198" t="s">
        <v>2219</v>
      </c>
      <c r="L53" s="3198"/>
      <c r="M53" s="1753">
        <f t="shared" ref="M53:O54" ca="1" si="0">D55</f>
        <v>9</v>
      </c>
      <c r="N53" s="1811" t="str">
        <f t="shared" si="0"/>
        <v>销售额×税（费）率</v>
      </c>
      <c r="O53" s="1754">
        <f t="shared" si="0"/>
        <v>5.0000000000000001E-4</v>
      </c>
    </row>
    <row r="54" spans="1:35" ht="12" customHeight="1">
      <c r="A54" s="183" t="s">
        <v>2220</v>
      </c>
      <c r="B54" s="3156" t="s">
        <v>2221</v>
      </c>
      <c r="C54" s="3157"/>
      <c r="D54" s="182">
        <f ca="1">C68</f>
        <v>913</v>
      </c>
      <c r="E54" s="30" t="s">
        <v>2222</v>
      </c>
      <c r="F54" s="184">
        <f>'数据-取费表'!B41</f>
        <v>5.6000000000000001E-2</v>
      </c>
      <c r="G54" s="2488"/>
      <c r="H54" s="2489"/>
      <c r="I54" s="2486"/>
      <c r="J54" s="1811">
        <v>3</v>
      </c>
      <c r="K54" s="3198" t="s">
        <v>2223</v>
      </c>
      <c r="L54" s="3198"/>
      <c r="M54" s="1753">
        <f t="shared" ca="1" si="0"/>
        <v>9692</v>
      </c>
      <c r="N54" s="1811" t="str">
        <f t="shared" si="0"/>
        <v>增值额×税（费）率</v>
      </c>
      <c r="O54" s="1755" t="str">
        <f t="shared" si="0"/>
        <v>——</v>
      </c>
    </row>
    <row r="55" spans="1:35" ht="24" customHeight="1">
      <c r="A55" s="3147" t="s">
        <v>2224</v>
      </c>
      <c r="B55" s="3148"/>
      <c r="C55" s="3148"/>
      <c r="D55" s="185">
        <f ca="1">IF(H55="个人住宅",0,ROUND(D45*I55,0))</f>
        <v>9</v>
      </c>
      <c r="E55" s="11" t="s">
        <v>2225</v>
      </c>
      <c r="F55" s="184">
        <f>IF(H55="正常",I55,"免征")</f>
        <v>5.0000000000000001E-4</v>
      </c>
      <c r="G55" s="2488"/>
      <c r="H55" s="2485" t="s">
        <v>2226</v>
      </c>
      <c r="I55" s="186">
        <f>'数据-取费表'!B49</f>
        <v>5.0000000000000001E-4</v>
      </c>
      <c r="J55" s="1811" t="str">
        <f>IF(H59="非个人房产","",4)</f>
        <v/>
      </c>
      <c r="K55" s="3198" t="str">
        <f>IF(H59="非个人房产","——","个人所得税")</f>
        <v>——</v>
      </c>
      <c r="L55" s="3198"/>
      <c r="M55" s="1756" t="str">
        <f>D59</f>
        <v>——</v>
      </c>
      <c r="N55" s="1809" t="str">
        <f>E59</f>
        <v>——</v>
      </c>
      <c r="O55" s="1757" t="str">
        <f>F59</f>
        <v>——</v>
      </c>
    </row>
    <row r="56" spans="1:35" ht="24.75">
      <c r="A56" s="3147" t="s">
        <v>2227</v>
      </c>
      <c r="B56" s="3148"/>
      <c r="C56" s="3148"/>
      <c r="D56" s="185">
        <f ca="1">IF(H56="个人住宅",D57,D58)</f>
        <v>9692</v>
      </c>
      <c r="E56" s="11" t="s">
        <v>2228</v>
      </c>
      <c r="F56" s="184" t="str">
        <f>IF(H56="正常",F58,"免征")</f>
        <v>——</v>
      </c>
      <c r="G56" s="2490" t="s">
        <v>2229</v>
      </c>
      <c r="H56" s="2491" t="s">
        <v>2226</v>
      </c>
      <c r="I56" s="2492"/>
      <c r="J56" s="1811" t="str">
        <f>IF(项目基本情况!K6="上海银行",IF(J55="",4,J55+1),"")</f>
        <v/>
      </c>
      <c r="K56" s="3221" t="str">
        <f>IF(项目基本情况!K6="上海银行","其他处置费用","")</f>
        <v/>
      </c>
      <c r="L56" s="3222"/>
      <c r="M56" s="1753" t="str">
        <f>IF(项目基本情况!K6="上海银行",M69,"")</f>
        <v/>
      </c>
      <c r="N56" s="3224" t="str">
        <f>IF(项目基本情况!K6="上海银行","包含处置中涉及的律师、诉讼、拍卖、评估等费用","")</f>
        <v/>
      </c>
      <c r="O56" s="3225"/>
    </row>
    <row r="57" spans="1:35" ht="12.75">
      <c r="A57" s="183" t="s">
        <v>2202</v>
      </c>
      <c r="B57" s="3163" t="s">
        <v>2230</v>
      </c>
      <c r="C57" s="3172"/>
      <c r="D57" s="187">
        <v>0</v>
      </c>
      <c r="E57" s="23" t="s">
        <v>2204</v>
      </c>
      <c r="F57" s="155"/>
      <c r="G57" s="2488"/>
      <c r="H57" s="2492"/>
      <c r="I57" s="2492"/>
      <c r="J57" s="3198">
        <f>IF(AND(J55="",J56=""),4,IF(项目基本情况!K6="上海银行",'结果表-酒店配套'!J56+1,'结果表-酒店配套'!J55+1))</f>
        <v>4</v>
      </c>
      <c r="K57" s="3198" t="s">
        <v>2231</v>
      </c>
      <c r="L57" s="2493" t="s">
        <v>2232</v>
      </c>
      <c r="M57" s="1758"/>
      <c r="N57" s="1759">
        <f ca="1">SUMIF(M52:M56,"&lt;9e307")</f>
        <v>9701</v>
      </c>
      <c r="O57" s="2494"/>
      <c r="P57" s="1752">
        <f ca="1">N57/M49</f>
        <v>0.56651483298294791</v>
      </c>
    </row>
    <row r="58" spans="1:35" ht="24.75">
      <c r="A58" s="183" t="s">
        <v>2213</v>
      </c>
      <c r="B58" s="3163" t="s">
        <v>2233</v>
      </c>
      <c r="C58" s="3164"/>
      <c r="D58" s="185">
        <f ca="1">IF(H58="转让取得",C81,C97)</f>
        <v>9692</v>
      </c>
      <c r="E58" s="11" t="s">
        <v>2228</v>
      </c>
      <c r="F58" s="24" t="s">
        <v>34</v>
      </c>
      <c r="G58" s="2488"/>
      <c r="H58" s="2491" t="s">
        <v>2234</v>
      </c>
      <c r="I58" s="2492"/>
      <c r="J58" s="3198"/>
      <c r="K58" s="3198"/>
      <c r="L58" s="2493" t="s">
        <v>2235</v>
      </c>
      <c r="M58" s="1760"/>
      <c r="N58" s="2495" t="str">
        <f ca="1">NUMBERSTRING(INT(N57*10000),2)&amp;"元整"</f>
        <v>玖仟柒佰零壹万元整</v>
      </c>
      <c r="O58" s="2496"/>
    </row>
    <row r="59" spans="1:35" ht="24.75" thickBot="1">
      <c r="A59" s="3201" t="s">
        <v>2236</v>
      </c>
      <c r="B59" s="3202"/>
      <c r="C59" s="3202"/>
      <c r="D59" s="188" t="str">
        <f>IF(H59="非个人房产","——",IF(H59="个人住宅",0,ROUND(D45*I59,0)))</f>
        <v>——</v>
      </c>
      <c r="E59" s="189" t="str">
        <f>IF(H59="非个人房产","——","销售额×税（费）率")</f>
        <v>——</v>
      </c>
      <c r="F59" s="190" t="str">
        <f>IF(H59="非个人房产","——",IF(H59="个人住宅","免征",I59))</f>
        <v>——</v>
      </c>
      <c r="G59" s="2497" t="s">
        <v>2229</v>
      </c>
      <c r="H59" s="2491" t="s">
        <v>2237</v>
      </c>
      <c r="I59" s="191">
        <v>0.01</v>
      </c>
      <c r="J59" s="3199">
        <f>J57+1</f>
        <v>5</v>
      </c>
      <c r="K59" s="3198" t="s">
        <v>2238</v>
      </c>
      <c r="L59" s="1811" t="s">
        <v>2232</v>
      </c>
      <c r="M59" s="1761"/>
      <c r="N59" s="1762">
        <f ca="1">M49-N57</f>
        <v>7423</v>
      </c>
      <c r="O59" s="2498"/>
    </row>
    <row r="60" spans="1:35" ht="12" customHeight="1">
      <c r="A60" s="2499"/>
      <c r="B60" s="2421"/>
      <c r="C60" s="2421"/>
      <c r="D60" s="2421"/>
      <c r="E60" s="2169"/>
      <c r="F60" s="2492"/>
      <c r="G60" s="2492"/>
      <c r="H60" s="2500"/>
      <c r="I60" s="138"/>
      <c r="J60" s="3200"/>
      <c r="K60" s="3198"/>
      <c r="L60" s="2493" t="s">
        <v>2235</v>
      </c>
      <c r="M60" s="1760"/>
      <c r="N60" s="2495" t="str">
        <f ca="1">NUMBERSTRING(INT(N59*10000),2)&amp;"元整"</f>
        <v>柒仟肆佰贰拾叁万元整</v>
      </c>
      <c r="O60" s="2496"/>
    </row>
    <row r="61" spans="1:35" ht="13.5" thickBot="1">
      <c r="A61" s="3145" t="s">
        <v>2239</v>
      </c>
      <c r="B61" s="3145"/>
      <c r="C61" s="3145"/>
      <c r="D61" s="3145"/>
      <c r="E61" s="3145"/>
      <c r="F61" s="2492"/>
      <c r="G61" s="2492"/>
      <c r="H61" s="2500"/>
      <c r="I61" s="138"/>
      <c r="J61" s="1811">
        <f>J59+1</f>
        <v>6</v>
      </c>
      <c r="K61" s="3198" t="s">
        <v>2240</v>
      </c>
      <c r="L61" s="3198"/>
      <c r="M61" s="1763"/>
      <c r="N61" s="1764">
        <f ca="1">ROUND(N59*10000/'数据-汇总表'!E3,0)</f>
        <v>2758</v>
      </c>
      <c r="O61" s="2501"/>
    </row>
    <row r="62" spans="1:35" ht="12.75">
      <c r="A62" s="3161" t="s">
        <v>2241</v>
      </c>
      <c r="B62" s="3162"/>
      <c r="C62" s="1803"/>
      <c r="D62" s="1803" t="s">
        <v>2242</v>
      </c>
      <c r="E62" s="192" t="s">
        <v>2243</v>
      </c>
      <c r="F62" s="2492"/>
      <c r="G62" s="2492"/>
      <c r="H62" s="2500"/>
      <c r="I62" s="138"/>
    </row>
    <row r="63" spans="1:35" ht="12.75">
      <c r="A63" s="203" t="s">
        <v>775</v>
      </c>
      <c r="B63" s="193" t="s">
        <v>2244</v>
      </c>
      <c r="C63" s="194">
        <f ca="1">ROUND((C64+C65)/(1+'数据-取费表'!C42),0)</f>
        <v>16309</v>
      </c>
      <c r="D63" s="195"/>
      <c r="E63" s="196"/>
      <c r="F63" s="2492"/>
      <c r="G63" s="2492"/>
      <c r="H63" s="2500"/>
      <c r="I63" s="138"/>
      <c r="J63" s="3223" t="s">
        <v>2245</v>
      </c>
      <c r="K63" s="2502" t="s">
        <v>2246</v>
      </c>
      <c r="L63" s="1751">
        <f ca="1">IF(M49&gt;10000,M49*0.5%,IF(AND(M49&gt;1000,M49&lt;=10000),M49*1%,IF(AND(M49&gt;100,M49&lt;=1000),M49*3%,IF(AND(M49&gt;10,M49&lt;=100),M49*5%,M49*8%))))</f>
        <v>85.62</v>
      </c>
      <c r="M63" s="24">
        <f ca="1">ROUND(L63,1)</f>
        <v>85.6</v>
      </c>
      <c r="Z63" s="2426"/>
      <c r="AI63" s="2427"/>
    </row>
    <row r="64" spans="1:35" ht="14.25" customHeight="1">
      <c r="A64" s="197" t="s">
        <v>770</v>
      </c>
      <c r="B64" s="198" t="s">
        <v>2247</v>
      </c>
      <c r="C64" s="199">
        <f ca="1">D45</f>
        <v>17124</v>
      </c>
      <c r="D64" s="200" t="s">
        <v>32</v>
      </c>
      <c r="E64" s="201"/>
      <c r="F64" s="2492"/>
      <c r="G64" s="2492"/>
      <c r="H64" s="2500"/>
      <c r="I64" s="138"/>
      <c r="J64" s="3223"/>
      <c r="K64" s="2502" t="s">
        <v>2248</v>
      </c>
      <c r="L64" s="1751">
        <f ca="1">IF(M49&gt;2000,M49*0.5%,IF(AND(M49&gt;1000,M49&lt;=2000),M49*0.6%,IF(AND(M49&gt;500,M49&lt;=1000),M49*0.7%,IF(AND(M49&gt;200,M49&lt;=500),M49*0.8%,IF(AND(M49&gt;100,M49&lt;=200),M49*0.9%,IF(AND(M49&gt;50,M49&lt;=100),M49*1%,IF(AND(M49&gt;20,M49&lt;=50),M49*1.5%,IF(AND(M49&gt;10,M49&lt;=20),M49*2%,IF(AND(M49&gt;1,M49&lt;=10),M49*2.5%)))))))))</f>
        <v>85.62</v>
      </c>
      <c r="M64" s="24">
        <f t="shared" ref="M64:M65" ca="1" si="1">ROUND(L64,1)</f>
        <v>85.6</v>
      </c>
      <c r="N64" s="138" t="s">
        <v>2249</v>
      </c>
      <c r="Z64" s="2426"/>
      <c r="AI64" s="2427"/>
    </row>
    <row r="65" spans="1:35" ht="14.25" customHeight="1">
      <c r="A65" s="197" t="s">
        <v>771</v>
      </c>
      <c r="B65" s="198" t="s">
        <v>2250</v>
      </c>
      <c r="C65" s="202"/>
      <c r="D65" s="200"/>
      <c r="E65" s="201"/>
      <c r="F65" s="2492"/>
      <c r="G65" s="2492"/>
      <c r="H65" s="2500"/>
      <c r="I65" s="138"/>
      <c r="J65" s="3223"/>
      <c r="K65" s="2502" t="s">
        <v>2251</v>
      </c>
      <c r="L65" s="1751">
        <f ca="1">IF(M49&gt;1000,M49*0.1%,IF(AND(M49&gt;500,M49&lt;=1000),M49*0.5%,IF(AND(M49&gt;50,M49&lt;=500),M49*1%,IF(AND(M49&gt;1,M49&lt;=50),M49*1.5%))))</f>
        <v>17.123999999999999</v>
      </c>
      <c r="M65" s="24">
        <f t="shared" ca="1" si="1"/>
        <v>17.100000000000001</v>
      </c>
      <c r="N65" s="138" t="s">
        <v>2249</v>
      </c>
      <c r="Z65" s="2426"/>
      <c r="AI65" s="2427"/>
    </row>
    <row r="66" spans="1:35" ht="14.25" customHeight="1">
      <c r="A66" s="203" t="s">
        <v>772</v>
      </c>
      <c r="B66" s="204" t="s">
        <v>2252</v>
      </c>
      <c r="C66" s="205"/>
      <c r="D66" s="206" t="s">
        <v>32</v>
      </c>
      <c r="E66" s="1775" t="s">
        <v>1371</v>
      </c>
      <c r="F66" s="2492"/>
      <c r="G66" s="2492"/>
      <c r="H66" s="2500"/>
      <c r="I66" s="138"/>
      <c r="J66" s="3223"/>
      <c r="K66" s="2502" t="s">
        <v>2253</v>
      </c>
      <c r="L66" s="1751">
        <f ca="1">M49*0.5%</f>
        <v>85.62</v>
      </c>
      <c r="M66" s="24">
        <f ca="1">IF(L66&gt;0.5,0.5,ROUND(L66,0))</f>
        <v>0.5</v>
      </c>
      <c r="N66" s="138" t="s">
        <v>2254</v>
      </c>
      <c r="Z66" s="2426"/>
      <c r="AI66" s="2427"/>
    </row>
    <row r="67" spans="1:35" ht="14.25" customHeight="1">
      <c r="A67" s="203" t="s">
        <v>773</v>
      </c>
      <c r="B67" s="204" t="s">
        <v>2255</v>
      </c>
      <c r="C67" s="207">
        <f ca="1">C63-C66</f>
        <v>16309</v>
      </c>
      <c r="D67" s="200" t="s">
        <v>32</v>
      </c>
      <c r="E67" s="201"/>
      <c r="F67" s="2492"/>
      <c r="G67" s="2492"/>
      <c r="H67" s="2500"/>
      <c r="I67" s="138"/>
      <c r="J67" s="3223"/>
      <c r="K67" s="2502" t="s">
        <v>2256</v>
      </c>
      <c r="L67" s="1751">
        <f ca="1">IF(M49&gt;=10000,(8.25+(M49-10000)*0.01%),IF(AND(M49&gt;=8000,M49&lt;10000),(7.85+(M49-8000)*0.02%),IF(AND(M49&gt;=5000,M49&lt;8000),(6.65+(M49-5000)*0.04%),IF(AND(M49&gt;=2000,M49&lt;5000),(4.25+(PM49-2000)*0.08%),IF(AND(M49&gt;=1000,M49&lt;2000),(2.75+(M49-1000)*0.15%),IF(AND(M49&gt;=100,M49&lt;1000),(0.5+(M49-100)*0.25%),IF(AND(M49&gt;0,M49&lt;100),M49*0.5%)))))))</f>
        <v>8.9624000000000006</v>
      </c>
      <c r="M67" s="24">
        <f ca="1">ROUND(L67*0.9,1)</f>
        <v>8.1</v>
      </c>
      <c r="Z67" s="2426"/>
      <c r="AI67" s="2427"/>
    </row>
    <row r="68" spans="1:35" ht="14.25" customHeight="1" thickBot="1">
      <c r="A68" s="208" t="s">
        <v>774</v>
      </c>
      <c r="B68" s="209" t="s">
        <v>2257</v>
      </c>
      <c r="C68" s="210">
        <f ca="1">IF(C67&lt;=0,0,ROUND(C67*D68,0))</f>
        <v>913</v>
      </c>
      <c r="D68" s="211">
        <f>'数据-取费表'!B41</f>
        <v>5.6000000000000001E-2</v>
      </c>
      <c r="E68" s="212"/>
      <c r="F68" s="2492"/>
      <c r="G68" s="2492"/>
      <c r="H68" s="2500"/>
      <c r="I68" s="138"/>
      <c r="J68" s="3223"/>
      <c r="K68" s="2502" t="s">
        <v>2258</v>
      </c>
      <c r="L68" s="1751">
        <f ca="1">IF(M49&gt;10000,M49*0.5%,IF(AND(M49&gt;5000,M49&lt;=10000),M49*1%,IF(AND(M49&gt;1000,M49&lt;=5000),M49*2%,IF(AND(M49&gt;200,M49&lt;=1000),M49*3%,M49*5%))))</f>
        <v>85.62</v>
      </c>
      <c r="M68" s="24">
        <f ca="1">ROUND(L68,1)</f>
        <v>85.6</v>
      </c>
      <c r="Z68" s="2426"/>
      <c r="AI68" s="2427"/>
    </row>
    <row r="69" spans="1:35" s="2449" customFormat="1" ht="16.5" customHeight="1">
      <c r="A69" s="2503"/>
      <c r="B69" s="2504"/>
      <c r="C69" s="2505"/>
      <c r="D69" s="2506"/>
      <c r="E69" s="2507"/>
      <c r="F69" s="2169"/>
      <c r="G69" s="2169"/>
      <c r="H69" s="2168"/>
      <c r="I69" s="2421"/>
      <c r="J69" s="3223"/>
      <c r="K69" s="2502" t="s">
        <v>2259</v>
      </c>
      <c r="L69" s="2508"/>
      <c r="M69" s="24">
        <f ca="1">ROUND(SUM(M63:M68),0)</f>
        <v>283</v>
      </c>
      <c r="N69" s="1752">
        <f ca="1">M69/M49</f>
        <v>1.652651249708012E-2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82" t="s">
        <v>2260</v>
      </c>
      <c r="B70" s="3183"/>
      <c r="C70" s="3183"/>
      <c r="D70" s="3183"/>
      <c r="E70" s="3183"/>
      <c r="F70" s="3183"/>
      <c r="G70" s="3183"/>
      <c r="H70" s="318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1" t="s">
        <v>2241</v>
      </c>
      <c r="B71" s="3162"/>
      <c r="C71" s="1803"/>
      <c r="D71" s="1803" t="s">
        <v>2242</v>
      </c>
      <c r="E71" s="213" t="s">
        <v>2243</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2261</v>
      </c>
      <c r="C72" s="207">
        <f ca="1">ROUND(D45/(1+'数据-取费表'!C42),0)</f>
        <v>16309</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2262</v>
      </c>
      <c r="C73" s="207">
        <f ca="1">C74+C78</f>
        <v>98</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2263</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2264</v>
      </c>
      <c r="C75" s="218"/>
      <c r="D75" s="200" t="s">
        <v>32</v>
      </c>
      <c r="E75" s="219" t="s">
        <v>2265</v>
      </c>
      <c r="F75" s="2514" t="s">
        <v>2266</v>
      </c>
      <c r="G75" s="219" t="s">
        <v>2267</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2268</v>
      </c>
      <c r="C76" s="200">
        <f>IF(F75="购房发票",ROUND(C75*H75*D76,0),0)</f>
        <v>0</v>
      </c>
      <c r="D76" s="222">
        <v>0.05</v>
      </c>
      <c r="E76" s="3156" t="s">
        <v>2269</v>
      </c>
      <c r="F76" s="3133"/>
      <c r="G76" s="3133"/>
      <c r="H76" s="318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6" t="s">
        <v>2272</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2273</v>
      </c>
      <c r="C78" s="225">
        <f ca="1">ROUND(D45*D78/(1+'数据-取费表'!C42),0)</f>
        <v>98</v>
      </c>
      <c r="D78" s="226">
        <f>'数据-取费表'!B43</f>
        <v>6.000000000000001E-3</v>
      </c>
      <c r="E78" s="3142" t="s">
        <v>2274</v>
      </c>
      <c r="F78" s="3143"/>
      <c r="G78" s="3143"/>
      <c r="H78" s="315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2275</v>
      </c>
      <c r="C79" s="207">
        <f ca="1">C72-C73</f>
        <v>16211</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2276</v>
      </c>
      <c r="C80" s="227">
        <f ca="1">IF(C79&lt;=0,0,C79/C73)</f>
        <v>165.41836734693877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2277</v>
      </c>
      <c r="C81" s="228">
        <f ca="1">ROUND(IF(C79&lt;=0,0,IF(C80&gt;=200%,C79*60%-C73*35%,IF(C80&gt;=100%,C79*50%-C73*15%,IF(C80&gt;=50%,C79*40%-C73*5%,IF(C80&lt;50%,C79*30%,0))))),0)</f>
        <v>9692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82" t="s">
        <v>2278</v>
      </c>
      <c r="B83" s="3183"/>
      <c r="C83" s="3183"/>
      <c r="D83" s="3183"/>
      <c r="E83" s="3183"/>
      <c r="F83" s="3183"/>
      <c r="G83" s="3183"/>
      <c r="H83" s="318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1" t="s">
        <v>2241</v>
      </c>
      <c r="B84" s="3162"/>
      <c r="C84" s="1803"/>
      <c r="D84" s="1803" t="s">
        <v>2242</v>
      </c>
      <c r="E84" s="213" t="s">
        <v>2243</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2261</v>
      </c>
      <c r="C85" s="207">
        <f ca="1">ROUND(D45/(1+'数据-取费表'!C42),0)</f>
        <v>16309</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2262</v>
      </c>
      <c r="C86" s="207">
        <f ca="1">IF(H88="仅含出让金",C87+C90+C91+C92+C93+C94,C87+C91+C92+C93+C94)</f>
        <v>98</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2279</v>
      </c>
      <c r="C87" s="225">
        <f>C88+C89</f>
        <v>0</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2280</v>
      </c>
      <c r="C88" s="236"/>
      <c r="D88" s="226"/>
      <c r="E88" s="237" t="s">
        <v>2281</v>
      </c>
      <c r="F88" s="1799"/>
      <c r="G88" s="238"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2270</v>
      </c>
      <c r="C89" s="225">
        <f>ROUND(C88*D89,0)</f>
        <v>0</v>
      </c>
      <c r="D89" s="226">
        <f>'数据-取费表'!B48+'数据-取费表'!B49</f>
        <v>3.0499999999999999E-2</v>
      </c>
      <c r="E89" s="237" t="s">
        <v>2283</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2284</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2285</v>
      </c>
      <c r="B91" s="198" t="s">
        <v>2286</v>
      </c>
      <c r="C91" s="225">
        <f>IF(H91="——",'成本法-办公'!C33,I91)</f>
        <v>0</v>
      </c>
      <c r="D91" s="226"/>
      <c r="E91" s="3142" t="s">
        <v>2287</v>
      </c>
      <c r="F91" s="3143"/>
      <c r="G91" s="3143"/>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2289</v>
      </c>
      <c r="B92" s="198" t="s">
        <v>2290</v>
      </c>
      <c r="C92" s="225">
        <f>ROUND((C87+C90+C91)*D92,0)</f>
        <v>0</v>
      </c>
      <c r="D92" s="226">
        <v>0.1</v>
      </c>
      <c r="E92" s="3142" t="s">
        <v>2291</v>
      </c>
      <c r="F92" s="3143"/>
      <c r="G92" s="3143"/>
      <c r="H92" s="315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2292</v>
      </c>
      <c r="B93" s="198" t="s">
        <v>2273</v>
      </c>
      <c r="C93" s="225">
        <f ca="1">ROUND(D45*D93/(1+'数据-取费表'!C42),0)</f>
        <v>98</v>
      </c>
      <c r="D93" s="226">
        <f>'数据-取费表'!B43</f>
        <v>6.000000000000001E-3</v>
      </c>
      <c r="E93" s="3142" t="s">
        <v>2274</v>
      </c>
      <c r="F93" s="3143"/>
      <c r="G93" s="3143"/>
      <c r="H93" s="315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2293</v>
      </c>
      <c r="B94" s="198" t="s">
        <v>2294</v>
      </c>
      <c r="C94" s="236">
        <f>ROUND((C87+C90+C91)*D94,0)</f>
        <v>0</v>
      </c>
      <c r="D94" s="226">
        <v>0.2</v>
      </c>
      <c r="E94" s="3153" t="s">
        <v>2295</v>
      </c>
      <c r="F94" s="3154"/>
      <c r="G94" s="3154"/>
      <c r="H94" s="315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2275</v>
      </c>
      <c r="C95" s="207">
        <f ca="1">ROUND(C85-C86,0)</f>
        <v>16211</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2276</v>
      </c>
      <c r="C96" s="227">
        <f ca="1">IF(C95&lt;=0,0,C95/C86)</f>
        <v>165.41836734693877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2277</v>
      </c>
      <c r="C97" s="228">
        <f ca="1">ROUND(IF(C95&lt;=0,0,IF(C96&gt;=200%,C95*60%-C86*35%,IF(C96&gt;=100%,C95*50%-C86*15%,IF(C96&gt;=50%,C95*40%-C86*5%,IF(C96&lt;50%,C95*30%,0))))),0)</f>
        <v>9692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2296</v>
      </c>
      <c r="B99" s="2421"/>
      <c r="C99" s="2421"/>
      <c r="D99" s="2421"/>
      <c r="E99" s="2169"/>
      <c r="F99" s="2169"/>
      <c r="G99" s="2169"/>
      <c r="H99" s="2168"/>
      <c r="I99" s="138"/>
    </row>
    <row r="100" spans="1:35" ht="18.75" customHeight="1">
      <c r="A100" s="3127" t="s">
        <v>2297</v>
      </c>
      <c r="B100" s="3128"/>
      <c r="C100" s="3128"/>
      <c r="D100" s="3144"/>
      <c r="E100" s="3128" t="s">
        <v>2298</v>
      </c>
      <c r="F100" s="3128"/>
      <c r="G100" s="3128"/>
      <c r="H100" s="3144"/>
      <c r="I100" s="138"/>
    </row>
    <row r="101" spans="1:35" ht="18.75" customHeight="1">
      <c r="A101" s="3206" t="s">
        <v>2299</v>
      </c>
      <c r="B101" s="3207"/>
      <c r="C101" s="736" t="str">
        <f>C4</f>
        <v>成本法-酒店配套</v>
      </c>
      <c r="D101" s="737" t="str">
        <f>D4</f>
        <v>收益法-酒店配套</v>
      </c>
      <c r="E101" s="3220" t="s">
        <v>2300</v>
      </c>
      <c r="F101" s="3174"/>
      <c r="G101" s="2523" t="s">
        <v>2301</v>
      </c>
      <c r="H101" s="1047">
        <f ca="1">H118</f>
        <v>17124</v>
      </c>
      <c r="I101" s="138"/>
    </row>
    <row r="102" spans="1:35" ht="18.75" customHeight="1">
      <c r="A102" s="3176" t="s">
        <v>2302</v>
      </c>
      <c r="B102" s="2523" t="s">
        <v>2301</v>
      </c>
      <c r="C102" s="736">
        <f ca="1">C19</f>
        <v>21578</v>
      </c>
      <c r="D102" s="737">
        <f ca="1">D19</f>
        <v>14155</v>
      </c>
      <c r="E102" s="3220"/>
      <c r="F102" s="3174"/>
      <c r="G102" s="2523" t="s">
        <v>2303</v>
      </c>
      <c r="H102" s="371">
        <f ca="1">I118</f>
        <v>34471</v>
      </c>
      <c r="I102" s="138"/>
    </row>
    <row r="103" spans="1:35" ht="42.75" customHeight="1">
      <c r="A103" s="3176"/>
      <c r="B103" s="2523" t="s">
        <v>2303</v>
      </c>
      <c r="C103" s="738">
        <f ca="1">C20</f>
        <v>43437</v>
      </c>
      <c r="D103" s="739">
        <f ca="1">D20</f>
        <v>28495</v>
      </c>
      <c r="E103" s="3215" t="s">
        <v>2304</v>
      </c>
      <c r="F103" s="3216"/>
      <c r="G103" s="2524" t="s">
        <v>2305</v>
      </c>
      <c r="H103" s="1047">
        <f>IF(D36="正常操作",H104+H105+H106,H105+H106)</f>
        <v>0</v>
      </c>
      <c r="I103" s="138"/>
    </row>
    <row r="104" spans="1:35" ht="18.75" customHeight="1">
      <c r="A104" s="3176" t="s">
        <v>2306</v>
      </c>
      <c r="B104" s="2525" t="s">
        <v>2301</v>
      </c>
      <c r="C104" s="740">
        <f ca="1">H118</f>
        <v>17124</v>
      </c>
      <c r="D104" s="741"/>
      <c r="E104" s="2269" t="s">
        <v>2307</v>
      </c>
      <c r="F104" s="2261"/>
      <c r="G104" s="2524" t="s">
        <v>2305</v>
      </c>
      <c r="H104" s="1048">
        <f>IF(D36="同一抵押权人同一抵押物续贷",C36&amp;"（未扣减，详见特别提示）",C36)</f>
        <v>0</v>
      </c>
      <c r="I104" s="138"/>
    </row>
    <row r="105" spans="1:35" ht="18.75" customHeight="1" thickBot="1">
      <c r="A105" s="3177"/>
      <c r="B105" s="2526" t="s">
        <v>2303</v>
      </c>
      <c r="C105" s="742">
        <f ca="1">I118</f>
        <v>34471</v>
      </c>
      <c r="D105" s="743"/>
      <c r="E105" s="2269" t="s">
        <v>2308</v>
      </c>
      <c r="F105" s="2261"/>
      <c r="G105" s="2524" t="s">
        <v>2305</v>
      </c>
      <c r="H105" s="1048">
        <f>C37</f>
        <v>0</v>
      </c>
      <c r="I105" s="138"/>
    </row>
    <row r="106" spans="1:35" ht="18.75" customHeight="1">
      <c r="A106" s="2421" t="s">
        <v>2309</v>
      </c>
      <c r="B106" s="2421"/>
      <c r="C106" s="2421"/>
      <c r="D106" s="2421"/>
      <c r="E106" s="2527" t="s">
        <v>2310</v>
      </c>
      <c r="F106" s="2261"/>
      <c r="G106" s="2524" t="s">
        <v>2305</v>
      </c>
      <c r="H106" s="1048">
        <f>C38</f>
        <v>0</v>
      </c>
      <c r="I106" s="138"/>
    </row>
    <row r="107" spans="1:35" ht="18.75" customHeight="1">
      <c r="A107" s="138"/>
      <c r="B107" s="138"/>
      <c r="C107" s="138"/>
      <c r="D107" s="138"/>
      <c r="E107" s="3173" t="str">
        <f>IF(项目基本情况!E8="已注销","——","3.房地产抵押价值")</f>
        <v>3.房地产抵押价值</v>
      </c>
      <c r="F107" s="3174"/>
      <c r="G107" s="2523" t="s">
        <v>2301</v>
      </c>
      <c r="H107" s="1047">
        <f ca="1">IF(E107="——","——",H101-H103)</f>
        <v>17124</v>
      </c>
      <c r="I107" s="138"/>
    </row>
    <row r="108" spans="1:35" ht="18.75" customHeight="1">
      <c r="A108" s="138"/>
      <c r="B108" s="138"/>
      <c r="C108" s="138"/>
      <c r="D108" s="138"/>
      <c r="E108" s="3173"/>
      <c r="F108" s="3174"/>
      <c r="G108" s="2523" t="s">
        <v>2303</v>
      </c>
      <c r="H108" s="371">
        <f ca="1">ROUND(H107*10000/'数据-汇总表'!E3,0)</f>
        <v>6362</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v>
      </c>
      <c r="F109" s="3174"/>
      <c r="G109" s="2523" t="s">
        <v>2301</v>
      </c>
      <c r="H109" s="348" t="str">
        <f>IF(E109="——","——",H101-H105-H106)</f>
        <v>——</v>
      </c>
      <c r="I109" s="138"/>
    </row>
    <row r="110" spans="1:35" ht="18.75" customHeight="1">
      <c r="A110" s="138"/>
      <c r="B110" s="138"/>
      <c r="C110" s="138"/>
      <c r="D110" s="138"/>
      <c r="E110" s="3173"/>
      <c r="F110" s="3174"/>
      <c r="G110" s="2523" t="s">
        <v>2303</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23" t="s">
        <v>2301</v>
      </c>
      <c r="H111" s="1047" t="str">
        <f>IF(E111="——","——",N59)</f>
        <v>——</v>
      </c>
      <c r="I111" s="138"/>
    </row>
    <row r="112" spans="1:35" ht="18.75" customHeight="1" thickBot="1">
      <c r="A112" s="138"/>
      <c r="B112" s="138"/>
      <c r="C112" s="138"/>
      <c r="D112" s="138"/>
      <c r="E112" s="3210"/>
      <c r="F112" s="3211"/>
      <c r="G112" s="2528" t="s">
        <v>2303</v>
      </c>
      <c r="H112" s="790" t="str">
        <f>IF(E111="——","——",N61)</f>
        <v>——</v>
      </c>
      <c r="I112" s="138"/>
    </row>
    <row r="113" spans="1:11" ht="18.75" customHeight="1">
      <c r="A113" s="138"/>
      <c r="B113" s="138"/>
      <c r="C113" s="138"/>
      <c r="D113" s="138"/>
      <c r="E113" s="3178" t="s">
        <v>2309</v>
      </c>
      <c r="F113" s="3178"/>
      <c r="G113" s="3178"/>
      <c r="H113" s="3178"/>
      <c r="I113" s="138"/>
    </row>
    <row r="114" spans="1:11" ht="3.75" customHeight="1">
      <c r="A114" s="2421"/>
      <c r="B114" s="2421"/>
      <c r="C114" s="2421"/>
      <c r="D114" s="2421"/>
      <c r="E114" s="2499"/>
      <c r="F114" s="2499"/>
      <c r="G114" s="2499"/>
      <c r="H114" s="2499"/>
      <c r="I114" s="2421"/>
    </row>
    <row r="115" spans="1:11" ht="18.75" customHeight="1">
      <c r="A115" s="3191" t="s">
        <v>2311</v>
      </c>
      <c r="B115" s="3192"/>
      <c r="C115" s="3192"/>
      <c r="D115" s="3192"/>
      <c r="E115" s="3192"/>
      <c r="F115" s="3192"/>
      <c r="G115" s="3192"/>
      <c r="H115" s="3192"/>
      <c r="I115" s="3193"/>
    </row>
    <row r="116" spans="1:11" ht="27" customHeight="1">
      <c r="A116" s="3084" t="s">
        <v>2312</v>
      </c>
      <c r="B116" s="3179" t="s">
        <v>2313</v>
      </c>
      <c r="C116" s="3179" t="s">
        <v>2314</v>
      </c>
      <c r="D116" s="3195" t="s">
        <v>2315</v>
      </c>
      <c r="E116" s="3196"/>
      <c r="F116" s="3187" t="s">
        <v>2316</v>
      </c>
      <c r="G116" s="3187"/>
      <c r="H116" s="3084" t="s">
        <v>2317</v>
      </c>
      <c r="I116" s="3084"/>
    </row>
    <row r="117" spans="1:11" ht="18.75" customHeight="1">
      <c r="A117" s="3084"/>
      <c r="B117" s="3180"/>
      <c r="C117" s="3180"/>
      <c r="D117" s="1797" t="s">
        <v>2318</v>
      </c>
      <c r="E117" s="1797" t="s">
        <v>2319</v>
      </c>
      <c r="F117" s="1797" t="s">
        <v>2318</v>
      </c>
      <c r="G117" s="1797" t="s">
        <v>2320</v>
      </c>
      <c r="H117" s="1797" t="s">
        <v>2318</v>
      </c>
      <c r="I117" s="1797" t="s">
        <v>2320</v>
      </c>
    </row>
    <row r="118" spans="1:11" ht="24.75" customHeight="1">
      <c r="A118" s="2529" t="str">
        <f>项目基本情况!S2</f>
        <v>北京市房地产</v>
      </c>
      <c r="B118" s="1797">
        <f>M18</f>
        <v>4967.6099999999997</v>
      </c>
      <c r="C118" s="1797">
        <f>M19</f>
        <v>697.91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17124</v>
      </c>
      <c r="I118" s="1797">
        <f ca="1">ROUND(IF(D32="楼面单价",C32,H118*10000/B118),0)</f>
        <v>34471</v>
      </c>
    </row>
    <row r="119" spans="1:11" ht="18.75" customHeight="1">
      <c r="A119" s="3084" t="s">
        <v>2321</v>
      </c>
      <c r="B119" s="3084"/>
      <c r="C119" s="3084"/>
      <c r="D119" s="3184" t="e">
        <f ca="1">NUMBERSTRING(INT(D118*10000),2)&amp;"元整"</f>
        <v>#REF!</v>
      </c>
      <c r="E119" s="3186"/>
      <c r="F119" s="3184" t="e">
        <f ca="1">NUMBERSTRING(INT(F118*10000),2)&amp;"元整"</f>
        <v>#REF!</v>
      </c>
      <c r="G119" s="3186"/>
      <c r="H119" s="3184" t="str">
        <f ca="1">NUMBERSTRING(INT(H118*10000),2)&amp;"元整"</f>
        <v>壹亿柒仟壹佰贰拾肆万元整</v>
      </c>
      <c r="I119" s="3186"/>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26" t="str">
        <f>IF(D120=0,"故，本次评估不存在"&amp;A120,"故，本次评估"&amp;A120&amp;"为人民币"&amp;D120&amp;"万元整。")</f>
        <v>故，本次评估不存在估价师知悉的法定优先受偿款</v>
      </c>
    </row>
    <row r="121" spans="1:11" ht="18.75" customHeight="1">
      <c r="A121" s="3188" t="s">
        <v>2321</v>
      </c>
      <c r="B121" s="3189"/>
      <c r="C121" s="3190"/>
      <c r="D121" s="3184" t="str">
        <f>IF(D120=0,"零元整",NUMBERSTRING(INT(D120*10000),2)&amp;"元整")</f>
        <v>零元整</v>
      </c>
      <c r="E121" s="3185"/>
      <c r="F121" s="3185"/>
      <c r="G121" s="3185"/>
      <c r="H121" s="3185"/>
      <c r="I121" s="3186"/>
    </row>
    <row r="122" spans="1:11" ht="18.75" customHeight="1">
      <c r="A122" s="3175" t="str">
        <f>IF(项目基本情况!B9="房地产市场价值","",MID(E107,3,LEN(E107)-2))</f>
        <v>房地产抵押价值</v>
      </c>
      <c r="B122" s="3175"/>
      <c r="C122" s="3175"/>
      <c r="D122" s="3212">
        <f ca="1">H107</f>
        <v>17124</v>
      </c>
      <c r="E122" s="3213"/>
      <c r="F122" s="3213"/>
      <c r="G122" s="3213"/>
      <c r="H122" s="3213"/>
      <c r="I122" s="3214"/>
    </row>
    <row r="123" spans="1:11" ht="18.75" customHeight="1">
      <c r="A123" s="3084" t="s">
        <v>2321</v>
      </c>
      <c r="B123" s="3084"/>
      <c r="C123" s="3084"/>
      <c r="D123" s="3184" t="str">
        <f ca="1">NUMBERSTRING(INT(D122*10000),2)&amp;"元整"</f>
        <v>壹亿柒仟壹佰贰拾肆万元整</v>
      </c>
      <c r="E123" s="3185"/>
      <c r="F123" s="3185"/>
      <c r="G123" s="3185"/>
      <c r="H123" s="3185"/>
      <c r="I123" s="3186"/>
    </row>
    <row r="124" spans="1:11" ht="18.75" customHeight="1">
      <c r="A124" s="3175" t="str">
        <f>IF(项目基本情况!B9="房地产市场价值","",MID(E109,3,LEN(E109)-2))</f>
        <v/>
      </c>
      <c r="B124" s="3175"/>
      <c r="C124" s="3175"/>
      <c r="D124" s="3212" t="str">
        <f>H109</f>
        <v>——</v>
      </c>
      <c r="E124" s="3213"/>
      <c r="F124" s="3213"/>
      <c r="G124" s="3213"/>
      <c r="H124" s="3213"/>
      <c r="I124" s="3214"/>
    </row>
    <row r="125" spans="1:11" ht="18.75" customHeight="1">
      <c r="A125" s="3084" t="s">
        <v>2321</v>
      </c>
      <c r="B125" s="3084"/>
      <c r="C125" s="3084"/>
      <c r="D125" s="3184" t="e">
        <f>NUMBERSTRING(INT(D124*10000),2)&amp;"元整"</f>
        <v>#VALUE!</v>
      </c>
      <c r="E125" s="3185"/>
      <c r="F125" s="3185"/>
      <c r="G125" s="3185"/>
      <c r="H125" s="3185"/>
      <c r="I125" s="3186"/>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84" t="s">
        <v>2321</v>
      </c>
      <c r="B127" s="3084"/>
      <c r="C127" s="3084"/>
      <c r="D127" s="3184" t="e">
        <f>NUMBERSTRING(INT(D126*10000),2)&amp;"元整"</f>
        <v>#VALUE!</v>
      </c>
      <c r="E127" s="3185"/>
      <c r="F127" s="3185"/>
      <c r="G127" s="3185"/>
      <c r="H127" s="3185"/>
      <c r="I127" s="3186"/>
    </row>
    <row r="128" spans="1:11" ht="21.75" customHeight="1">
      <c r="A128" s="3194" t="s">
        <v>2322</v>
      </c>
      <c r="B128" s="3194"/>
      <c r="C128" s="3194"/>
      <c r="D128" s="3194"/>
      <c r="E128" s="3194"/>
      <c r="F128" s="3194"/>
      <c r="G128" s="3194"/>
      <c r="H128" s="3194"/>
      <c r="I128" s="3194"/>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2325</v>
      </c>
      <c r="G135" s="2547"/>
      <c r="H135" s="2547"/>
      <c r="I135" s="2548" t="s">
        <v>2326</v>
      </c>
    </row>
    <row r="136" spans="1:35" ht="21.75" customHeight="1">
      <c r="A136" s="795"/>
      <c r="B136" s="2549"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2328</v>
      </c>
    </row>
    <row r="139" spans="1:35" ht="21.75" customHeight="1">
      <c r="A139" s="795"/>
      <c r="B139" s="2549" t="s">
        <v>2329</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2328</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40" t="str">
        <f>项目基本情况!B1</f>
        <v>北京市房地产抵押价值预评估</v>
      </c>
      <c r="C37" s="3040"/>
      <c r="D37" s="3040"/>
      <c r="E37" s="3040"/>
      <c r="F37" s="3040"/>
      <c r="G37" s="3040"/>
      <c r="H37" s="3040"/>
      <c r="I37" s="3040"/>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刘梅（注册号：1120140022)、吴薇（注册号：1419970001)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2121</v>
      </c>
      <c r="B1" s="2421"/>
      <c r="C1" s="2422" t="s">
        <v>27</v>
      </c>
      <c r="D1" s="2421"/>
      <c r="E1" s="2421"/>
      <c r="F1" s="2423" t="s">
        <v>2122</v>
      </c>
      <c r="G1" s="2073" t="s">
        <v>3113</v>
      </c>
      <c r="H1" s="2424" t="str">
        <f>IF(G1="现房","——","估价对象范围")</f>
        <v>——</v>
      </c>
      <c r="I1" s="2425" t="s">
        <v>3114</v>
      </c>
    </row>
    <row r="2" spans="1:12" ht="21.75" customHeight="1" thickBot="1">
      <c r="A2" s="3166" t="str">
        <f>项目基本情况!S2</f>
        <v>北京市房地产</v>
      </c>
      <c r="B2" s="3167"/>
      <c r="C2" s="3167"/>
      <c r="D2" s="3167"/>
      <c r="E2" s="3167"/>
      <c r="F2" s="3167"/>
      <c r="G2" s="3167"/>
      <c r="H2" s="3167"/>
      <c r="I2" s="3168"/>
    </row>
    <row r="3" spans="1:12" ht="12.75">
      <c r="A3" s="3170" t="s">
        <v>2123</v>
      </c>
      <c r="B3" s="3171"/>
      <c r="C3" s="3171"/>
      <c r="D3" s="3171"/>
      <c r="E3" s="3171"/>
      <c r="F3" s="3171"/>
      <c r="G3" s="3171"/>
      <c r="H3" s="3171"/>
      <c r="I3" s="3171"/>
    </row>
    <row r="4" spans="1:12" ht="14.25">
      <c r="A4" s="2428" t="s">
        <v>2124</v>
      </c>
      <c r="B4" s="2429" t="s">
        <v>2125</v>
      </c>
      <c r="C4" s="2430" t="s">
        <v>3111</v>
      </c>
      <c r="D4" s="2430" t="s">
        <v>3105</v>
      </c>
      <c r="E4" s="3163" t="s">
        <v>2126</v>
      </c>
      <c r="F4" s="3164"/>
      <c r="G4" s="3164"/>
      <c r="H4" s="3164"/>
      <c r="I4" s="3172"/>
      <c r="K4" s="2431" t="str">
        <f>IF(ISNUMBER(FIND("比较法",'结果表-办公'!C4)),"比较法",IF(ISNUMBER(FIND("成本法",'结果表-办公'!C4)),"成本法",IF(ISNUMBER(FIND("假设开发法",'结果表-办公'!C4)),"假设开发法",IF(ISNUMBER(FIND("收益法",'结果表-办公'!C4)),"收益法","基准地价系数修正法"))))</f>
        <v>成本法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6" t="s">
        <v>2127</v>
      </c>
      <c r="B5" s="3084">
        <v>25</v>
      </c>
      <c r="C5" s="3149"/>
      <c r="D5" s="3169"/>
      <c r="E5" s="140" t="s">
        <v>2128</v>
      </c>
      <c r="F5" s="2432"/>
      <c r="G5" s="2432"/>
      <c r="H5" s="2432"/>
      <c r="I5" s="1833"/>
    </row>
    <row r="6" spans="1:12" ht="12.75">
      <c r="A6" s="3146"/>
      <c r="B6" s="3084"/>
      <c r="C6" s="3150"/>
      <c r="D6" s="3169"/>
      <c r="E6" s="140" t="s">
        <v>2129</v>
      </c>
      <c r="F6" s="2432"/>
      <c r="G6" s="2432"/>
      <c r="H6" s="2432"/>
      <c r="I6" s="1833"/>
    </row>
    <row r="7" spans="1:12" ht="12.75">
      <c r="A7" s="3146"/>
      <c r="B7" s="3084"/>
      <c r="C7" s="3151"/>
      <c r="D7" s="3169"/>
      <c r="E7" s="140" t="s">
        <v>2130</v>
      </c>
      <c r="F7" s="2432"/>
      <c r="G7" s="2432"/>
      <c r="H7" s="2432"/>
      <c r="I7" s="1833"/>
    </row>
    <row r="8" spans="1:12" ht="12.75">
      <c r="A8" s="3146" t="s">
        <v>2131</v>
      </c>
      <c r="B8" s="3084">
        <v>15</v>
      </c>
      <c r="C8" s="3149"/>
      <c r="D8" s="3169"/>
      <c r="E8" s="140" t="s">
        <v>2132</v>
      </c>
      <c r="F8" s="2432"/>
      <c r="G8" s="2432"/>
      <c r="H8" s="2432"/>
      <c r="I8" s="1833"/>
    </row>
    <row r="9" spans="1:12" ht="12.75">
      <c r="A9" s="3146"/>
      <c r="B9" s="3084"/>
      <c r="C9" s="3151"/>
      <c r="D9" s="3169"/>
      <c r="E9" s="140" t="s">
        <v>2133</v>
      </c>
      <c r="F9" s="2432"/>
      <c r="G9" s="2432"/>
      <c r="H9" s="2432"/>
      <c r="I9" s="1833"/>
    </row>
    <row r="10" spans="1:12" ht="12.75">
      <c r="A10" s="3146" t="s">
        <v>2134</v>
      </c>
      <c r="B10" s="3084">
        <v>15</v>
      </c>
      <c r="C10" s="3149"/>
      <c r="D10" s="3169"/>
      <c r="E10" s="140" t="s">
        <v>2135</v>
      </c>
      <c r="F10" s="2432"/>
      <c r="G10" s="2432"/>
      <c r="H10" s="2432"/>
      <c r="I10" s="1833"/>
    </row>
    <row r="11" spans="1:12" ht="12.75">
      <c r="A11" s="3146"/>
      <c r="B11" s="3084"/>
      <c r="C11" s="3151"/>
      <c r="D11" s="3169"/>
      <c r="E11" s="140" t="s">
        <v>2136</v>
      </c>
      <c r="F11" s="2432"/>
      <c r="G11" s="2432"/>
      <c r="H11" s="2432"/>
      <c r="I11" s="1833"/>
    </row>
    <row r="12" spans="1:12" ht="12.75">
      <c r="A12" s="3146" t="s">
        <v>2137</v>
      </c>
      <c r="B12" s="3084">
        <v>15</v>
      </c>
      <c r="C12" s="3149"/>
      <c r="D12" s="3169"/>
      <c r="E12" s="140" t="s">
        <v>2138</v>
      </c>
      <c r="F12" s="2432"/>
      <c r="G12" s="2432"/>
      <c r="H12" s="2432"/>
      <c r="I12" s="1833"/>
    </row>
    <row r="13" spans="1:12" ht="12.75">
      <c r="A13" s="3146"/>
      <c r="B13" s="3084"/>
      <c r="C13" s="3151"/>
      <c r="D13" s="3169"/>
      <c r="E13" s="140" t="s">
        <v>2139</v>
      </c>
      <c r="F13" s="2432"/>
      <c r="G13" s="2432"/>
      <c r="H13" s="2432"/>
      <c r="I13" s="1833"/>
    </row>
    <row r="14" spans="1:12" ht="12.75">
      <c r="A14" s="3146" t="s">
        <v>2140</v>
      </c>
      <c r="B14" s="3084">
        <v>30</v>
      </c>
      <c r="C14" s="3149">
        <v>4</v>
      </c>
      <c r="D14" s="3169">
        <v>6</v>
      </c>
      <c r="E14" s="140" t="s">
        <v>2141</v>
      </c>
      <c r="F14" s="2432"/>
      <c r="G14" s="2432"/>
      <c r="H14" s="2432"/>
      <c r="I14" s="1833"/>
    </row>
    <row r="15" spans="1:12" ht="12.75">
      <c r="A15" s="3146"/>
      <c r="B15" s="3084"/>
      <c r="C15" s="3150"/>
      <c r="D15" s="3169"/>
      <c r="E15" s="140" t="s">
        <v>2142</v>
      </c>
      <c r="F15" s="2432"/>
      <c r="G15" s="2432"/>
      <c r="H15" s="2432"/>
      <c r="I15" s="1833"/>
    </row>
    <row r="16" spans="1:12" ht="12.75">
      <c r="A16" s="3146"/>
      <c r="B16" s="3084"/>
      <c r="C16" s="3151"/>
      <c r="D16" s="3169"/>
      <c r="E16" s="140" t="s">
        <v>2143</v>
      </c>
      <c r="F16" s="2432"/>
      <c r="G16" s="2432"/>
      <c r="H16" s="2432"/>
      <c r="I16" s="1833"/>
    </row>
    <row r="17" spans="1:35" ht="15">
      <c r="A17" s="2433" t="s">
        <v>2144</v>
      </c>
      <c r="B17" s="64"/>
      <c r="C17" s="141">
        <f>SUM(C5:C16)</f>
        <v>4</v>
      </c>
      <c r="D17" s="141">
        <f>SUM(D5:D16)</f>
        <v>6</v>
      </c>
      <c r="E17" s="138"/>
      <c r="F17" s="138"/>
      <c r="G17" s="138"/>
      <c r="H17" s="138"/>
      <c r="I17" s="138"/>
      <c r="K17" s="2431"/>
      <c r="L17" s="2434" t="s">
        <v>2145</v>
      </c>
      <c r="M17" s="2434" t="s">
        <v>2146</v>
      </c>
    </row>
    <row r="18" spans="1:35" ht="15.75" thickBot="1">
      <c r="A18" s="2435" t="s">
        <v>2147</v>
      </c>
      <c r="B18" s="2436"/>
      <c r="C18" s="142">
        <f>ROUND(C17/SUM(C17:D17),2)</f>
        <v>0.4</v>
      </c>
      <c r="D18" s="142">
        <f>1-C18</f>
        <v>0.6</v>
      </c>
      <c r="E18" s="138"/>
      <c r="F18" s="138"/>
      <c r="G18" s="138"/>
      <c r="H18" s="138"/>
      <c r="I18" s="138"/>
      <c r="K18" s="2431" t="s">
        <v>2148</v>
      </c>
      <c r="L18" s="2431">
        <f>IF(C1="",'数据-汇总表'!E3,SUMIF(项目类型,C1,'数据-汇总表'!E17:E26)+SUMIF(项目类型,C1,'数据-汇总表'!I17:I26))</f>
        <v>1316.46</v>
      </c>
      <c r="M18" s="2431">
        <f>IF(C1="",'数据-汇总表'!E3,SUMIF(项目类型,C1,'数据-汇总表'!E17:E26))</f>
        <v>1316.46</v>
      </c>
    </row>
    <row r="19" spans="1:35" ht="15">
      <c r="A19" s="2437" t="s">
        <v>2149</v>
      </c>
      <c r="B19" s="2438" t="s">
        <v>2150</v>
      </c>
      <c r="C19" s="143">
        <f ca="1">SUMIF(INDIRECT("'"&amp;C4&amp;"'"&amp;"!A:A"),'结果表-办公'!B19,INDIRECT("'"&amp;C4&amp;"'"&amp;"!B:B"))</f>
        <v>5720</v>
      </c>
      <c r="D19" s="144">
        <f ca="1">SUMIF(INDIRECT("'"&amp;D4&amp;"'"&amp;"!A:A"),'结果表-办公'!B19,INDIRECT("'"&amp;D4&amp;"'"&amp;"!B:B"))</f>
        <v>2982</v>
      </c>
      <c r="E19" s="2437" t="s">
        <v>2151</v>
      </c>
      <c r="F19" s="2438" t="s">
        <v>2150</v>
      </c>
      <c r="G19" s="145">
        <f ca="1">ROUND(C19*$C$18+D19*$D$18,0)</f>
        <v>4077</v>
      </c>
      <c r="H19" s="2439" t="s">
        <v>2152</v>
      </c>
      <c r="I19" s="138"/>
      <c r="K19" s="2431" t="s">
        <v>2153</v>
      </c>
      <c r="L19" s="2431">
        <f>IF(C1="",'数据-汇总表'!D3,SUMIF(项目类型,C1,'数据-汇总表'!D17:D26)+SUMIF(项目类型,C1,'数据-汇总表'!H17:H27))</f>
        <v>184.95</v>
      </c>
      <c r="M19" s="2431">
        <f>IF(C1="",'数据-汇总表'!D3,SUMIF(项目类型,C1,'数据-汇总表'!D17:D26))</f>
        <v>184.95</v>
      </c>
    </row>
    <row r="20" spans="1:35" ht="15">
      <c r="A20" s="2440"/>
      <c r="B20" s="1249" t="s">
        <v>2154</v>
      </c>
      <c r="C20" s="146">
        <f ca="1">SUMIF(INDIRECT("'"&amp;C4&amp;"'"&amp;"!A:A"),'结果表-办公'!B20,INDIRECT("'"&amp;C4&amp;"'"&amp;"!B:B"))</f>
        <v>43450</v>
      </c>
      <c r="D20" s="147">
        <f ca="1">SUMIF(INDIRECT("'"&amp;D4&amp;"'"&amp;"!A:A"),'结果表-办公'!B20,INDIRECT("'"&amp;D4&amp;"'"&amp;"!B:B"))</f>
        <v>22652</v>
      </c>
      <c r="E20" s="2440"/>
      <c r="F20" s="1249" t="s">
        <v>2154</v>
      </c>
      <c r="G20" s="148">
        <f ca="1">ROUND(C20*$C$18+D20*$D$18,0)</f>
        <v>30971</v>
      </c>
      <c r="H20" s="982" t="s">
        <v>2155</v>
      </c>
      <c r="I20" s="138"/>
    </row>
    <row r="21" spans="1:35" ht="15" customHeight="1" thickBot="1">
      <c r="A21" s="1002"/>
      <c r="B21" s="2441" t="s">
        <v>2156</v>
      </c>
      <c r="C21" s="789">
        <f ca="1">ROUND(C19*10000/L19,0)</f>
        <v>309273</v>
      </c>
      <c r="D21" s="790">
        <f ca="1">ROUND(D19*10000/L19,0)</f>
        <v>161233</v>
      </c>
      <c r="E21" s="1002"/>
      <c r="F21" s="2441" t="s">
        <v>2156</v>
      </c>
      <c r="G21" s="149">
        <f ca="1">ROUND(G19*10000/L19,0)</f>
        <v>220438</v>
      </c>
      <c r="H21" s="2442" t="s">
        <v>2155</v>
      </c>
      <c r="I21" s="138"/>
    </row>
    <row r="22" spans="1:35" ht="15" thickBot="1">
      <c r="A22" s="2283" t="s">
        <v>2157</v>
      </c>
      <c r="B22" s="2443"/>
      <c r="C22" s="2444"/>
      <c r="D22" s="791">
        <f ca="1">IF(C19&lt;D19,D19/C19-1,C19/D19-1)</f>
        <v>0.91817572099262246</v>
      </c>
      <c r="E22" s="138"/>
      <c r="F22" s="138"/>
      <c r="G22" s="138"/>
      <c r="H22" s="138"/>
      <c r="I22" s="138"/>
    </row>
    <row r="23" spans="1:35" ht="13.5" thickBot="1">
      <c r="A23" s="2421"/>
      <c r="B23" s="2421"/>
      <c r="C23" s="2421"/>
      <c r="D23" s="2421"/>
      <c r="E23" s="138"/>
      <c r="F23" s="138"/>
      <c r="G23" s="138"/>
      <c r="H23" s="138"/>
      <c r="I23" s="138"/>
    </row>
    <row r="24" spans="1:35" ht="14.25">
      <c r="A24" s="3140" t="s">
        <v>2158</v>
      </c>
      <c r="B24" s="2438" t="s">
        <v>2150</v>
      </c>
      <c r="C24" s="145">
        <f>IF(B30=0,0,D30)</f>
        <v>0</v>
      </c>
      <c r="D24" s="2445"/>
      <c r="E24" s="138"/>
      <c r="F24" s="138"/>
      <c r="G24" s="138"/>
      <c r="H24" s="138"/>
      <c r="I24" s="138"/>
    </row>
    <row r="25" spans="1:35" ht="14.25">
      <c r="A25" s="3141"/>
      <c r="B25" s="1249" t="s">
        <v>2154</v>
      </c>
      <c r="C25" s="150">
        <f>IF(B30=0,0,C30)</f>
        <v>0</v>
      </c>
      <c r="D25" s="2446"/>
      <c r="E25" s="138"/>
      <c r="F25" s="138"/>
      <c r="G25" s="138"/>
      <c r="H25" s="138"/>
      <c r="I25" s="138"/>
    </row>
    <row r="26" spans="1:35" ht="13.5" customHeight="1">
      <c r="A26" s="2447" t="s">
        <v>2159</v>
      </c>
      <c r="B26" s="151" t="s">
        <v>2160</v>
      </c>
      <c r="C26" s="151" t="s">
        <v>2161</v>
      </c>
      <c r="D26" s="152" t="s">
        <v>2162</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2163</v>
      </c>
      <c r="B30" s="151"/>
      <c r="C30" s="151"/>
      <c r="D30" s="151"/>
      <c r="E30" s="2930" t="s">
        <v>3044</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2164</v>
      </c>
      <c r="B32" s="2451"/>
      <c r="C32" s="153">
        <f ca="1">IF(D32="总价",G19-C24,G20-C25)</f>
        <v>4077</v>
      </c>
      <c r="D32" s="2452" t="s">
        <v>2165</v>
      </c>
      <c r="E32" s="138"/>
      <c r="F32" s="138"/>
      <c r="G32" s="138"/>
      <c r="H32" s="138"/>
      <c r="I32" s="138"/>
    </row>
    <row r="33" spans="1:15" ht="15">
      <c r="A33" s="959" t="s">
        <v>2166</v>
      </c>
      <c r="B33" s="2453"/>
      <c r="C33" s="2454"/>
      <c r="D33" s="2455"/>
      <c r="E33" s="2456" t="s">
        <v>2167</v>
      </c>
      <c r="F33" s="2932" t="str">
        <f>IF(D32="楼面单价","取值（单价）","取值（总价）")</f>
        <v>取值（总价）</v>
      </c>
      <c r="G33" s="138"/>
      <c r="H33" s="138"/>
      <c r="I33" s="138"/>
    </row>
    <row r="34" spans="1:15" ht="15">
      <c r="A34" s="2458"/>
      <c r="B34" s="2459"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8"/>
      <c r="H34" s="138"/>
      <c r="I34" s="138"/>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3"/>
      <c r="G35" s="138"/>
      <c r="H35" s="138"/>
      <c r="I35" s="138"/>
    </row>
    <row r="36" spans="1:15" ht="15.75" thickBot="1">
      <c r="A36" s="3158" t="s">
        <v>2172</v>
      </c>
      <c r="B36" s="2464" t="s">
        <v>2173</v>
      </c>
      <c r="C36" s="154"/>
      <c r="D36" s="2465"/>
      <c r="E36" s="2466"/>
      <c r="F36" s="2467"/>
      <c r="G36" s="138"/>
      <c r="H36" s="138"/>
      <c r="I36" s="138"/>
    </row>
    <row r="37" spans="1:15" ht="15.75" thickBot="1">
      <c r="A37" s="3159"/>
      <c r="B37" s="2269" t="s">
        <v>2174</v>
      </c>
      <c r="C37" s="156"/>
      <c r="D37" s="1394"/>
      <c r="E37" s="1394"/>
      <c r="F37" s="2467"/>
      <c r="G37" s="138"/>
      <c r="H37" s="138"/>
      <c r="I37" s="138"/>
    </row>
    <row r="38" spans="1:15" ht="15.75" thickBot="1">
      <c r="A38" s="3160"/>
      <c r="B38" s="2468" t="s">
        <v>2175</v>
      </c>
      <c r="C38" s="727"/>
      <c r="D38" s="2469" t="s">
        <v>2176</v>
      </c>
      <c r="E38" s="1394"/>
      <c r="F38" s="2467"/>
      <c r="G38" s="138"/>
      <c r="H38" s="138"/>
      <c r="I38" s="138"/>
    </row>
    <row r="39" spans="1:15" ht="15">
      <c r="A39" s="2440" t="s">
        <v>2177</v>
      </c>
      <c r="B39" s="2470" t="s">
        <v>2160</v>
      </c>
      <c r="C39" s="2471" t="s">
        <v>2161</v>
      </c>
      <c r="D39" s="2471" t="s">
        <v>2180</v>
      </c>
      <c r="E39" s="2472" t="s">
        <v>2162</v>
      </c>
      <c r="F39" s="2467"/>
      <c r="G39" s="138"/>
      <c r="H39" s="138"/>
      <c r="I39" s="138"/>
    </row>
    <row r="40" spans="1:15" ht="14.25">
      <c r="A40" s="2473" t="s">
        <v>2182</v>
      </c>
      <c r="B40" s="158"/>
      <c r="C40" s="159"/>
      <c r="D40" s="159"/>
      <c r="E40" s="160"/>
      <c r="F40" s="2467"/>
      <c r="G40" s="138"/>
      <c r="H40" s="138"/>
      <c r="I40" s="138"/>
    </row>
    <row r="41" spans="1:15" ht="14.25">
      <c r="A41" s="2473" t="s">
        <v>2183</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137" t="s">
        <v>2186</v>
      </c>
      <c r="B45" s="3138"/>
      <c r="C45" s="3139"/>
      <c r="D45" s="164">
        <f ca="1">ROUND(H101*F45,0)</f>
        <v>4077</v>
      </c>
      <c r="E45" s="165" t="s">
        <v>2187</v>
      </c>
      <c r="F45" s="166">
        <v>1</v>
      </c>
      <c r="G45" s="167" t="s">
        <v>2188</v>
      </c>
      <c r="H45" s="138"/>
      <c r="I45" s="138"/>
      <c r="J45" s="3197" t="s">
        <v>2189</v>
      </c>
      <c r="K45" s="3197"/>
      <c r="L45" s="3197"/>
      <c r="M45" s="3197"/>
      <c r="N45" s="3197"/>
      <c r="O45" s="3197"/>
    </row>
    <row r="46" spans="1:15" ht="14.25" customHeight="1">
      <c r="A46" s="3134" t="s">
        <v>2190</v>
      </c>
      <c r="B46" s="3135"/>
      <c r="C46" s="3135"/>
      <c r="D46" s="3135"/>
      <c r="E46" s="3135"/>
      <c r="F46" s="3135"/>
      <c r="G46" s="3136"/>
      <c r="H46" s="2483"/>
      <c r="I46" s="168"/>
      <c r="J46" s="2941">
        <v>1</v>
      </c>
      <c r="K46" s="3197" t="s">
        <v>2191</v>
      </c>
      <c r="L46" s="3197"/>
      <c r="M46" s="3217"/>
      <c r="N46" s="3217"/>
      <c r="O46" s="3217"/>
    </row>
    <row r="47" spans="1:15" ht="12" customHeight="1">
      <c r="A47" s="169" t="s">
        <v>2192</v>
      </c>
      <c r="B47" s="170"/>
      <c r="C47" s="171"/>
      <c r="D47" s="172" t="s">
        <v>2193</v>
      </c>
      <c r="E47" s="24" t="s">
        <v>2194</v>
      </c>
      <c r="F47" s="173" t="s">
        <v>2195</v>
      </c>
      <c r="G47" s="174" t="s">
        <v>2196</v>
      </c>
      <c r="H47" s="2483"/>
      <c r="I47" s="168"/>
      <c r="J47" s="2941">
        <v>2</v>
      </c>
      <c r="K47" s="3197" t="s">
        <v>2197</v>
      </c>
      <c r="L47" s="3197"/>
      <c r="M47" s="3218">
        <f>'数据-取费表'!B2</f>
        <v>43157</v>
      </c>
      <c r="N47" s="3218"/>
      <c r="O47" s="3218"/>
    </row>
    <row r="48" spans="1:15" ht="25.5">
      <c r="A48" s="3165" t="s">
        <v>2198</v>
      </c>
      <c r="B48" s="3148"/>
      <c r="C48" s="3148"/>
      <c r="D48" s="140">
        <f>IF(H48="情况1",0,IF(H48="情况2",D52,IF(H48="情况3",D53,IF(H48="情况4",D54))))</f>
        <v>0</v>
      </c>
      <c r="E48" s="2950" t="str">
        <f>IF(H48="情况4","(销售额-原购置价)×税（费）率","销售额×税（费）率")</f>
        <v>销售额×税（费）率</v>
      </c>
      <c r="F48" s="175" t="str">
        <f>IF(H48="情况1","免征",'数据-取费表'!B41)</f>
        <v>免征</v>
      </c>
      <c r="G48" s="2484" t="s">
        <v>2199</v>
      </c>
      <c r="H48" s="2485" t="s">
        <v>2200</v>
      </c>
      <c r="I48" s="2483"/>
      <c r="J48" s="2941">
        <v>3</v>
      </c>
      <c r="K48" s="3197" t="s">
        <v>2201</v>
      </c>
      <c r="L48" s="3197"/>
      <c r="M48" s="3219">
        <f ca="1">H101</f>
        <v>4077</v>
      </c>
      <c r="N48" s="3219"/>
      <c r="O48" s="3219"/>
    </row>
    <row r="49" spans="1:35" ht="25.5" customHeight="1">
      <c r="A49" s="176" t="s">
        <v>2202</v>
      </c>
      <c r="B49" s="3133" t="s">
        <v>2203</v>
      </c>
      <c r="C49" s="3133"/>
      <c r="D49" s="177">
        <v>0</v>
      </c>
      <c r="E49" s="23" t="s">
        <v>2204</v>
      </c>
      <c r="F49" s="28" t="s">
        <v>34</v>
      </c>
      <c r="G49" s="3203"/>
      <c r="H49" s="138"/>
      <c r="I49" s="2486"/>
      <c r="J49" s="2941">
        <v>4</v>
      </c>
      <c r="K49" s="3197" t="str">
        <f>IF(项目基本情况!E8="房地产抵押价值","房地产抵押价值","抵押担保权已注销时的房地产抵押价值")</f>
        <v>房地产抵押价值</v>
      </c>
      <c r="L49" s="3197"/>
      <c r="M49" s="3219">
        <f ca="1">IF(项目基本情况!E8="房地产抵押价值",H107,H109)</f>
        <v>4077</v>
      </c>
      <c r="N49" s="3219"/>
      <c r="O49" s="3219"/>
    </row>
    <row r="50" spans="1:35" ht="25.5" customHeight="1">
      <c r="A50" s="178"/>
      <c r="B50" s="3133" t="s">
        <v>2205</v>
      </c>
      <c r="C50" s="3133"/>
      <c r="D50" s="179"/>
      <c r="E50" s="31"/>
      <c r="F50" s="180"/>
      <c r="G50" s="3204"/>
      <c r="H50" s="138"/>
      <c r="I50" s="2486"/>
      <c r="J50" s="3197" t="s">
        <v>2206</v>
      </c>
      <c r="K50" s="3197"/>
      <c r="L50" s="3197"/>
      <c r="M50" s="3197"/>
      <c r="N50" s="3197"/>
      <c r="O50" s="3197"/>
    </row>
    <row r="51" spans="1:35" ht="12" customHeight="1">
      <c r="A51" s="181"/>
      <c r="B51" s="3133" t="s">
        <v>2207</v>
      </c>
      <c r="C51" s="3133"/>
      <c r="D51" s="182"/>
      <c r="E51" s="30"/>
      <c r="F51" s="180"/>
      <c r="G51" s="3205"/>
      <c r="H51" s="138"/>
      <c r="I51" s="2486"/>
      <c r="J51" s="2934" t="s">
        <v>2208</v>
      </c>
      <c r="K51" s="3197" t="s">
        <v>2209</v>
      </c>
      <c r="L51" s="3197"/>
      <c r="M51" s="2934" t="s">
        <v>2210</v>
      </c>
      <c r="N51" s="2934" t="s">
        <v>2211</v>
      </c>
      <c r="O51" s="2934" t="s">
        <v>2212</v>
      </c>
    </row>
    <row r="52" spans="1:35" ht="24" customHeight="1">
      <c r="A52" s="183" t="s">
        <v>2213</v>
      </c>
      <c r="B52" s="3133" t="s">
        <v>2214</v>
      </c>
      <c r="C52" s="3133"/>
      <c r="D52" s="182">
        <f ca="1">ROUND(D45*'数据-取费表'!B41/(1+'数据-取费表'!C42),0)</f>
        <v>217</v>
      </c>
      <c r="E52" s="11" t="s">
        <v>2215</v>
      </c>
      <c r="F52" s="184">
        <f>'数据-取费表'!B41</f>
        <v>5.6000000000000001E-2</v>
      </c>
      <c r="G52" s="2488"/>
      <c r="H52" s="138"/>
      <c r="I52" s="2486"/>
      <c r="J52" s="2941">
        <v>1</v>
      </c>
      <c r="K52" s="3198" t="s">
        <v>2216</v>
      </c>
      <c r="L52" s="3198"/>
      <c r="M52" s="1753">
        <f>D48</f>
        <v>0</v>
      </c>
      <c r="N52" s="2941" t="str">
        <f>E48</f>
        <v>销售额×税（费）率</v>
      </c>
      <c r="O52" s="1754" t="str">
        <f>F48</f>
        <v>免征</v>
      </c>
    </row>
    <row r="53" spans="1:35" ht="12" customHeight="1">
      <c r="A53" s="183" t="s">
        <v>2217</v>
      </c>
      <c r="B53" s="3156" t="s">
        <v>2218</v>
      </c>
      <c r="C53" s="3157"/>
      <c r="D53" s="182">
        <f ca="1">ROUND(D45*'数据-取费表'!B41/(1+'数据-取费表'!C42),0)</f>
        <v>217</v>
      </c>
      <c r="E53" s="11" t="s">
        <v>2215</v>
      </c>
      <c r="F53" s="184">
        <f>'数据-取费表'!B41</f>
        <v>5.6000000000000001E-2</v>
      </c>
      <c r="G53" s="2488"/>
      <c r="H53" s="138"/>
      <c r="I53" s="2486"/>
      <c r="J53" s="2941">
        <v>2</v>
      </c>
      <c r="K53" s="3198" t="s">
        <v>2219</v>
      </c>
      <c r="L53" s="3198"/>
      <c r="M53" s="1753">
        <f t="shared" ref="M53:O54" ca="1" si="0">D55</f>
        <v>2</v>
      </c>
      <c r="N53" s="2941" t="str">
        <f t="shared" si="0"/>
        <v>销售额×税（费）率</v>
      </c>
      <c r="O53" s="1754">
        <f t="shared" si="0"/>
        <v>5.0000000000000001E-4</v>
      </c>
    </row>
    <row r="54" spans="1:35" ht="12" customHeight="1">
      <c r="A54" s="183" t="s">
        <v>2220</v>
      </c>
      <c r="B54" s="3156" t="s">
        <v>2221</v>
      </c>
      <c r="C54" s="3157"/>
      <c r="D54" s="182">
        <f ca="1">C68</f>
        <v>217</v>
      </c>
      <c r="E54" s="30" t="s">
        <v>2222</v>
      </c>
      <c r="F54" s="184">
        <f>'数据-取费表'!B41</f>
        <v>5.6000000000000001E-2</v>
      </c>
      <c r="G54" s="2488"/>
      <c r="H54" s="2489"/>
      <c r="I54" s="2486"/>
      <c r="J54" s="2941">
        <v>3</v>
      </c>
      <c r="K54" s="3198" t="s">
        <v>2223</v>
      </c>
      <c r="L54" s="3198"/>
      <c r="M54" s="1753">
        <f t="shared" ca="1" si="0"/>
        <v>2308</v>
      </c>
      <c r="N54" s="2941" t="str">
        <f t="shared" si="0"/>
        <v>增值额×税（费）率</v>
      </c>
      <c r="O54" s="1755" t="str">
        <f t="shared" si="0"/>
        <v>——</v>
      </c>
    </row>
    <row r="55" spans="1:35" ht="24" customHeight="1">
      <c r="A55" s="3147" t="s">
        <v>2224</v>
      </c>
      <c r="B55" s="3148"/>
      <c r="C55" s="3148"/>
      <c r="D55" s="185">
        <f ca="1">IF(H55="个人住宅",0,ROUND(D45*I55,0))</f>
        <v>2</v>
      </c>
      <c r="E55" s="11" t="s">
        <v>2225</v>
      </c>
      <c r="F55" s="184">
        <f>IF(H55="正常",I55,"免征")</f>
        <v>5.0000000000000001E-4</v>
      </c>
      <c r="G55" s="2488"/>
      <c r="H55" s="2485" t="s">
        <v>2226</v>
      </c>
      <c r="I55" s="186">
        <f>'数据-取费表'!B49</f>
        <v>5.0000000000000001E-4</v>
      </c>
      <c r="J55" s="2941" t="str">
        <f>IF(H59="非个人房产","",4)</f>
        <v/>
      </c>
      <c r="K55" s="3198" t="str">
        <f>IF(H59="非个人房产","——","个人所得税")</f>
        <v>——</v>
      </c>
      <c r="L55" s="3198"/>
      <c r="M55" s="1756" t="str">
        <f>D59</f>
        <v>——</v>
      </c>
      <c r="N55" s="2942" t="str">
        <f>E59</f>
        <v>——</v>
      </c>
      <c r="O55" s="1757" t="str">
        <f>F59</f>
        <v>——</v>
      </c>
    </row>
    <row r="56" spans="1:35" ht="24.75">
      <c r="A56" s="3147" t="s">
        <v>2227</v>
      </c>
      <c r="B56" s="3148"/>
      <c r="C56" s="3148"/>
      <c r="D56" s="185">
        <f ca="1">IF(H56="个人住宅",D57,D58)</f>
        <v>2308</v>
      </c>
      <c r="E56" s="11" t="s">
        <v>2228</v>
      </c>
      <c r="F56" s="184" t="str">
        <f>IF(H56="正常",F58,"免征")</f>
        <v>——</v>
      </c>
      <c r="G56" s="2490" t="s">
        <v>2229</v>
      </c>
      <c r="H56" s="2491" t="s">
        <v>2226</v>
      </c>
      <c r="I56" s="2492"/>
      <c r="J56" s="2941" t="str">
        <f>IF(项目基本情况!K6="上海银行",IF(J55="",4,J55+1),"")</f>
        <v/>
      </c>
      <c r="K56" s="3221" t="str">
        <f>IF(项目基本情况!K6="上海银行","其他处置费用","")</f>
        <v/>
      </c>
      <c r="L56" s="3222"/>
      <c r="M56" s="1753" t="str">
        <f>IF(项目基本情况!K6="上海银行",M69,"")</f>
        <v/>
      </c>
      <c r="N56" s="3224" t="str">
        <f>IF(项目基本情况!K6="上海银行","包含处置中涉及的律师、诉讼、拍卖、评估等费用","")</f>
        <v/>
      </c>
      <c r="O56" s="3225"/>
    </row>
    <row r="57" spans="1:35" ht="12.75">
      <c r="A57" s="183" t="s">
        <v>2202</v>
      </c>
      <c r="B57" s="3163" t="s">
        <v>2230</v>
      </c>
      <c r="C57" s="3172"/>
      <c r="D57" s="187">
        <v>0</v>
      </c>
      <c r="E57" s="23" t="s">
        <v>2204</v>
      </c>
      <c r="F57" s="155"/>
      <c r="G57" s="2488"/>
      <c r="H57" s="2492"/>
      <c r="I57" s="2492"/>
      <c r="J57" s="3198">
        <f>IF(AND(J55="",J56=""),4,IF(项目基本情况!K6="上海银行",'结果表-办公'!J56+1,'结果表-办公'!J55+1))</f>
        <v>4</v>
      </c>
      <c r="K57" s="3198" t="s">
        <v>2231</v>
      </c>
      <c r="L57" s="2493" t="s">
        <v>2232</v>
      </c>
      <c r="M57" s="1758"/>
      <c r="N57" s="1759">
        <f ca="1">SUMIF(M52:M56,"&lt;9e307")</f>
        <v>2310</v>
      </c>
      <c r="O57" s="2494"/>
      <c r="P57" s="1752">
        <f ca="1">N57/M49</f>
        <v>0.56659308314937451</v>
      </c>
    </row>
    <row r="58" spans="1:35" ht="24.75">
      <c r="A58" s="183" t="s">
        <v>2213</v>
      </c>
      <c r="B58" s="3163" t="s">
        <v>2233</v>
      </c>
      <c r="C58" s="3164"/>
      <c r="D58" s="185">
        <f ca="1">IF(H58="转让取得",C81,C97)</f>
        <v>2308</v>
      </c>
      <c r="E58" s="11" t="s">
        <v>2228</v>
      </c>
      <c r="F58" s="24" t="s">
        <v>34</v>
      </c>
      <c r="G58" s="2488"/>
      <c r="H58" s="2491" t="s">
        <v>2234</v>
      </c>
      <c r="I58" s="2492"/>
      <c r="J58" s="3198"/>
      <c r="K58" s="3198"/>
      <c r="L58" s="2493" t="s">
        <v>2235</v>
      </c>
      <c r="M58" s="1760"/>
      <c r="N58" s="2495" t="str">
        <f ca="1">NUMBERSTRING(INT(N57*10000),2)&amp;"元整"</f>
        <v>贰仟叁佰壹拾万元整</v>
      </c>
      <c r="O58" s="2496"/>
    </row>
    <row r="59" spans="1:35" ht="24.75" thickBot="1">
      <c r="A59" s="3201" t="s">
        <v>2236</v>
      </c>
      <c r="B59" s="3202"/>
      <c r="C59" s="3202"/>
      <c r="D59" s="188" t="str">
        <f>IF(H59="非个人房产","——",IF(H59="个人住宅",0,ROUND(D45*I59,0)))</f>
        <v>——</v>
      </c>
      <c r="E59" s="189" t="str">
        <f>IF(H59="非个人房产","——","销售额×税（费）率")</f>
        <v>——</v>
      </c>
      <c r="F59" s="190" t="str">
        <f>IF(H59="非个人房产","——",IF(H59="个人住宅","免征",I59))</f>
        <v>——</v>
      </c>
      <c r="G59" s="2497" t="s">
        <v>2229</v>
      </c>
      <c r="H59" s="2491" t="s">
        <v>2237</v>
      </c>
      <c r="I59" s="191">
        <v>0.01</v>
      </c>
      <c r="J59" s="3199">
        <f>J57+1</f>
        <v>5</v>
      </c>
      <c r="K59" s="3198" t="s">
        <v>2238</v>
      </c>
      <c r="L59" s="2941" t="s">
        <v>2232</v>
      </c>
      <c r="M59" s="1761"/>
      <c r="N59" s="1762">
        <f ca="1">M49-N57</f>
        <v>1767</v>
      </c>
      <c r="O59" s="2498"/>
    </row>
    <row r="60" spans="1:35" ht="12" customHeight="1">
      <c r="A60" s="2499"/>
      <c r="B60" s="2421"/>
      <c r="C60" s="2421"/>
      <c r="D60" s="2421"/>
      <c r="E60" s="2169"/>
      <c r="F60" s="2492"/>
      <c r="G60" s="2492"/>
      <c r="H60" s="2500"/>
      <c r="I60" s="138"/>
      <c r="J60" s="3200"/>
      <c r="K60" s="3198"/>
      <c r="L60" s="2493" t="s">
        <v>2235</v>
      </c>
      <c r="M60" s="1760"/>
      <c r="N60" s="2495" t="str">
        <f ca="1">NUMBERSTRING(INT(N59*10000),2)&amp;"元整"</f>
        <v>壹仟柒佰陆拾柒万元整</v>
      </c>
      <c r="O60" s="2496"/>
    </row>
    <row r="61" spans="1:35" ht="13.5" thickBot="1">
      <c r="A61" s="3145" t="s">
        <v>2239</v>
      </c>
      <c r="B61" s="3145"/>
      <c r="C61" s="3145"/>
      <c r="D61" s="3145"/>
      <c r="E61" s="3145"/>
      <c r="F61" s="2492"/>
      <c r="G61" s="2492"/>
      <c r="H61" s="2500"/>
      <c r="I61" s="138"/>
      <c r="J61" s="2941">
        <f>J59+1</f>
        <v>6</v>
      </c>
      <c r="K61" s="3198" t="s">
        <v>2240</v>
      </c>
      <c r="L61" s="3198"/>
      <c r="M61" s="1763"/>
      <c r="N61" s="1764">
        <f ca="1">ROUND(N59*10000/'数据-汇总表'!E3,0)</f>
        <v>656</v>
      </c>
      <c r="O61" s="2501"/>
    </row>
    <row r="62" spans="1:35" ht="12.75">
      <c r="A62" s="3161" t="s">
        <v>2241</v>
      </c>
      <c r="B62" s="3162"/>
      <c r="C62" s="2946"/>
      <c r="D62" s="2946" t="s">
        <v>2242</v>
      </c>
      <c r="E62" s="192" t="s">
        <v>2243</v>
      </c>
      <c r="F62" s="2492"/>
      <c r="G62" s="2492"/>
      <c r="H62" s="2500"/>
      <c r="I62" s="138"/>
    </row>
    <row r="63" spans="1:35" ht="12.75">
      <c r="A63" s="203" t="s">
        <v>775</v>
      </c>
      <c r="B63" s="193" t="s">
        <v>2244</v>
      </c>
      <c r="C63" s="194">
        <f ca="1">ROUND((C64+C65)/(1+'数据-取费表'!C42),0)</f>
        <v>3883</v>
      </c>
      <c r="D63" s="195"/>
      <c r="E63" s="196"/>
      <c r="F63" s="2492"/>
      <c r="G63" s="2492"/>
      <c r="H63" s="2500"/>
      <c r="I63" s="138"/>
      <c r="J63" s="3223" t="s">
        <v>2245</v>
      </c>
      <c r="K63" s="2937" t="s">
        <v>2246</v>
      </c>
      <c r="L63" s="1751">
        <f ca="1">IF(M49&gt;10000,M49*0.5%,IF(AND(M49&gt;1000,M49&lt;=10000),M49*1%,IF(AND(M49&gt;100,M49&lt;=1000),M49*3%,IF(AND(M49&gt;10,M49&lt;=100),M49*5%,M49*8%))))</f>
        <v>40.770000000000003</v>
      </c>
      <c r="M63" s="24">
        <f ca="1">ROUND(L63,1)</f>
        <v>40.799999999999997</v>
      </c>
      <c r="Z63" s="2426"/>
      <c r="AI63" s="2427"/>
    </row>
    <row r="64" spans="1:35" ht="14.25" customHeight="1">
      <c r="A64" s="197" t="s">
        <v>770</v>
      </c>
      <c r="B64" s="198" t="s">
        <v>2247</v>
      </c>
      <c r="C64" s="199">
        <f ca="1">D45</f>
        <v>4077</v>
      </c>
      <c r="D64" s="200" t="s">
        <v>32</v>
      </c>
      <c r="E64" s="201"/>
      <c r="F64" s="2492"/>
      <c r="G64" s="2492"/>
      <c r="H64" s="2500"/>
      <c r="I64" s="138"/>
      <c r="J64" s="3223"/>
      <c r="K64" s="2937" t="s">
        <v>2248</v>
      </c>
      <c r="L64" s="1751">
        <f ca="1">IF(M49&gt;2000,M49*0.5%,IF(AND(M49&gt;1000,M49&lt;=2000),M49*0.6%,IF(AND(M49&gt;500,M49&lt;=1000),M49*0.7%,IF(AND(M49&gt;200,M49&lt;=500),M49*0.8%,IF(AND(M49&gt;100,M49&lt;=200),M49*0.9%,IF(AND(M49&gt;50,M49&lt;=100),M49*1%,IF(AND(M49&gt;20,M49&lt;=50),M49*1.5%,IF(AND(M49&gt;10,M49&lt;=20),M49*2%,IF(AND(M49&gt;1,M49&lt;=10),M49*2.5%)))))))))</f>
        <v>20.385000000000002</v>
      </c>
      <c r="M64" s="24">
        <f t="shared" ref="M64:M65" ca="1" si="1">ROUND(L64,1)</f>
        <v>20.399999999999999</v>
      </c>
      <c r="N64" s="138" t="s">
        <v>2249</v>
      </c>
      <c r="Z64" s="2426"/>
      <c r="AI64" s="2427"/>
    </row>
    <row r="65" spans="1:35" ht="14.25" customHeight="1">
      <c r="A65" s="197" t="s">
        <v>771</v>
      </c>
      <c r="B65" s="198" t="s">
        <v>2250</v>
      </c>
      <c r="C65" s="202"/>
      <c r="D65" s="200"/>
      <c r="E65" s="201"/>
      <c r="F65" s="2492"/>
      <c r="G65" s="2492"/>
      <c r="H65" s="2500"/>
      <c r="I65" s="138"/>
      <c r="J65" s="3223"/>
      <c r="K65" s="2937" t="s">
        <v>2251</v>
      </c>
      <c r="L65" s="1751">
        <f ca="1">IF(M49&gt;1000,M49*0.1%,IF(AND(M49&gt;500,M49&lt;=1000),M49*0.5%,IF(AND(M49&gt;50,M49&lt;=500),M49*1%,IF(AND(M49&gt;1,M49&lt;=50),M49*1.5%))))</f>
        <v>4.077</v>
      </c>
      <c r="M65" s="24">
        <f t="shared" ca="1" si="1"/>
        <v>4.0999999999999996</v>
      </c>
      <c r="N65" s="138" t="s">
        <v>2249</v>
      </c>
      <c r="Z65" s="2426"/>
      <c r="AI65" s="2427"/>
    </row>
    <row r="66" spans="1:35" ht="14.25" customHeight="1">
      <c r="A66" s="203" t="s">
        <v>772</v>
      </c>
      <c r="B66" s="204" t="s">
        <v>2252</v>
      </c>
      <c r="C66" s="205"/>
      <c r="D66" s="206" t="s">
        <v>32</v>
      </c>
      <c r="E66" s="1775" t="s">
        <v>1371</v>
      </c>
      <c r="F66" s="2492"/>
      <c r="G66" s="2492"/>
      <c r="H66" s="2500"/>
      <c r="I66" s="138"/>
      <c r="J66" s="3223"/>
      <c r="K66" s="2937" t="s">
        <v>2253</v>
      </c>
      <c r="L66" s="1751">
        <f ca="1">M49*0.5%</f>
        <v>20.385000000000002</v>
      </c>
      <c r="M66" s="24">
        <f ca="1">IF(L66&gt;0.5,0.5,ROUND(L66,0))</f>
        <v>0.5</v>
      </c>
      <c r="N66" s="138" t="s">
        <v>2254</v>
      </c>
      <c r="Z66" s="2426"/>
      <c r="AI66" s="2427"/>
    </row>
    <row r="67" spans="1:35" ht="14.25" customHeight="1">
      <c r="A67" s="203" t="s">
        <v>773</v>
      </c>
      <c r="B67" s="204" t="s">
        <v>2255</v>
      </c>
      <c r="C67" s="207">
        <f ca="1">C63-C66</f>
        <v>3883</v>
      </c>
      <c r="D67" s="200" t="s">
        <v>32</v>
      </c>
      <c r="E67" s="201"/>
      <c r="F67" s="2492"/>
      <c r="G67" s="2492"/>
      <c r="H67" s="2500"/>
      <c r="I67" s="138"/>
      <c r="J67" s="3223"/>
      <c r="K67" s="2937" t="s">
        <v>2256</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6"/>
      <c r="AI67" s="2427"/>
    </row>
    <row r="68" spans="1:35" ht="14.25" customHeight="1" thickBot="1">
      <c r="A68" s="208" t="s">
        <v>774</v>
      </c>
      <c r="B68" s="209" t="s">
        <v>2257</v>
      </c>
      <c r="C68" s="210">
        <f ca="1">IF(C67&lt;=0,0,ROUND(C67*D68,0))</f>
        <v>217</v>
      </c>
      <c r="D68" s="211">
        <f>'数据-取费表'!B41</f>
        <v>5.6000000000000001E-2</v>
      </c>
      <c r="E68" s="212"/>
      <c r="F68" s="2492"/>
      <c r="G68" s="2492"/>
      <c r="H68" s="2500"/>
      <c r="I68" s="138"/>
      <c r="J68" s="3223"/>
      <c r="K68" s="2937" t="s">
        <v>2258</v>
      </c>
      <c r="L68" s="1751">
        <f ca="1">IF(M49&gt;10000,M49*0.5%,IF(AND(M49&gt;5000,M49&lt;=10000),M49*1%,IF(AND(M49&gt;1000,M49&lt;=5000),M49*2%,IF(AND(M49&gt;200,M49&lt;=1000),M49*3%,M49*5%))))</f>
        <v>81.540000000000006</v>
      </c>
      <c r="M68" s="24">
        <f ca="1">ROUND(L68,1)</f>
        <v>81.5</v>
      </c>
      <c r="Z68" s="2426"/>
      <c r="AI68" s="2427"/>
    </row>
    <row r="69" spans="1:35" s="2449" customFormat="1" ht="16.5" customHeight="1">
      <c r="A69" s="2503"/>
      <c r="B69" s="2504"/>
      <c r="C69" s="2505"/>
      <c r="D69" s="2506"/>
      <c r="E69" s="2507"/>
      <c r="F69" s="2169"/>
      <c r="G69" s="2169"/>
      <c r="H69" s="2168"/>
      <c r="I69" s="2421"/>
      <c r="J69" s="3223"/>
      <c r="K69" s="2937" t="s">
        <v>2259</v>
      </c>
      <c r="L69" s="2508"/>
      <c r="M69" s="24">
        <f ca="1">ROUND(SUM(M63:M68),0)</f>
        <v>150</v>
      </c>
      <c r="N69" s="1752">
        <f ca="1">M69/M49</f>
        <v>3.679175864606328E-2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82" t="s">
        <v>2260</v>
      </c>
      <c r="B70" s="3183"/>
      <c r="C70" s="3183"/>
      <c r="D70" s="3183"/>
      <c r="E70" s="3183"/>
      <c r="F70" s="3183"/>
      <c r="G70" s="3183"/>
      <c r="H70" s="318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1" t="s">
        <v>2241</v>
      </c>
      <c r="B71" s="3162"/>
      <c r="C71" s="2946"/>
      <c r="D71" s="2946" t="s">
        <v>2242</v>
      </c>
      <c r="E71" s="213" t="s">
        <v>2243</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2261</v>
      </c>
      <c r="C72" s="207">
        <f ca="1">ROUND(D45/(1+'数据-取费表'!C42),0)</f>
        <v>3883</v>
      </c>
      <c r="D72" s="200" t="s">
        <v>32</v>
      </c>
      <c r="E72" s="2948"/>
      <c r="F72" s="2947"/>
      <c r="G72" s="294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2262</v>
      </c>
      <c r="C73" s="207">
        <f ca="1">C74+C78</f>
        <v>23</v>
      </c>
      <c r="D73" s="200" t="s">
        <v>32</v>
      </c>
      <c r="E73" s="2948"/>
      <c r="F73" s="2947"/>
      <c r="G73" s="294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2263</v>
      </c>
      <c r="C74" s="200">
        <f>ROUND(IF(G77="2016年5月1日后购买",C75/(1+'数据-取费表'!C42)+C76+C77,C75+C76+C77),0)</f>
        <v>0</v>
      </c>
      <c r="D74" s="200" t="s">
        <v>32</v>
      </c>
      <c r="E74" s="2948"/>
      <c r="F74" s="2947"/>
      <c r="G74" s="294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2264</v>
      </c>
      <c r="C75" s="218"/>
      <c r="D75" s="200" t="s">
        <v>32</v>
      </c>
      <c r="E75" s="219" t="s">
        <v>2265</v>
      </c>
      <c r="F75" s="2514" t="s">
        <v>2266</v>
      </c>
      <c r="G75" s="219" t="s">
        <v>2267</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2268</v>
      </c>
      <c r="C76" s="200">
        <f>IF(F75="购房发票",ROUND(C75*H75*D76,0),0)</f>
        <v>0</v>
      </c>
      <c r="D76" s="222">
        <v>0.05</v>
      </c>
      <c r="E76" s="3156" t="s">
        <v>2269</v>
      </c>
      <c r="F76" s="3133"/>
      <c r="G76" s="3133"/>
      <c r="H76" s="318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2270</v>
      </c>
      <c r="C77" s="200">
        <f>ROUND(IF(G77="个人住宅",0,IF(G77="2016年5月1日前购买",C75*D77,C75*D77/(1+'数据-取费表'!C42))),0)</f>
        <v>0</v>
      </c>
      <c r="D77" s="223">
        <f>'数据-取费表'!B48+'数据-取费表'!B49</f>
        <v>3.0499999999999999E-2</v>
      </c>
      <c r="E77" s="2938" t="s">
        <v>2271</v>
      </c>
      <c r="F77" s="224"/>
      <c r="G77" s="2516" t="s">
        <v>2272</v>
      </c>
      <c r="H77" s="294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2273</v>
      </c>
      <c r="C78" s="225">
        <f ca="1">ROUND(D45*D78/(1+'数据-取费表'!C42),0)</f>
        <v>23</v>
      </c>
      <c r="D78" s="226">
        <f>'数据-取费表'!B43</f>
        <v>6.000000000000001E-3</v>
      </c>
      <c r="E78" s="3142" t="s">
        <v>2274</v>
      </c>
      <c r="F78" s="3143"/>
      <c r="G78" s="3143"/>
      <c r="H78" s="315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2275</v>
      </c>
      <c r="C79" s="207">
        <f ca="1">C72-C73</f>
        <v>3860</v>
      </c>
      <c r="D79" s="200" t="s">
        <v>32</v>
      </c>
      <c r="E79" s="2948"/>
      <c r="F79" s="2947"/>
      <c r="G79" s="294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2276</v>
      </c>
      <c r="C80" s="227">
        <f ca="1">IF(C79&lt;=0,0,C79/C73)</f>
        <v>167.82608695652175</v>
      </c>
      <c r="D80" s="200" t="s">
        <v>32</v>
      </c>
      <c r="E80" s="2938" t="str">
        <f ca="1">IF(C80&gt;=200%,"增值额超过扣除项目金额200%",IF(C80&gt;=100%,"增值额超过扣除项目金额100%，未超过200%",IF(C80&gt;=50%,"增值额超过扣除项目金额50%，未超过100%",IF(C80&lt;50%,"增值额未超过扣除项目金额50%"))))</f>
        <v>增值额超过扣除项目金额200%</v>
      </c>
      <c r="F80" s="2947"/>
      <c r="G80" s="294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2277</v>
      </c>
      <c r="C81" s="228">
        <f ca="1">ROUND(IF(C79&lt;=0,0,IF(C80&gt;=200%,C79*60%-C73*35%,IF(C80&gt;=100%,C79*50%-C73*15%,IF(C80&gt;=50%,C79*40%-C73*5%,IF(C80&lt;50%,C79*30%,0))))),0)</f>
        <v>2308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82" t="s">
        <v>2278</v>
      </c>
      <c r="B83" s="3183"/>
      <c r="C83" s="3183"/>
      <c r="D83" s="3183"/>
      <c r="E83" s="3183"/>
      <c r="F83" s="3183"/>
      <c r="G83" s="3183"/>
      <c r="H83" s="318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1" t="s">
        <v>2241</v>
      </c>
      <c r="B84" s="3162"/>
      <c r="C84" s="2946"/>
      <c r="D84" s="2946" t="s">
        <v>2242</v>
      </c>
      <c r="E84" s="213" t="s">
        <v>2243</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2261</v>
      </c>
      <c r="C85" s="207">
        <f ca="1">ROUND(D45/(1+'数据-取费表'!C42),0)</f>
        <v>3883</v>
      </c>
      <c r="D85" s="200" t="s">
        <v>32</v>
      </c>
      <c r="E85" s="2948"/>
      <c r="F85" s="2947"/>
      <c r="G85" s="294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2262</v>
      </c>
      <c r="C86" s="207">
        <f ca="1">IF(H88="仅含出让金",C87+C90+C91+C92+C93+C94,C87+C91+C92+C93+C94)</f>
        <v>23</v>
      </c>
      <c r="D86" s="235"/>
      <c r="E86" s="2948"/>
      <c r="F86" s="2947"/>
      <c r="G86" s="294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2279</v>
      </c>
      <c r="C87" s="225">
        <f>C88+C89</f>
        <v>0</v>
      </c>
      <c r="D87" s="226"/>
      <c r="E87" s="2943"/>
      <c r="F87" s="2944"/>
      <c r="G87" s="2944"/>
      <c r="H87" s="2945"/>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2280</v>
      </c>
      <c r="C88" s="236"/>
      <c r="D88" s="226"/>
      <c r="E88" s="237" t="s">
        <v>2281</v>
      </c>
      <c r="F88" s="2944"/>
      <c r="G88" s="238"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2270</v>
      </c>
      <c r="C89" s="225">
        <f>ROUND(C88*D89,0)</f>
        <v>0</v>
      </c>
      <c r="D89" s="226">
        <f>'数据-取费表'!B48+'数据-取费表'!B49</f>
        <v>3.0499999999999999E-2</v>
      </c>
      <c r="E89" s="237" t="s">
        <v>2283</v>
      </c>
      <c r="F89" s="2944"/>
      <c r="G89" s="2944"/>
      <c r="H89" s="2945"/>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2284</v>
      </c>
      <c r="C90" s="236"/>
      <c r="D90" s="226"/>
      <c r="E90" s="237" t="str">
        <f>IF(H88="-","土地取得成本中已包含该笔费用"," ")</f>
        <v xml:space="preserve"> </v>
      </c>
      <c r="F90" s="2944"/>
      <c r="G90" s="2944"/>
      <c r="H90" s="2945"/>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2285</v>
      </c>
      <c r="B91" s="198" t="s">
        <v>2286</v>
      </c>
      <c r="C91" s="225">
        <f>IF(H91="——",'成本法-办公'!C33,I91)</f>
        <v>0</v>
      </c>
      <c r="D91" s="226"/>
      <c r="E91" s="3142" t="s">
        <v>2287</v>
      </c>
      <c r="F91" s="3143"/>
      <c r="G91" s="3143"/>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2289</v>
      </c>
      <c r="B92" s="198" t="s">
        <v>2290</v>
      </c>
      <c r="C92" s="225">
        <f>ROUND((C87+C90+C91)*D92,0)</f>
        <v>0</v>
      </c>
      <c r="D92" s="226">
        <v>0.1</v>
      </c>
      <c r="E92" s="3142" t="s">
        <v>2291</v>
      </c>
      <c r="F92" s="3143"/>
      <c r="G92" s="3143"/>
      <c r="H92" s="315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2292</v>
      </c>
      <c r="B93" s="198" t="s">
        <v>2273</v>
      </c>
      <c r="C93" s="225">
        <f ca="1">ROUND(D45*D93/(1+'数据-取费表'!C42),0)</f>
        <v>23</v>
      </c>
      <c r="D93" s="226">
        <f>'数据-取费表'!B43</f>
        <v>6.000000000000001E-3</v>
      </c>
      <c r="E93" s="3142" t="s">
        <v>2274</v>
      </c>
      <c r="F93" s="3143"/>
      <c r="G93" s="3143"/>
      <c r="H93" s="315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2293</v>
      </c>
      <c r="B94" s="198" t="s">
        <v>2294</v>
      </c>
      <c r="C94" s="236">
        <f>ROUND((C87+C90+C91)*D94,0)</f>
        <v>0</v>
      </c>
      <c r="D94" s="226">
        <v>0.2</v>
      </c>
      <c r="E94" s="3153" t="s">
        <v>2295</v>
      </c>
      <c r="F94" s="3154"/>
      <c r="G94" s="3154"/>
      <c r="H94" s="315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2275</v>
      </c>
      <c r="C95" s="207">
        <f ca="1">ROUND(C85-C86,0)</f>
        <v>3860</v>
      </c>
      <c r="D95" s="200" t="s">
        <v>32</v>
      </c>
      <c r="E95" s="2948"/>
      <c r="F95" s="2947"/>
      <c r="G95" s="294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2276</v>
      </c>
      <c r="C96" s="227">
        <f ca="1">IF(C95&lt;=0,0,C95/C86)</f>
        <v>167.82608695652175</v>
      </c>
      <c r="D96" s="200" t="s">
        <v>32</v>
      </c>
      <c r="E96" s="2938" t="str">
        <f ca="1">IF(C96&gt;=200%,"增值额超过扣除项目金额200%",IF(C96&gt;=100%,"增值额超过扣除项目金额100%，未超过200%",IF(C96&gt;=50%,"增值额超过扣除项目金额50%，未超过100%",IF(C96&lt;50%,"增值额未超过扣除项目金额50%"))))</f>
        <v>增值额超过扣除项目金额200%</v>
      </c>
      <c r="F96" s="2947"/>
      <c r="G96" s="294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2277</v>
      </c>
      <c r="C97" s="228">
        <f ca="1">ROUND(IF(C95&lt;=0,0,IF(C96&gt;=200%,C95*60%-C86*35%,IF(C96&gt;=100%,C95*50%-C86*15%,IF(C96&gt;=50%,C95*40%-C86*5%,IF(C96&lt;50%,C95*30%,0))))),0)</f>
        <v>2308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2296</v>
      </c>
      <c r="B99" s="2421"/>
      <c r="C99" s="2421"/>
      <c r="D99" s="2421"/>
      <c r="E99" s="2169"/>
      <c r="F99" s="2169"/>
      <c r="G99" s="2169"/>
      <c r="H99" s="2168"/>
      <c r="I99" s="138"/>
    </row>
    <row r="100" spans="1:35" ht="18.75" customHeight="1">
      <c r="A100" s="3127" t="s">
        <v>2297</v>
      </c>
      <c r="B100" s="3128"/>
      <c r="C100" s="3128"/>
      <c r="D100" s="3144"/>
      <c r="E100" s="3128" t="s">
        <v>2298</v>
      </c>
      <c r="F100" s="3128"/>
      <c r="G100" s="3128"/>
      <c r="H100" s="3144"/>
      <c r="I100" s="138"/>
    </row>
    <row r="101" spans="1:35" ht="18.75" customHeight="1">
      <c r="A101" s="3206" t="s">
        <v>2299</v>
      </c>
      <c r="B101" s="3207"/>
      <c r="C101" s="736" t="str">
        <f>C4</f>
        <v>成本法-办公</v>
      </c>
      <c r="D101" s="737" t="str">
        <f>D4</f>
        <v>收益法-办公</v>
      </c>
      <c r="E101" s="3220" t="s">
        <v>2300</v>
      </c>
      <c r="F101" s="3174"/>
      <c r="G101" s="2523" t="s">
        <v>2301</v>
      </c>
      <c r="H101" s="1047">
        <f ca="1">H118</f>
        <v>4077</v>
      </c>
      <c r="I101" s="138"/>
    </row>
    <row r="102" spans="1:35" ht="18.75" customHeight="1">
      <c r="A102" s="3176" t="s">
        <v>2302</v>
      </c>
      <c r="B102" s="2523" t="s">
        <v>2301</v>
      </c>
      <c r="C102" s="736">
        <f ca="1">C19</f>
        <v>5720</v>
      </c>
      <c r="D102" s="737">
        <f ca="1">D19</f>
        <v>2982</v>
      </c>
      <c r="E102" s="3220"/>
      <c r="F102" s="3174"/>
      <c r="G102" s="2523" t="s">
        <v>2303</v>
      </c>
      <c r="H102" s="371">
        <f ca="1">I118</f>
        <v>30969</v>
      </c>
      <c r="I102" s="138"/>
    </row>
    <row r="103" spans="1:35" ht="42.75" customHeight="1">
      <c r="A103" s="3176"/>
      <c r="B103" s="2523" t="s">
        <v>2303</v>
      </c>
      <c r="C103" s="738">
        <f ca="1">C20</f>
        <v>43450</v>
      </c>
      <c r="D103" s="739">
        <f ca="1">D20</f>
        <v>22652</v>
      </c>
      <c r="E103" s="3215" t="s">
        <v>2304</v>
      </c>
      <c r="F103" s="3216"/>
      <c r="G103" s="2524" t="s">
        <v>2305</v>
      </c>
      <c r="H103" s="1047">
        <f>IF(D36="正常操作",H104+H105+H106,H105+H106)</f>
        <v>0</v>
      </c>
      <c r="I103" s="138"/>
    </row>
    <row r="104" spans="1:35" ht="18.75" customHeight="1">
      <c r="A104" s="3176" t="s">
        <v>2306</v>
      </c>
      <c r="B104" s="2525" t="s">
        <v>2301</v>
      </c>
      <c r="C104" s="740">
        <f ca="1">H118</f>
        <v>4077</v>
      </c>
      <c r="D104" s="741"/>
      <c r="E104" s="2269" t="s">
        <v>2307</v>
      </c>
      <c r="F104" s="2261"/>
      <c r="G104" s="2524" t="s">
        <v>2305</v>
      </c>
      <c r="H104" s="1048">
        <f>IF(D36="同一抵押权人同一抵押物续贷",C36&amp;"（未扣减，详见特别提示）",C36)</f>
        <v>0</v>
      </c>
      <c r="I104" s="138"/>
    </row>
    <row r="105" spans="1:35" ht="18.75" customHeight="1" thickBot="1">
      <c r="A105" s="3177"/>
      <c r="B105" s="2526" t="s">
        <v>2303</v>
      </c>
      <c r="C105" s="742">
        <f ca="1">I118</f>
        <v>30969</v>
      </c>
      <c r="D105" s="743"/>
      <c r="E105" s="2269" t="s">
        <v>2308</v>
      </c>
      <c r="F105" s="2261"/>
      <c r="G105" s="2524" t="s">
        <v>2305</v>
      </c>
      <c r="H105" s="1048">
        <f>C37</f>
        <v>0</v>
      </c>
      <c r="I105" s="138"/>
    </row>
    <row r="106" spans="1:35" ht="18.75" customHeight="1">
      <c r="A106" s="2421" t="s">
        <v>2309</v>
      </c>
      <c r="B106" s="2421"/>
      <c r="C106" s="2421"/>
      <c r="D106" s="2421"/>
      <c r="E106" s="2527" t="s">
        <v>2310</v>
      </c>
      <c r="F106" s="2261"/>
      <c r="G106" s="2524" t="s">
        <v>2305</v>
      </c>
      <c r="H106" s="1048">
        <f>C38</f>
        <v>0</v>
      </c>
      <c r="I106" s="138"/>
    </row>
    <row r="107" spans="1:35" ht="18.75" customHeight="1">
      <c r="A107" s="138"/>
      <c r="B107" s="138"/>
      <c r="C107" s="138"/>
      <c r="D107" s="138"/>
      <c r="E107" s="3173" t="str">
        <f>IF(项目基本情况!E8="已注销","——","3.房地产抵押价值")</f>
        <v>3.房地产抵押价值</v>
      </c>
      <c r="F107" s="3174"/>
      <c r="G107" s="2523" t="s">
        <v>2301</v>
      </c>
      <c r="H107" s="1047">
        <f ca="1">IF(E107="——","——",H101-H103)</f>
        <v>4077</v>
      </c>
      <c r="I107" s="138"/>
    </row>
    <row r="108" spans="1:35" ht="18.75" customHeight="1">
      <c r="A108" s="138"/>
      <c r="B108" s="138"/>
      <c r="C108" s="138"/>
      <c r="D108" s="138"/>
      <c r="E108" s="3173"/>
      <c r="F108" s="3174"/>
      <c r="G108" s="2523" t="s">
        <v>2303</v>
      </c>
      <c r="H108" s="371">
        <f ca="1">ROUND(H107*10000/'数据-汇总表'!E3,0)</f>
        <v>1515</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v>
      </c>
      <c r="F109" s="3174"/>
      <c r="G109" s="2523" t="s">
        <v>2301</v>
      </c>
      <c r="H109" s="348" t="str">
        <f>IF(E109="——","——",H101-H105-H106)</f>
        <v>——</v>
      </c>
      <c r="I109" s="138"/>
    </row>
    <row r="110" spans="1:35" ht="18.75" customHeight="1">
      <c r="A110" s="138"/>
      <c r="B110" s="138"/>
      <c r="C110" s="138"/>
      <c r="D110" s="138"/>
      <c r="E110" s="3173"/>
      <c r="F110" s="3174"/>
      <c r="G110" s="2523" t="s">
        <v>2303</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23" t="s">
        <v>2301</v>
      </c>
      <c r="H111" s="1047" t="str">
        <f>IF(E111="——","——",N59)</f>
        <v>——</v>
      </c>
      <c r="I111" s="138"/>
    </row>
    <row r="112" spans="1:35" ht="18.75" customHeight="1" thickBot="1">
      <c r="A112" s="138"/>
      <c r="B112" s="138"/>
      <c r="C112" s="138"/>
      <c r="D112" s="138"/>
      <c r="E112" s="3210"/>
      <c r="F112" s="3211"/>
      <c r="G112" s="2528" t="s">
        <v>2303</v>
      </c>
      <c r="H112" s="790" t="str">
        <f>IF(E111="——","——",N61)</f>
        <v>——</v>
      </c>
      <c r="I112" s="138"/>
    </row>
    <row r="113" spans="1:11" ht="18.75" customHeight="1">
      <c r="A113" s="138"/>
      <c r="B113" s="138"/>
      <c r="C113" s="138"/>
      <c r="D113" s="138"/>
      <c r="E113" s="3178" t="s">
        <v>2309</v>
      </c>
      <c r="F113" s="3178"/>
      <c r="G113" s="3178"/>
      <c r="H113" s="3178"/>
      <c r="I113" s="138"/>
    </row>
    <row r="114" spans="1:11" ht="3.75" customHeight="1">
      <c r="A114" s="2421"/>
      <c r="B114" s="2421"/>
      <c r="C114" s="2421"/>
      <c r="D114" s="2421"/>
      <c r="E114" s="2499"/>
      <c r="F114" s="2499"/>
      <c r="G114" s="2499"/>
      <c r="H114" s="2499"/>
      <c r="I114" s="2421"/>
    </row>
    <row r="115" spans="1:11" ht="18.75" customHeight="1">
      <c r="A115" s="3191" t="s">
        <v>2311</v>
      </c>
      <c r="B115" s="3192"/>
      <c r="C115" s="3192"/>
      <c r="D115" s="3192"/>
      <c r="E115" s="3192"/>
      <c r="F115" s="3192"/>
      <c r="G115" s="3192"/>
      <c r="H115" s="3192"/>
      <c r="I115" s="3193"/>
    </row>
    <row r="116" spans="1:11" ht="27" customHeight="1">
      <c r="A116" s="3084" t="s">
        <v>2312</v>
      </c>
      <c r="B116" s="3179" t="s">
        <v>2313</v>
      </c>
      <c r="C116" s="3179" t="s">
        <v>2314</v>
      </c>
      <c r="D116" s="3195" t="s">
        <v>2315</v>
      </c>
      <c r="E116" s="3196"/>
      <c r="F116" s="3187" t="s">
        <v>2316</v>
      </c>
      <c r="G116" s="3187"/>
      <c r="H116" s="3084" t="s">
        <v>2317</v>
      </c>
      <c r="I116" s="3084"/>
    </row>
    <row r="117" spans="1:11" ht="18.75" customHeight="1">
      <c r="A117" s="3084"/>
      <c r="B117" s="3180"/>
      <c r="C117" s="3180"/>
      <c r="D117" s="2933" t="s">
        <v>2318</v>
      </c>
      <c r="E117" s="2933" t="s">
        <v>2319</v>
      </c>
      <c r="F117" s="2933" t="s">
        <v>2318</v>
      </c>
      <c r="G117" s="2933" t="s">
        <v>2320</v>
      </c>
      <c r="H117" s="2933" t="s">
        <v>2318</v>
      </c>
      <c r="I117" s="2933" t="s">
        <v>2320</v>
      </c>
    </row>
    <row r="118" spans="1:11" ht="24.75" customHeight="1">
      <c r="A118" s="2529" t="str">
        <f>项目基本情况!S2</f>
        <v>北京市房地产</v>
      </c>
      <c r="B118" s="2933">
        <f>M18</f>
        <v>1316.46</v>
      </c>
      <c r="C118" s="2933">
        <f>M19</f>
        <v>184.95</v>
      </c>
      <c r="D118" s="2933" t="e">
        <f ca="1">ROUND(IF(D32="总价",C34,E118*B118/10000),0)</f>
        <v>#REF!</v>
      </c>
      <c r="E118" s="2933" t="e">
        <f ca="1">ROUND(IF(C33="自定义",IF(D32="楼面单价",C34,D118*10000/B118),I118-G118),0)</f>
        <v>#REF!</v>
      </c>
      <c r="F118" s="2933" t="e">
        <f ca="1">ROUND(IF(D32="总价",C35,G118*B118/10000),0)</f>
        <v>#REF!</v>
      </c>
      <c r="G118" s="2933" t="e">
        <f ca="1">ROUND(IF(D32="楼面单价",C35,F118*10000/B118),0)</f>
        <v>#REF!</v>
      </c>
      <c r="H118" s="2933">
        <f ca="1">ROUND(IF(D32="总价",C32,I118*B118/10000),0)</f>
        <v>4077</v>
      </c>
      <c r="I118" s="2933">
        <f ca="1">ROUND(IF(D32="楼面单价",C32,H118*10000/B118),0)</f>
        <v>30969</v>
      </c>
    </row>
    <row r="119" spans="1:11" ht="18.75" customHeight="1">
      <c r="A119" s="3084" t="s">
        <v>2321</v>
      </c>
      <c r="B119" s="3084"/>
      <c r="C119" s="3084"/>
      <c r="D119" s="3184" t="e">
        <f ca="1">NUMBERSTRING(INT(D118*10000),2)&amp;"元整"</f>
        <v>#REF!</v>
      </c>
      <c r="E119" s="3186"/>
      <c r="F119" s="3184" t="e">
        <f ca="1">NUMBERSTRING(INT(F118*10000),2)&amp;"元整"</f>
        <v>#REF!</v>
      </c>
      <c r="G119" s="3186"/>
      <c r="H119" s="3184" t="str">
        <f ca="1">NUMBERSTRING(INT(H118*10000),2)&amp;"元整"</f>
        <v>肆仟零柒拾柒万元整</v>
      </c>
      <c r="I119" s="3186"/>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26" t="str">
        <f>IF(D120=0,"故，本次评估不存在"&amp;A120,"故，本次评估"&amp;A120&amp;"为人民币"&amp;D120&amp;"万元整。")</f>
        <v>故，本次评估不存在估价师知悉的法定优先受偿款</v>
      </c>
    </row>
    <row r="121" spans="1:11" ht="18.75" customHeight="1">
      <c r="A121" s="3188" t="s">
        <v>2321</v>
      </c>
      <c r="B121" s="3189"/>
      <c r="C121" s="3190"/>
      <c r="D121" s="3184" t="str">
        <f>IF(D120=0,"零元整",NUMBERSTRING(INT(D120*10000),2)&amp;"元整")</f>
        <v>零元整</v>
      </c>
      <c r="E121" s="3185"/>
      <c r="F121" s="3185"/>
      <c r="G121" s="3185"/>
      <c r="H121" s="3185"/>
      <c r="I121" s="3186"/>
    </row>
    <row r="122" spans="1:11" ht="18.75" customHeight="1">
      <c r="A122" s="3175" t="str">
        <f>IF(项目基本情况!B9="房地产市场价值","",MID(E107,3,LEN(E107)-2))</f>
        <v>房地产抵押价值</v>
      </c>
      <c r="B122" s="3175"/>
      <c r="C122" s="3175"/>
      <c r="D122" s="3212">
        <f ca="1">H107</f>
        <v>4077</v>
      </c>
      <c r="E122" s="3213"/>
      <c r="F122" s="3213"/>
      <c r="G122" s="3213"/>
      <c r="H122" s="3213"/>
      <c r="I122" s="3214"/>
    </row>
    <row r="123" spans="1:11" ht="18.75" customHeight="1">
      <c r="A123" s="3084" t="s">
        <v>2321</v>
      </c>
      <c r="B123" s="3084"/>
      <c r="C123" s="3084"/>
      <c r="D123" s="3184" t="str">
        <f ca="1">NUMBERSTRING(INT(D122*10000),2)&amp;"元整"</f>
        <v>肆仟零柒拾柒万元整</v>
      </c>
      <c r="E123" s="3185"/>
      <c r="F123" s="3185"/>
      <c r="G123" s="3185"/>
      <c r="H123" s="3185"/>
      <c r="I123" s="3186"/>
    </row>
    <row r="124" spans="1:11" ht="18.75" customHeight="1">
      <c r="A124" s="3175" t="str">
        <f>IF(项目基本情况!B9="房地产市场价值","",MID(E109,3,LEN(E109)-2))</f>
        <v/>
      </c>
      <c r="B124" s="3175"/>
      <c r="C124" s="3175"/>
      <c r="D124" s="3212" t="str">
        <f>H109</f>
        <v>——</v>
      </c>
      <c r="E124" s="3213"/>
      <c r="F124" s="3213"/>
      <c r="G124" s="3213"/>
      <c r="H124" s="3213"/>
      <c r="I124" s="3214"/>
    </row>
    <row r="125" spans="1:11" ht="18.75" customHeight="1">
      <c r="A125" s="3084" t="s">
        <v>2321</v>
      </c>
      <c r="B125" s="3084"/>
      <c r="C125" s="3084"/>
      <c r="D125" s="3184" t="e">
        <f>NUMBERSTRING(INT(D124*10000),2)&amp;"元整"</f>
        <v>#VALUE!</v>
      </c>
      <c r="E125" s="3185"/>
      <c r="F125" s="3185"/>
      <c r="G125" s="3185"/>
      <c r="H125" s="3185"/>
      <c r="I125" s="3186"/>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84" t="s">
        <v>2321</v>
      </c>
      <c r="B127" s="3084"/>
      <c r="C127" s="3084"/>
      <c r="D127" s="3184" t="e">
        <f>NUMBERSTRING(INT(D126*10000),2)&amp;"元整"</f>
        <v>#VALUE!</v>
      </c>
      <c r="E127" s="3185"/>
      <c r="F127" s="3185"/>
      <c r="G127" s="3185"/>
      <c r="H127" s="3185"/>
      <c r="I127" s="3186"/>
    </row>
    <row r="128" spans="1:11" ht="21.75" customHeight="1">
      <c r="A128" s="3194" t="s">
        <v>2322</v>
      </c>
      <c r="B128" s="3194"/>
      <c r="C128" s="3194"/>
      <c r="D128" s="3194"/>
      <c r="E128" s="3194"/>
      <c r="F128" s="3194"/>
      <c r="G128" s="3194"/>
      <c r="H128" s="3194"/>
      <c r="I128" s="3194"/>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2325</v>
      </c>
      <c r="G135" s="2547"/>
      <c r="H135" s="2547"/>
      <c r="I135" s="2548" t="s">
        <v>2326</v>
      </c>
    </row>
    <row r="136" spans="1:35" ht="21.75" customHeight="1">
      <c r="A136" s="795"/>
      <c r="B136" s="2549"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2328</v>
      </c>
    </row>
    <row r="139" spans="1:35" ht="21.75" customHeight="1">
      <c r="A139" s="795"/>
      <c r="B139" s="2549" t="s">
        <v>2329</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2328</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7" priority="10" stopIfTrue="1" operator="equal">
      <formula>25</formula>
    </cfRule>
  </conditionalFormatting>
  <conditionalFormatting sqref="C8:C9">
    <cfRule type="cellIs" dxfId="176" priority="9" stopIfTrue="1" operator="equal">
      <formula>15</formula>
    </cfRule>
  </conditionalFormatting>
  <conditionalFormatting sqref="C14:C16">
    <cfRule type="cellIs" dxfId="175" priority="8" stopIfTrue="1" operator="equal">
      <formula>30</formula>
    </cfRule>
  </conditionalFormatting>
  <conditionalFormatting sqref="D5:D7">
    <cfRule type="cellIs" dxfId="174" priority="7" stopIfTrue="1" operator="equal">
      <formula>25</formula>
    </cfRule>
  </conditionalFormatting>
  <conditionalFormatting sqref="D8:D9">
    <cfRule type="cellIs" dxfId="173" priority="6" stopIfTrue="1" operator="equal">
      <formula>15</formula>
    </cfRule>
  </conditionalFormatting>
  <conditionalFormatting sqref="C10:D13">
    <cfRule type="cellIs" dxfId="172" priority="5" stopIfTrue="1" operator="equal">
      <formula>15</formula>
    </cfRule>
  </conditionalFormatting>
  <conditionalFormatting sqref="D14:D16">
    <cfRule type="cellIs" dxfId="171" priority="4"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2121</v>
      </c>
      <c r="B1" s="2421"/>
      <c r="C1" s="2422" t="s">
        <v>48</v>
      </c>
      <c r="D1" s="2421"/>
      <c r="E1" s="2421"/>
      <c r="F1" s="2423" t="s">
        <v>2122</v>
      </c>
      <c r="G1" s="2073" t="s">
        <v>3113</v>
      </c>
      <c r="H1" s="2424" t="str">
        <f>IF(G1="现房","——","估价对象范围")</f>
        <v>——</v>
      </c>
      <c r="I1" s="2425" t="s">
        <v>3114</v>
      </c>
    </row>
    <row r="2" spans="1:12" ht="21.75" customHeight="1" thickBot="1">
      <c r="A2" s="3166" t="str">
        <f>项目基本情况!S2</f>
        <v>北京市房地产</v>
      </c>
      <c r="B2" s="3167"/>
      <c r="C2" s="3167"/>
      <c r="D2" s="3167"/>
      <c r="E2" s="3167"/>
      <c r="F2" s="3167"/>
      <c r="G2" s="3167"/>
      <c r="H2" s="3167"/>
      <c r="I2" s="3168"/>
    </row>
    <row r="3" spans="1:12" ht="12.75">
      <c r="A3" s="3170" t="s">
        <v>2123</v>
      </c>
      <c r="B3" s="3171"/>
      <c r="C3" s="3171"/>
      <c r="D3" s="3171"/>
      <c r="E3" s="3171"/>
      <c r="F3" s="3171"/>
      <c r="G3" s="3171"/>
      <c r="H3" s="3171"/>
      <c r="I3" s="3171"/>
    </row>
    <row r="4" spans="1:12" ht="14.25">
      <c r="A4" s="2428" t="s">
        <v>2124</v>
      </c>
      <c r="B4" s="2429" t="s">
        <v>2125</v>
      </c>
      <c r="C4" s="2430" t="s">
        <v>3115</v>
      </c>
      <c r="D4" s="2430" t="s">
        <v>3080</v>
      </c>
      <c r="E4" s="3163" t="s">
        <v>2126</v>
      </c>
      <c r="F4" s="3164"/>
      <c r="G4" s="3164"/>
      <c r="H4" s="3164"/>
      <c r="I4" s="3172"/>
      <c r="K4" s="2431" t="str">
        <f>IF(ISNUMBER(FIND("比较法",'结果表-车库'!C4)),"比较法",IF(ISNUMBER(FIND("成本法",'结果表-车库'!C4)),"成本法",IF(ISNUMBER(FIND("假设开发法",'结果表-车库'!C4)),"假设开发法",IF(ISNUMBER(FIND("收益法",'结果表-车库'!C4)),"收益法","基准地价系数修正法"))))</f>
        <v>比较法</v>
      </c>
      <c r="L4" s="243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46" t="s">
        <v>2127</v>
      </c>
      <c r="B5" s="3084">
        <v>25</v>
      </c>
      <c r="C5" s="3149"/>
      <c r="D5" s="3169"/>
      <c r="E5" s="140" t="s">
        <v>2128</v>
      </c>
      <c r="F5" s="2432"/>
      <c r="G5" s="2432"/>
      <c r="H5" s="2432"/>
      <c r="I5" s="1833"/>
    </row>
    <row r="6" spans="1:12" ht="12.75">
      <c r="A6" s="3146"/>
      <c r="B6" s="3084"/>
      <c r="C6" s="3150"/>
      <c r="D6" s="3169"/>
      <c r="E6" s="140" t="s">
        <v>2129</v>
      </c>
      <c r="F6" s="2432"/>
      <c r="G6" s="2432"/>
      <c r="H6" s="2432"/>
      <c r="I6" s="1833"/>
    </row>
    <row r="7" spans="1:12" ht="12.75">
      <c r="A7" s="3146"/>
      <c r="B7" s="3084"/>
      <c r="C7" s="3151"/>
      <c r="D7" s="3169"/>
      <c r="E7" s="140" t="s">
        <v>2130</v>
      </c>
      <c r="F7" s="2432"/>
      <c r="G7" s="2432"/>
      <c r="H7" s="2432"/>
      <c r="I7" s="1833"/>
    </row>
    <row r="8" spans="1:12" ht="12.75">
      <c r="A8" s="3146" t="s">
        <v>2131</v>
      </c>
      <c r="B8" s="3084">
        <v>15</v>
      </c>
      <c r="C8" s="3149"/>
      <c r="D8" s="3169"/>
      <c r="E8" s="140" t="s">
        <v>2132</v>
      </c>
      <c r="F8" s="2432"/>
      <c r="G8" s="2432"/>
      <c r="H8" s="2432"/>
      <c r="I8" s="1833"/>
    </row>
    <row r="9" spans="1:12" ht="12.75">
      <c r="A9" s="3146"/>
      <c r="B9" s="3084"/>
      <c r="C9" s="3151"/>
      <c r="D9" s="3169"/>
      <c r="E9" s="140" t="s">
        <v>2133</v>
      </c>
      <c r="F9" s="2432"/>
      <c r="G9" s="2432"/>
      <c r="H9" s="2432"/>
      <c r="I9" s="1833"/>
    </row>
    <row r="10" spans="1:12" ht="12.75">
      <c r="A10" s="3146" t="s">
        <v>2134</v>
      </c>
      <c r="B10" s="3084">
        <v>15</v>
      </c>
      <c r="C10" s="3149"/>
      <c r="D10" s="3169"/>
      <c r="E10" s="140" t="s">
        <v>2135</v>
      </c>
      <c r="F10" s="2432"/>
      <c r="G10" s="2432"/>
      <c r="H10" s="2432"/>
      <c r="I10" s="1833"/>
    </row>
    <row r="11" spans="1:12" ht="12.75">
      <c r="A11" s="3146"/>
      <c r="B11" s="3084"/>
      <c r="C11" s="3151"/>
      <c r="D11" s="3169"/>
      <c r="E11" s="140" t="s">
        <v>2136</v>
      </c>
      <c r="F11" s="2432"/>
      <c r="G11" s="2432"/>
      <c r="H11" s="2432"/>
      <c r="I11" s="1833"/>
    </row>
    <row r="12" spans="1:12" ht="12.75">
      <c r="A12" s="3146" t="s">
        <v>2137</v>
      </c>
      <c r="B12" s="3084">
        <v>15</v>
      </c>
      <c r="C12" s="3149"/>
      <c r="D12" s="3169"/>
      <c r="E12" s="140" t="s">
        <v>2138</v>
      </c>
      <c r="F12" s="2432"/>
      <c r="G12" s="2432"/>
      <c r="H12" s="2432"/>
      <c r="I12" s="1833"/>
    </row>
    <row r="13" spans="1:12" ht="12.75">
      <c r="A13" s="3146"/>
      <c r="B13" s="3084"/>
      <c r="C13" s="3151"/>
      <c r="D13" s="3169"/>
      <c r="E13" s="140" t="s">
        <v>2139</v>
      </c>
      <c r="F13" s="2432"/>
      <c r="G13" s="2432"/>
      <c r="H13" s="2432"/>
      <c r="I13" s="1833"/>
    </row>
    <row r="14" spans="1:12" ht="12.75">
      <c r="A14" s="3146" t="s">
        <v>2140</v>
      </c>
      <c r="B14" s="3084">
        <v>30</v>
      </c>
      <c r="C14" s="3149">
        <v>6</v>
      </c>
      <c r="D14" s="3169">
        <v>4</v>
      </c>
      <c r="E14" s="140" t="s">
        <v>2141</v>
      </c>
      <c r="F14" s="2432"/>
      <c r="G14" s="2432"/>
      <c r="H14" s="2432"/>
      <c r="I14" s="1833"/>
    </row>
    <row r="15" spans="1:12" ht="12.75">
      <c r="A15" s="3146"/>
      <c r="B15" s="3084"/>
      <c r="C15" s="3150"/>
      <c r="D15" s="3169"/>
      <c r="E15" s="140" t="s">
        <v>2142</v>
      </c>
      <c r="F15" s="2432"/>
      <c r="G15" s="2432"/>
      <c r="H15" s="2432"/>
      <c r="I15" s="1833"/>
    </row>
    <row r="16" spans="1:12" ht="12.75">
      <c r="A16" s="3146"/>
      <c r="B16" s="3084"/>
      <c r="C16" s="3151"/>
      <c r="D16" s="3169"/>
      <c r="E16" s="140" t="s">
        <v>2143</v>
      </c>
      <c r="F16" s="2432"/>
      <c r="G16" s="2432"/>
      <c r="H16" s="2432"/>
      <c r="I16" s="1833"/>
    </row>
    <row r="17" spans="1:35" ht="15">
      <c r="A17" s="2433" t="s">
        <v>2144</v>
      </c>
      <c r="B17" s="64"/>
      <c r="C17" s="141">
        <f>SUM(C5:C16)</f>
        <v>6</v>
      </c>
      <c r="D17" s="141">
        <f>SUM(D5:D16)</f>
        <v>4</v>
      </c>
      <c r="E17" s="138"/>
      <c r="F17" s="138"/>
      <c r="G17" s="138"/>
      <c r="H17" s="138"/>
      <c r="I17" s="138"/>
      <c r="K17" s="2431"/>
      <c r="L17" s="2434" t="s">
        <v>2145</v>
      </c>
      <c r="M17" s="2434" t="s">
        <v>2146</v>
      </c>
    </row>
    <row r="18" spans="1:35" ht="15.75" thickBot="1">
      <c r="A18" s="2435" t="s">
        <v>2147</v>
      </c>
      <c r="B18" s="2436"/>
      <c r="C18" s="142">
        <f>ROUND(C17/SUM(C17:D17),2)</f>
        <v>0.6</v>
      </c>
      <c r="D18" s="142">
        <f>1-C18</f>
        <v>0.4</v>
      </c>
      <c r="E18" s="138"/>
      <c r="F18" s="138"/>
      <c r="G18" s="138"/>
      <c r="H18" s="138"/>
      <c r="I18" s="138"/>
      <c r="K18" s="2431" t="s">
        <v>2148</v>
      </c>
      <c r="L18" s="2431">
        <f>IF(C1="",'数据-汇总表'!E3,SUMIF(项目类型,C1,'数据-汇总表'!E17:E26)+SUMIF(项目类型,C1,'数据-汇总表'!I17:I26))</f>
        <v>16503.55</v>
      </c>
      <c r="M18" s="2431">
        <f>IF(C1="",'数据-汇总表'!E3,SUMIF(项目类型,C1,'数据-汇总表'!E17:E26))</f>
        <v>16503.55</v>
      </c>
    </row>
    <row r="19" spans="1:35" ht="15">
      <c r="A19" s="2437" t="s">
        <v>2149</v>
      </c>
      <c r="B19" s="2438" t="s">
        <v>2150</v>
      </c>
      <c r="C19" s="143">
        <f ca="1">SUMIF(INDIRECT("'"&amp;C4&amp;"'"&amp;"!A:A"),'结果表-车库'!B19,INDIRECT("'"&amp;C4&amp;"'"&amp;"!B:B"))</f>
        <v>15051</v>
      </c>
      <c r="D19" s="144">
        <f ca="1">SUMIF(INDIRECT("'"&amp;D4&amp;"'"&amp;"!A:A"),'结果表-车库'!B19,INDIRECT("'"&amp;D4&amp;"'"&amp;"!B:B"))</f>
        <v>6941</v>
      </c>
      <c r="E19" s="2437" t="s">
        <v>2151</v>
      </c>
      <c r="F19" s="2438" t="s">
        <v>2150</v>
      </c>
      <c r="G19" s="145">
        <f ca="1">ROUND(C19*$C$18+D19*$D$18,0)</f>
        <v>11807</v>
      </c>
      <c r="H19" s="2439" t="s">
        <v>2152</v>
      </c>
      <c r="I19" s="138"/>
      <c r="K19" s="2431" t="s">
        <v>2153</v>
      </c>
      <c r="L19" s="2431">
        <f>IF(C1="",'数据-汇总表'!D3,SUMIF(项目类型,C1,'数据-汇总表'!D17:D26)+SUMIF(项目类型,C1,'数据-汇总表'!H17:H27))</f>
        <v>2318.62</v>
      </c>
      <c r="M19" s="2431">
        <f>IF(C1="",'数据-汇总表'!D3,SUMIF(项目类型,C1,'数据-汇总表'!D17:D26))</f>
        <v>2318.62</v>
      </c>
    </row>
    <row r="20" spans="1:35" ht="15">
      <c r="A20" s="2440"/>
      <c r="B20" s="1249" t="s">
        <v>2154</v>
      </c>
      <c r="C20" s="146">
        <f ca="1">SUMIF(INDIRECT("'"&amp;C4&amp;"'"&amp;"!A:A"),'结果表-车库'!B20,INDIRECT("'"&amp;C4&amp;"'"&amp;"!B:B"))</f>
        <v>9120</v>
      </c>
      <c r="D20" s="147">
        <f ca="1">SUMIF(INDIRECT("'"&amp;D4&amp;"'"&amp;"!A:A"),'结果表-车库'!B20,INDIRECT("'"&amp;D4&amp;"'"&amp;"!B:B"))</f>
        <v>4206</v>
      </c>
      <c r="E20" s="2440"/>
      <c r="F20" s="1249" t="s">
        <v>2154</v>
      </c>
      <c r="G20" s="148">
        <f ca="1">ROUND(C20*$C$18+D20*$D$18,0)</f>
        <v>7154</v>
      </c>
      <c r="H20" s="982" t="s">
        <v>2155</v>
      </c>
      <c r="I20" s="138"/>
    </row>
    <row r="21" spans="1:35" ht="15" customHeight="1" thickBot="1">
      <c r="A21" s="1002"/>
      <c r="B21" s="2441" t="s">
        <v>2156</v>
      </c>
      <c r="C21" s="789">
        <f ca="1">ROUND(C19*10000/L19,0)</f>
        <v>64914</v>
      </c>
      <c r="D21" s="790">
        <f ca="1">ROUND(D19*10000/L19,0)</f>
        <v>29936</v>
      </c>
      <c r="E21" s="1002"/>
      <c r="F21" s="2441" t="s">
        <v>2156</v>
      </c>
      <c r="G21" s="149">
        <f ca="1">ROUND(G19*10000/L19,0)</f>
        <v>50923</v>
      </c>
      <c r="H21" s="2442" t="s">
        <v>2155</v>
      </c>
      <c r="I21" s="138"/>
    </row>
    <row r="22" spans="1:35" ht="15" thickBot="1">
      <c r="A22" s="2283" t="s">
        <v>2157</v>
      </c>
      <c r="B22" s="2443"/>
      <c r="C22" s="2444"/>
      <c r="D22" s="791">
        <f ca="1">IF(C19&lt;D19,D19/C19-1,C19/D19-1)</f>
        <v>1.1684195360899006</v>
      </c>
      <c r="E22" s="138"/>
      <c r="F22" s="138"/>
      <c r="G22" s="138"/>
      <c r="H22" s="138"/>
      <c r="I22" s="138"/>
    </row>
    <row r="23" spans="1:35" ht="13.5" thickBot="1">
      <c r="A23" s="2421"/>
      <c r="B23" s="2421"/>
      <c r="C23" s="2421"/>
      <c r="D23" s="2421"/>
      <c r="E23" s="138"/>
      <c r="F23" s="138"/>
      <c r="G23" s="138"/>
      <c r="H23" s="138"/>
      <c r="I23" s="138"/>
    </row>
    <row r="24" spans="1:35" ht="14.25">
      <c r="A24" s="3140" t="s">
        <v>2158</v>
      </c>
      <c r="B24" s="2438" t="s">
        <v>2150</v>
      </c>
      <c r="C24" s="145">
        <f>IF(B30=0,0,D30)</f>
        <v>0</v>
      </c>
      <c r="D24" s="2445"/>
      <c r="E24" s="138"/>
      <c r="F24" s="138"/>
      <c r="G24" s="138"/>
      <c r="H24" s="138"/>
      <c r="I24" s="138"/>
    </row>
    <row r="25" spans="1:35" ht="14.25">
      <c r="A25" s="3141"/>
      <c r="B25" s="1249" t="s">
        <v>2154</v>
      </c>
      <c r="C25" s="150">
        <f>IF(B30=0,0,C30)</f>
        <v>0</v>
      </c>
      <c r="D25" s="2446"/>
      <c r="E25" s="138"/>
      <c r="F25" s="138"/>
      <c r="G25" s="138"/>
      <c r="H25" s="138"/>
      <c r="I25" s="138"/>
    </row>
    <row r="26" spans="1:35" ht="13.5" customHeight="1">
      <c r="A26" s="2447" t="s">
        <v>2159</v>
      </c>
      <c r="B26" s="151" t="s">
        <v>2160</v>
      </c>
      <c r="C26" s="151" t="s">
        <v>2161</v>
      </c>
      <c r="D26" s="152" t="s">
        <v>2162</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2163</v>
      </c>
      <c r="B30" s="151"/>
      <c r="C30" s="151"/>
      <c r="D30" s="151"/>
      <c r="E30" s="2930" t="s">
        <v>3044</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2164</v>
      </c>
      <c r="B32" s="2451"/>
      <c r="C32" s="153">
        <f ca="1">IF(D32="总价",G19-C24,G20-C25)</f>
        <v>11807</v>
      </c>
      <c r="D32" s="2452" t="s">
        <v>2165</v>
      </c>
      <c r="E32" s="138"/>
      <c r="F32" s="138"/>
      <c r="G32" s="138"/>
      <c r="H32" s="138"/>
      <c r="I32" s="138"/>
    </row>
    <row r="33" spans="1:15" ht="15">
      <c r="A33" s="959" t="s">
        <v>2166</v>
      </c>
      <c r="B33" s="2453"/>
      <c r="C33" s="2454"/>
      <c r="D33" s="2455"/>
      <c r="E33" s="2456" t="s">
        <v>2167</v>
      </c>
      <c r="F33" s="2932" t="str">
        <f>IF(D32="楼面单价","取值（单价）","取值（总价）")</f>
        <v>取值（总价）</v>
      </c>
      <c r="G33" s="138"/>
      <c r="H33" s="138"/>
      <c r="I33" s="138"/>
    </row>
    <row r="34" spans="1:15" ht="15">
      <c r="A34" s="2458"/>
      <c r="B34" s="2459"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8"/>
      <c r="H34" s="138"/>
      <c r="I34" s="138"/>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3"/>
      <c r="G35" s="138"/>
      <c r="H35" s="138"/>
      <c r="I35" s="138"/>
    </row>
    <row r="36" spans="1:15" ht="15.75" thickBot="1">
      <c r="A36" s="3158" t="s">
        <v>2172</v>
      </c>
      <c r="B36" s="2464" t="s">
        <v>2173</v>
      </c>
      <c r="C36" s="154"/>
      <c r="D36" s="2465"/>
      <c r="E36" s="2466"/>
      <c r="F36" s="2467"/>
      <c r="G36" s="138"/>
      <c r="H36" s="138"/>
      <c r="I36" s="138"/>
    </row>
    <row r="37" spans="1:15" ht="15.75" thickBot="1">
      <c r="A37" s="3159"/>
      <c r="B37" s="2269" t="s">
        <v>2174</v>
      </c>
      <c r="C37" s="156"/>
      <c r="D37" s="1394"/>
      <c r="E37" s="1394"/>
      <c r="F37" s="2467"/>
      <c r="G37" s="138"/>
      <c r="H37" s="138"/>
      <c r="I37" s="138"/>
    </row>
    <row r="38" spans="1:15" ht="15.75" thickBot="1">
      <c r="A38" s="3160"/>
      <c r="B38" s="2468" t="s">
        <v>2175</v>
      </c>
      <c r="C38" s="727"/>
      <c r="D38" s="2469" t="s">
        <v>2176</v>
      </c>
      <c r="E38" s="1394"/>
      <c r="F38" s="2467"/>
      <c r="G38" s="138"/>
      <c r="H38" s="138"/>
      <c r="I38" s="138"/>
    </row>
    <row r="39" spans="1:15" ht="15">
      <c r="A39" s="2440" t="s">
        <v>2177</v>
      </c>
      <c r="B39" s="2470" t="s">
        <v>2160</v>
      </c>
      <c r="C39" s="2471" t="s">
        <v>2161</v>
      </c>
      <c r="D39" s="2471" t="s">
        <v>2180</v>
      </c>
      <c r="E39" s="2472" t="s">
        <v>2162</v>
      </c>
      <c r="F39" s="2467"/>
      <c r="G39" s="138"/>
      <c r="H39" s="138"/>
      <c r="I39" s="138"/>
    </row>
    <row r="40" spans="1:15" ht="14.25">
      <c r="A40" s="2473" t="s">
        <v>2182</v>
      </c>
      <c r="B40" s="158"/>
      <c r="C40" s="159"/>
      <c r="D40" s="159"/>
      <c r="E40" s="160"/>
      <c r="F40" s="2467"/>
      <c r="G40" s="138"/>
      <c r="H40" s="138"/>
      <c r="I40" s="138"/>
    </row>
    <row r="41" spans="1:15" ht="14.25">
      <c r="A41" s="2473" t="s">
        <v>2183</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137" t="s">
        <v>2186</v>
      </c>
      <c r="B45" s="3138"/>
      <c r="C45" s="3139"/>
      <c r="D45" s="164">
        <f ca="1">ROUND(H101*F45,0)</f>
        <v>11807</v>
      </c>
      <c r="E45" s="165" t="s">
        <v>2187</v>
      </c>
      <c r="F45" s="166">
        <v>1</v>
      </c>
      <c r="G45" s="167" t="s">
        <v>2188</v>
      </c>
      <c r="H45" s="138"/>
      <c r="I45" s="138"/>
      <c r="J45" s="3197" t="s">
        <v>2189</v>
      </c>
      <c r="K45" s="3197"/>
      <c r="L45" s="3197"/>
      <c r="M45" s="3197"/>
      <c r="N45" s="3197"/>
      <c r="O45" s="3197"/>
    </row>
    <row r="46" spans="1:15" ht="14.25" customHeight="1">
      <c r="A46" s="3134" t="s">
        <v>2190</v>
      </c>
      <c r="B46" s="3135"/>
      <c r="C46" s="3135"/>
      <c r="D46" s="3135"/>
      <c r="E46" s="3135"/>
      <c r="F46" s="3135"/>
      <c r="G46" s="3136"/>
      <c r="H46" s="2483"/>
      <c r="I46" s="168"/>
      <c r="J46" s="2941">
        <v>1</v>
      </c>
      <c r="K46" s="3197" t="s">
        <v>2191</v>
      </c>
      <c r="L46" s="3197"/>
      <c r="M46" s="3217"/>
      <c r="N46" s="3217"/>
      <c r="O46" s="3217"/>
    </row>
    <row r="47" spans="1:15" ht="12" customHeight="1">
      <c r="A47" s="169" t="s">
        <v>2192</v>
      </c>
      <c r="B47" s="170"/>
      <c r="C47" s="171"/>
      <c r="D47" s="172" t="s">
        <v>2193</v>
      </c>
      <c r="E47" s="24" t="s">
        <v>2194</v>
      </c>
      <c r="F47" s="173" t="s">
        <v>2195</v>
      </c>
      <c r="G47" s="174" t="s">
        <v>2196</v>
      </c>
      <c r="H47" s="2483"/>
      <c r="I47" s="168"/>
      <c r="J47" s="2941">
        <v>2</v>
      </c>
      <c r="K47" s="3197" t="s">
        <v>2197</v>
      </c>
      <c r="L47" s="3197"/>
      <c r="M47" s="3218">
        <f>'数据-取费表'!B2</f>
        <v>43157</v>
      </c>
      <c r="N47" s="3218"/>
      <c r="O47" s="3218"/>
    </row>
    <row r="48" spans="1:15" ht="25.5">
      <c r="A48" s="3165" t="s">
        <v>2198</v>
      </c>
      <c r="B48" s="3148"/>
      <c r="C48" s="3148"/>
      <c r="D48" s="140">
        <f>IF(H48="情况1",0,IF(H48="情况2",D52,IF(H48="情况3",D53,IF(H48="情况4",D54))))</f>
        <v>0</v>
      </c>
      <c r="E48" s="2950" t="str">
        <f>IF(H48="情况4","(销售额-原购置价)×税（费）率","销售额×税（费）率")</f>
        <v>销售额×税（费）率</v>
      </c>
      <c r="F48" s="175" t="str">
        <f>IF(H48="情况1","免征",'数据-取费表'!B41)</f>
        <v>免征</v>
      </c>
      <c r="G48" s="2484" t="s">
        <v>2199</v>
      </c>
      <c r="H48" s="2485" t="s">
        <v>2200</v>
      </c>
      <c r="I48" s="2483"/>
      <c r="J48" s="2941">
        <v>3</v>
      </c>
      <c r="K48" s="3197" t="s">
        <v>2201</v>
      </c>
      <c r="L48" s="3197"/>
      <c r="M48" s="3219">
        <f ca="1">H101</f>
        <v>11807</v>
      </c>
      <c r="N48" s="3219"/>
      <c r="O48" s="3219"/>
    </row>
    <row r="49" spans="1:35" ht="25.5" customHeight="1">
      <c r="A49" s="176" t="s">
        <v>2202</v>
      </c>
      <c r="B49" s="3133" t="s">
        <v>2203</v>
      </c>
      <c r="C49" s="3133"/>
      <c r="D49" s="177">
        <v>0</v>
      </c>
      <c r="E49" s="23" t="s">
        <v>2204</v>
      </c>
      <c r="F49" s="28" t="s">
        <v>34</v>
      </c>
      <c r="G49" s="3203"/>
      <c r="H49" s="138"/>
      <c r="I49" s="2486"/>
      <c r="J49" s="2941">
        <v>4</v>
      </c>
      <c r="K49" s="3197" t="str">
        <f>IF(项目基本情况!E8="房地产抵押价值","房地产抵押价值","抵押担保权已注销时的房地产抵押价值")</f>
        <v>房地产抵押价值</v>
      </c>
      <c r="L49" s="3197"/>
      <c r="M49" s="3219">
        <f ca="1">IF(项目基本情况!E8="房地产抵押价值",H107,H109)</f>
        <v>11807</v>
      </c>
      <c r="N49" s="3219"/>
      <c r="O49" s="3219"/>
    </row>
    <row r="50" spans="1:35" ht="25.5" customHeight="1">
      <c r="A50" s="178"/>
      <c r="B50" s="3133" t="s">
        <v>2205</v>
      </c>
      <c r="C50" s="3133"/>
      <c r="D50" s="179"/>
      <c r="E50" s="31"/>
      <c r="F50" s="180"/>
      <c r="G50" s="3204"/>
      <c r="H50" s="138"/>
      <c r="I50" s="2486"/>
      <c r="J50" s="3197" t="s">
        <v>2206</v>
      </c>
      <c r="K50" s="3197"/>
      <c r="L50" s="3197"/>
      <c r="M50" s="3197"/>
      <c r="N50" s="3197"/>
      <c r="O50" s="3197"/>
    </row>
    <row r="51" spans="1:35" ht="12" customHeight="1">
      <c r="A51" s="181"/>
      <c r="B51" s="3133" t="s">
        <v>2207</v>
      </c>
      <c r="C51" s="3133"/>
      <c r="D51" s="182"/>
      <c r="E51" s="30"/>
      <c r="F51" s="180"/>
      <c r="G51" s="3205"/>
      <c r="H51" s="138"/>
      <c r="I51" s="2486"/>
      <c r="J51" s="2934" t="s">
        <v>2208</v>
      </c>
      <c r="K51" s="3197" t="s">
        <v>2209</v>
      </c>
      <c r="L51" s="3197"/>
      <c r="M51" s="2934" t="s">
        <v>2210</v>
      </c>
      <c r="N51" s="2934" t="s">
        <v>2211</v>
      </c>
      <c r="O51" s="2934" t="s">
        <v>2212</v>
      </c>
    </row>
    <row r="52" spans="1:35" ht="24" customHeight="1">
      <c r="A52" s="183" t="s">
        <v>2213</v>
      </c>
      <c r="B52" s="3133" t="s">
        <v>2214</v>
      </c>
      <c r="C52" s="3133"/>
      <c r="D52" s="182">
        <f ca="1">ROUND(D45*'数据-取费表'!B41/(1+'数据-取费表'!C42),0)</f>
        <v>630</v>
      </c>
      <c r="E52" s="11" t="s">
        <v>2215</v>
      </c>
      <c r="F52" s="184">
        <f>'数据-取费表'!B41</f>
        <v>5.6000000000000001E-2</v>
      </c>
      <c r="G52" s="2488"/>
      <c r="H52" s="138"/>
      <c r="I52" s="2486"/>
      <c r="J52" s="2941">
        <v>1</v>
      </c>
      <c r="K52" s="3198" t="s">
        <v>2216</v>
      </c>
      <c r="L52" s="3198"/>
      <c r="M52" s="1753">
        <f>D48</f>
        <v>0</v>
      </c>
      <c r="N52" s="2941" t="str">
        <f>E48</f>
        <v>销售额×税（费）率</v>
      </c>
      <c r="O52" s="1754" t="str">
        <f>F48</f>
        <v>免征</v>
      </c>
    </row>
    <row r="53" spans="1:35" ht="12" customHeight="1">
      <c r="A53" s="183" t="s">
        <v>2217</v>
      </c>
      <c r="B53" s="3156" t="s">
        <v>2218</v>
      </c>
      <c r="C53" s="3157"/>
      <c r="D53" s="182">
        <f ca="1">ROUND(D45*'数据-取费表'!B41/(1+'数据-取费表'!C42),0)</f>
        <v>630</v>
      </c>
      <c r="E53" s="11" t="s">
        <v>2215</v>
      </c>
      <c r="F53" s="184">
        <f>'数据-取费表'!B41</f>
        <v>5.6000000000000001E-2</v>
      </c>
      <c r="G53" s="2488"/>
      <c r="H53" s="138"/>
      <c r="I53" s="2486"/>
      <c r="J53" s="2941">
        <v>2</v>
      </c>
      <c r="K53" s="3198" t="s">
        <v>2219</v>
      </c>
      <c r="L53" s="3198"/>
      <c r="M53" s="1753">
        <f t="shared" ref="M53:O54" ca="1" si="0">D55</f>
        <v>6</v>
      </c>
      <c r="N53" s="2941" t="str">
        <f t="shared" si="0"/>
        <v>销售额×税（费）率</v>
      </c>
      <c r="O53" s="1754">
        <f t="shared" si="0"/>
        <v>5.0000000000000001E-4</v>
      </c>
    </row>
    <row r="54" spans="1:35" ht="12" customHeight="1">
      <c r="A54" s="183" t="s">
        <v>2220</v>
      </c>
      <c r="B54" s="3156" t="s">
        <v>2221</v>
      </c>
      <c r="C54" s="3157"/>
      <c r="D54" s="182">
        <f ca="1">C68</f>
        <v>630</v>
      </c>
      <c r="E54" s="30" t="s">
        <v>2222</v>
      </c>
      <c r="F54" s="184">
        <f>'数据-取费表'!B41</f>
        <v>5.6000000000000001E-2</v>
      </c>
      <c r="G54" s="2488"/>
      <c r="H54" s="2489"/>
      <c r="I54" s="2486"/>
      <c r="J54" s="2941">
        <v>3</v>
      </c>
      <c r="K54" s="3198" t="s">
        <v>2223</v>
      </c>
      <c r="L54" s="3198"/>
      <c r="M54" s="1753">
        <f t="shared" ca="1" si="0"/>
        <v>6683</v>
      </c>
      <c r="N54" s="2941" t="str">
        <f t="shared" si="0"/>
        <v>增值额×税（费）率</v>
      </c>
      <c r="O54" s="1755" t="str">
        <f t="shared" si="0"/>
        <v>——</v>
      </c>
    </row>
    <row r="55" spans="1:35" ht="24" customHeight="1">
      <c r="A55" s="3147" t="s">
        <v>2224</v>
      </c>
      <c r="B55" s="3148"/>
      <c r="C55" s="3148"/>
      <c r="D55" s="185">
        <f ca="1">IF(H55="个人住宅",0,ROUND(D45*I55,0))</f>
        <v>6</v>
      </c>
      <c r="E55" s="11" t="s">
        <v>2225</v>
      </c>
      <c r="F55" s="184">
        <f>IF(H55="正常",I55,"免征")</f>
        <v>5.0000000000000001E-4</v>
      </c>
      <c r="G55" s="2488"/>
      <c r="H55" s="2485" t="s">
        <v>2226</v>
      </c>
      <c r="I55" s="186">
        <f>'数据-取费表'!B49</f>
        <v>5.0000000000000001E-4</v>
      </c>
      <c r="J55" s="2941" t="str">
        <f>IF(H59="非个人房产","",4)</f>
        <v/>
      </c>
      <c r="K55" s="3198" t="str">
        <f>IF(H59="非个人房产","——","个人所得税")</f>
        <v>——</v>
      </c>
      <c r="L55" s="3198"/>
      <c r="M55" s="1756" t="str">
        <f>D59</f>
        <v>——</v>
      </c>
      <c r="N55" s="2942" t="str">
        <f>E59</f>
        <v>——</v>
      </c>
      <c r="O55" s="1757" t="str">
        <f>F59</f>
        <v>——</v>
      </c>
    </row>
    <row r="56" spans="1:35" ht="24.75">
      <c r="A56" s="3147" t="s">
        <v>2227</v>
      </c>
      <c r="B56" s="3148"/>
      <c r="C56" s="3148"/>
      <c r="D56" s="185">
        <f ca="1">IF(H56="个人住宅",D57,D58)</f>
        <v>6683</v>
      </c>
      <c r="E56" s="11" t="s">
        <v>2228</v>
      </c>
      <c r="F56" s="184" t="str">
        <f>IF(H56="正常",F58,"免征")</f>
        <v>——</v>
      </c>
      <c r="G56" s="2490" t="s">
        <v>2229</v>
      </c>
      <c r="H56" s="2491" t="s">
        <v>2226</v>
      </c>
      <c r="I56" s="2492"/>
      <c r="J56" s="2941" t="str">
        <f>IF(项目基本情况!K6="上海银行",IF(J55="",4,J55+1),"")</f>
        <v/>
      </c>
      <c r="K56" s="3221" t="str">
        <f>IF(项目基本情况!K6="上海银行","其他处置费用","")</f>
        <v/>
      </c>
      <c r="L56" s="3222"/>
      <c r="M56" s="1753" t="str">
        <f>IF(项目基本情况!K6="上海银行",M69,"")</f>
        <v/>
      </c>
      <c r="N56" s="3224" t="str">
        <f>IF(项目基本情况!K6="上海银行","包含处置中涉及的律师、诉讼、拍卖、评估等费用","")</f>
        <v/>
      </c>
      <c r="O56" s="3225"/>
    </row>
    <row r="57" spans="1:35" ht="12.75">
      <c r="A57" s="183" t="s">
        <v>2202</v>
      </c>
      <c r="B57" s="3163" t="s">
        <v>2230</v>
      </c>
      <c r="C57" s="3172"/>
      <c r="D57" s="187">
        <v>0</v>
      </c>
      <c r="E57" s="23" t="s">
        <v>2204</v>
      </c>
      <c r="F57" s="155"/>
      <c r="G57" s="2488"/>
      <c r="H57" s="2492"/>
      <c r="I57" s="2492"/>
      <c r="J57" s="3198">
        <f>IF(AND(J55="",J56=""),4,IF(项目基本情况!K6="上海银行",'结果表-车库'!J56+1,'结果表-车库'!J55+1))</f>
        <v>4</v>
      </c>
      <c r="K57" s="3198" t="s">
        <v>2231</v>
      </c>
      <c r="L57" s="2493" t="s">
        <v>2232</v>
      </c>
      <c r="M57" s="1758"/>
      <c r="N57" s="1759">
        <f ca="1">SUMIF(M52:M56,"&lt;9e307")</f>
        <v>6689</v>
      </c>
      <c r="O57" s="2494"/>
      <c r="P57" s="1752">
        <f ca="1">N57/M49</f>
        <v>0.56652833065130859</v>
      </c>
    </row>
    <row r="58" spans="1:35" ht="24.75">
      <c r="A58" s="183" t="s">
        <v>2213</v>
      </c>
      <c r="B58" s="3163" t="s">
        <v>2233</v>
      </c>
      <c r="C58" s="3164"/>
      <c r="D58" s="185">
        <f ca="1">IF(H58="转让取得",C81,C97)</f>
        <v>6683</v>
      </c>
      <c r="E58" s="11" t="s">
        <v>2228</v>
      </c>
      <c r="F58" s="24" t="s">
        <v>34</v>
      </c>
      <c r="G58" s="2488"/>
      <c r="H58" s="2491" t="s">
        <v>2234</v>
      </c>
      <c r="I58" s="2492"/>
      <c r="J58" s="3198"/>
      <c r="K58" s="3198"/>
      <c r="L58" s="2493" t="s">
        <v>2235</v>
      </c>
      <c r="M58" s="1760"/>
      <c r="N58" s="2495" t="str">
        <f ca="1">NUMBERSTRING(INT(N57*10000),2)&amp;"元整"</f>
        <v>陆仟陆佰捌拾玖万元整</v>
      </c>
      <c r="O58" s="2496"/>
    </row>
    <row r="59" spans="1:35" ht="24.75" thickBot="1">
      <c r="A59" s="3201" t="s">
        <v>2236</v>
      </c>
      <c r="B59" s="3202"/>
      <c r="C59" s="3202"/>
      <c r="D59" s="188" t="str">
        <f>IF(H59="非个人房产","——",IF(H59="个人住宅",0,ROUND(D45*I59,0)))</f>
        <v>——</v>
      </c>
      <c r="E59" s="189" t="str">
        <f>IF(H59="非个人房产","——","销售额×税（费）率")</f>
        <v>——</v>
      </c>
      <c r="F59" s="190" t="str">
        <f>IF(H59="非个人房产","——",IF(H59="个人住宅","免征",I59))</f>
        <v>——</v>
      </c>
      <c r="G59" s="2497" t="s">
        <v>2229</v>
      </c>
      <c r="H59" s="2491" t="s">
        <v>2237</v>
      </c>
      <c r="I59" s="191">
        <v>0.01</v>
      </c>
      <c r="J59" s="3199">
        <f>J57+1</f>
        <v>5</v>
      </c>
      <c r="K59" s="3198" t="s">
        <v>2238</v>
      </c>
      <c r="L59" s="2941" t="s">
        <v>2232</v>
      </c>
      <c r="M59" s="1761"/>
      <c r="N59" s="1762">
        <f ca="1">M49-N57</f>
        <v>5118</v>
      </c>
      <c r="O59" s="2498"/>
    </row>
    <row r="60" spans="1:35" ht="12" customHeight="1">
      <c r="A60" s="2499"/>
      <c r="B60" s="2421"/>
      <c r="C60" s="2421"/>
      <c r="D60" s="2421"/>
      <c r="E60" s="2169"/>
      <c r="F60" s="2492"/>
      <c r="G60" s="2492"/>
      <c r="H60" s="2500"/>
      <c r="I60" s="138"/>
      <c r="J60" s="3200"/>
      <c r="K60" s="3198"/>
      <c r="L60" s="2493" t="s">
        <v>2235</v>
      </c>
      <c r="M60" s="1760"/>
      <c r="N60" s="2495" t="str">
        <f ca="1">NUMBERSTRING(INT(N59*10000),2)&amp;"元整"</f>
        <v>伍仟壹佰壹拾捌万元整</v>
      </c>
      <c r="O60" s="2496"/>
    </row>
    <row r="61" spans="1:35" ht="13.5" thickBot="1">
      <c r="A61" s="3145" t="s">
        <v>2239</v>
      </c>
      <c r="B61" s="3145"/>
      <c r="C61" s="3145"/>
      <c r="D61" s="3145"/>
      <c r="E61" s="3145"/>
      <c r="F61" s="2492"/>
      <c r="G61" s="2492"/>
      <c r="H61" s="2500"/>
      <c r="I61" s="138"/>
      <c r="J61" s="2941">
        <f>J59+1</f>
        <v>6</v>
      </c>
      <c r="K61" s="3198" t="s">
        <v>2240</v>
      </c>
      <c r="L61" s="3198"/>
      <c r="M61" s="1763"/>
      <c r="N61" s="1764">
        <f ca="1">ROUND(N59*10000/'数据-汇总表'!E3,0)</f>
        <v>1901</v>
      </c>
      <c r="O61" s="2501"/>
    </row>
    <row r="62" spans="1:35" ht="12.75">
      <c r="A62" s="3161" t="s">
        <v>2241</v>
      </c>
      <c r="B62" s="3162"/>
      <c r="C62" s="2946"/>
      <c r="D62" s="2946" t="s">
        <v>2242</v>
      </c>
      <c r="E62" s="192" t="s">
        <v>2243</v>
      </c>
      <c r="F62" s="2492"/>
      <c r="G62" s="2492"/>
      <c r="H62" s="2500"/>
      <c r="I62" s="138"/>
    </row>
    <row r="63" spans="1:35" ht="12.75">
      <c r="A63" s="203" t="s">
        <v>775</v>
      </c>
      <c r="B63" s="193" t="s">
        <v>2244</v>
      </c>
      <c r="C63" s="194">
        <f ca="1">ROUND((C64+C65)/(1+'数据-取费表'!C42),0)</f>
        <v>11245</v>
      </c>
      <c r="D63" s="195"/>
      <c r="E63" s="196"/>
      <c r="F63" s="2492"/>
      <c r="G63" s="2492"/>
      <c r="H63" s="2500"/>
      <c r="I63" s="138"/>
      <c r="J63" s="3223" t="s">
        <v>2245</v>
      </c>
      <c r="K63" s="2937" t="s">
        <v>2246</v>
      </c>
      <c r="L63" s="1751">
        <f ca="1">IF(M49&gt;10000,M49*0.5%,IF(AND(M49&gt;1000,M49&lt;=10000),M49*1%,IF(AND(M49&gt;100,M49&lt;=1000),M49*3%,IF(AND(M49&gt;10,M49&lt;=100),M49*5%,M49*8%))))</f>
        <v>59.035000000000004</v>
      </c>
      <c r="M63" s="24">
        <f ca="1">ROUND(L63,1)</f>
        <v>59</v>
      </c>
      <c r="Z63" s="2426"/>
      <c r="AI63" s="2427"/>
    </row>
    <row r="64" spans="1:35" ht="14.25" customHeight="1">
      <c r="A64" s="197" t="s">
        <v>770</v>
      </c>
      <c r="B64" s="198" t="s">
        <v>2247</v>
      </c>
      <c r="C64" s="199">
        <f ca="1">D45</f>
        <v>11807</v>
      </c>
      <c r="D64" s="200" t="s">
        <v>32</v>
      </c>
      <c r="E64" s="201"/>
      <c r="F64" s="2492"/>
      <c r="G64" s="2492"/>
      <c r="H64" s="2500"/>
      <c r="I64" s="138"/>
      <c r="J64" s="3223"/>
      <c r="K64" s="2937" t="s">
        <v>2248</v>
      </c>
      <c r="L64" s="1751">
        <f ca="1">IF(M49&gt;2000,M49*0.5%,IF(AND(M49&gt;1000,M49&lt;=2000),M49*0.6%,IF(AND(M49&gt;500,M49&lt;=1000),M49*0.7%,IF(AND(M49&gt;200,M49&lt;=500),M49*0.8%,IF(AND(M49&gt;100,M49&lt;=200),M49*0.9%,IF(AND(M49&gt;50,M49&lt;=100),M49*1%,IF(AND(M49&gt;20,M49&lt;=50),M49*1.5%,IF(AND(M49&gt;10,M49&lt;=20),M49*2%,IF(AND(M49&gt;1,M49&lt;=10),M49*2.5%)))))))))</f>
        <v>59.035000000000004</v>
      </c>
      <c r="M64" s="24">
        <f t="shared" ref="M64:M65" ca="1" si="1">ROUND(L64,1)</f>
        <v>59</v>
      </c>
      <c r="N64" s="138" t="s">
        <v>2249</v>
      </c>
      <c r="Z64" s="2426"/>
      <c r="AI64" s="2427"/>
    </row>
    <row r="65" spans="1:35" ht="14.25" customHeight="1">
      <c r="A65" s="197" t="s">
        <v>771</v>
      </c>
      <c r="B65" s="198" t="s">
        <v>2250</v>
      </c>
      <c r="C65" s="202"/>
      <c r="D65" s="200"/>
      <c r="E65" s="201"/>
      <c r="F65" s="2492"/>
      <c r="G65" s="2492"/>
      <c r="H65" s="2500"/>
      <c r="I65" s="138"/>
      <c r="J65" s="3223"/>
      <c r="K65" s="2937" t="s">
        <v>2251</v>
      </c>
      <c r="L65" s="1751">
        <f ca="1">IF(M49&gt;1000,M49*0.1%,IF(AND(M49&gt;500,M49&lt;=1000),M49*0.5%,IF(AND(M49&gt;50,M49&lt;=500),M49*1%,IF(AND(M49&gt;1,M49&lt;=50),M49*1.5%))))</f>
        <v>11.807</v>
      </c>
      <c r="M65" s="24">
        <f t="shared" ca="1" si="1"/>
        <v>11.8</v>
      </c>
      <c r="N65" s="138" t="s">
        <v>2249</v>
      </c>
      <c r="Z65" s="2426"/>
      <c r="AI65" s="2427"/>
    </row>
    <row r="66" spans="1:35" ht="14.25" customHeight="1">
      <c r="A66" s="203" t="s">
        <v>772</v>
      </c>
      <c r="B66" s="204" t="s">
        <v>2252</v>
      </c>
      <c r="C66" s="205"/>
      <c r="D66" s="206" t="s">
        <v>32</v>
      </c>
      <c r="E66" s="1775" t="s">
        <v>1371</v>
      </c>
      <c r="F66" s="2492"/>
      <c r="G66" s="2492"/>
      <c r="H66" s="2500"/>
      <c r="I66" s="138"/>
      <c r="J66" s="3223"/>
      <c r="K66" s="2937" t="s">
        <v>2253</v>
      </c>
      <c r="L66" s="1751">
        <f ca="1">M49*0.5%</f>
        <v>59.035000000000004</v>
      </c>
      <c r="M66" s="24">
        <f ca="1">IF(L66&gt;0.5,0.5,ROUND(L66,0))</f>
        <v>0.5</v>
      </c>
      <c r="N66" s="138" t="s">
        <v>2254</v>
      </c>
      <c r="Z66" s="2426"/>
      <c r="AI66" s="2427"/>
    </row>
    <row r="67" spans="1:35" ht="14.25" customHeight="1">
      <c r="A67" s="203" t="s">
        <v>773</v>
      </c>
      <c r="B67" s="204" t="s">
        <v>2255</v>
      </c>
      <c r="C67" s="207">
        <f ca="1">C63-C66</f>
        <v>11245</v>
      </c>
      <c r="D67" s="200" t="s">
        <v>32</v>
      </c>
      <c r="E67" s="201"/>
      <c r="F67" s="2492"/>
      <c r="G67" s="2492"/>
      <c r="H67" s="2500"/>
      <c r="I67" s="138"/>
      <c r="J67" s="3223"/>
      <c r="K67" s="2937" t="s">
        <v>2256</v>
      </c>
      <c r="L67" s="1751">
        <f ca="1">IF(M49&gt;=10000,(8.25+(M49-10000)*0.01%),IF(AND(M49&gt;=8000,M49&lt;10000),(7.85+(M49-8000)*0.02%),IF(AND(M49&gt;=5000,M49&lt;8000),(6.65+(M49-5000)*0.04%),IF(AND(M49&gt;=2000,M49&lt;5000),(4.25+(PM49-2000)*0.08%),IF(AND(M49&gt;=1000,M49&lt;2000),(2.75+(M49-1000)*0.15%),IF(AND(M49&gt;=100,M49&lt;1000),(0.5+(M49-100)*0.25%),IF(AND(M49&gt;0,M49&lt;100),M49*0.5%)))))))</f>
        <v>8.4306999999999999</v>
      </c>
      <c r="M67" s="24">
        <f ca="1">ROUND(L67*0.9,1)</f>
        <v>7.6</v>
      </c>
      <c r="Z67" s="2426"/>
      <c r="AI67" s="2427"/>
    </row>
    <row r="68" spans="1:35" ht="14.25" customHeight="1" thickBot="1">
      <c r="A68" s="208" t="s">
        <v>774</v>
      </c>
      <c r="B68" s="209" t="s">
        <v>2257</v>
      </c>
      <c r="C68" s="210">
        <f ca="1">IF(C67&lt;=0,0,ROUND(C67*D68,0))</f>
        <v>630</v>
      </c>
      <c r="D68" s="211">
        <f>'数据-取费表'!B41</f>
        <v>5.6000000000000001E-2</v>
      </c>
      <c r="E68" s="212"/>
      <c r="F68" s="2492"/>
      <c r="G68" s="2492"/>
      <c r="H68" s="2500"/>
      <c r="I68" s="138"/>
      <c r="J68" s="3223"/>
      <c r="K68" s="2937" t="s">
        <v>2258</v>
      </c>
      <c r="L68" s="1751">
        <f ca="1">IF(M49&gt;10000,M49*0.5%,IF(AND(M49&gt;5000,M49&lt;=10000),M49*1%,IF(AND(M49&gt;1000,M49&lt;=5000),M49*2%,IF(AND(M49&gt;200,M49&lt;=1000),M49*3%,M49*5%))))</f>
        <v>59.035000000000004</v>
      </c>
      <c r="M68" s="24">
        <f ca="1">ROUND(L68,1)</f>
        <v>59</v>
      </c>
      <c r="Z68" s="2426"/>
      <c r="AI68" s="2427"/>
    </row>
    <row r="69" spans="1:35" s="2449" customFormat="1" ht="16.5" customHeight="1">
      <c r="A69" s="2503"/>
      <c r="B69" s="2504"/>
      <c r="C69" s="2505"/>
      <c r="D69" s="2506"/>
      <c r="E69" s="2507"/>
      <c r="F69" s="2169"/>
      <c r="G69" s="2169"/>
      <c r="H69" s="2168"/>
      <c r="I69" s="2421"/>
      <c r="J69" s="3223"/>
      <c r="K69" s="2937" t="s">
        <v>2259</v>
      </c>
      <c r="L69" s="2508"/>
      <c r="M69" s="24">
        <f ca="1">ROUND(SUM(M63:M68),0)</f>
        <v>197</v>
      </c>
      <c r="N69" s="1752">
        <f ca="1">M69/M49</f>
        <v>1.668501736258152E-2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82" t="s">
        <v>2260</v>
      </c>
      <c r="B70" s="3183"/>
      <c r="C70" s="3183"/>
      <c r="D70" s="3183"/>
      <c r="E70" s="3183"/>
      <c r="F70" s="3183"/>
      <c r="G70" s="3183"/>
      <c r="H70" s="318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1" t="s">
        <v>2241</v>
      </c>
      <c r="B71" s="3162"/>
      <c r="C71" s="2946"/>
      <c r="D71" s="2946" t="s">
        <v>2242</v>
      </c>
      <c r="E71" s="213" t="s">
        <v>2243</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2261</v>
      </c>
      <c r="C72" s="207">
        <f ca="1">ROUND(D45/(1+'数据-取费表'!C42),0)</f>
        <v>11245</v>
      </c>
      <c r="D72" s="200" t="s">
        <v>32</v>
      </c>
      <c r="E72" s="2948"/>
      <c r="F72" s="2947"/>
      <c r="G72" s="294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2262</v>
      </c>
      <c r="C73" s="207">
        <f ca="1">C74+C78</f>
        <v>67</v>
      </c>
      <c r="D73" s="200" t="s">
        <v>32</v>
      </c>
      <c r="E73" s="2948"/>
      <c r="F73" s="2947"/>
      <c r="G73" s="294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2263</v>
      </c>
      <c r="C74" s="200">
        <f>ROUND(IF(G77="2016年5月1日后购买",C75/(1+'数据-取费表'!C42)+C76+C77,C75+C76+C77),0)</f>
        <v>0</v>
      </c>
      <c r="D74" s="200" t="s">
        <v>32</v>
      </c>
      <c r="E74" s="2948"/>
      <c r="F74" s="2947"/>
      <c r="G74" s="294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2264</v>
      </c>
      <c r="C75" s="218"/>
      <c r="D75" s="200" t="s">
        <v>32</v>
      </c>
      <c r="E75" s="219" t="s">
        <v>2265</v>
      </c>
      <c r="F75" s="2514" t="s">
        <v>2266</v>
      </c>
      <c r="G75" s="219" t="s">
        <v>2267</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2268</v>
      </c>
      <c r="C76" s="200">
        <f>IF(F75="购房发票",ROUND(C75*H75*D76,0),0)</f>
        <v>0</v>
      </c>
      <c r="D76" s="222">
        <v>0.05</v>
      </c>
      <c r="E76" s="3156" t="s">
        <v>2269</v>
      </c>
      <c r="F76" s="3133"/>
      <c r="G76" s="3133"/>
      <c r="H76" s="318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2270</v>
      </c>
      <c r="C77" s="200">
        <f>ROUND(IF(G77="个人住宅",0,IF(G77="2016年5月1日前购买",C75*D77,C75*D77/(1+'数据-取费表'!C42))),0)</f>
        <v>0</v>
      </c>
      <c r="D77" s="223">
        <f>'数据-取费表'!B48+'数据-取费表'!B49</f>
        <v>3.0499999999999999E-2</v>
      </c>
      <c r="E77" s="2938" t="s">
        <v>2271</v>
      </c>
      <c r="F77" s="224"/>
      <c r="G77" s="2516" t="s">
        <v>2272</v>
      </c>
      <c r="H77" s="294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2273</v>
      </c>
      <c r="C78" s="225">
        <f ca="1">ROUND(D45*D78/(1+'数据-取费表'!C42),0)</f>
        <v>67</v>
      </c>
      <c r="D78" s="226">
        <f>'数据-取费表'!B43</f>
        <v>6.000000000000001E-3</v>
      </c>
      <c r="E78" s="3142" t="s">
        <v>2274</v>
      </c>
      <c r="F78" s="3143"/>
      <c r="G78" s="3143"/>
      <c r="H78" s="315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2275</v>
      </c>
      <c r="C79" s="207">
        <f ca="1">C72-C73</f>
        <v>11178</v>
      </c>
      <c r="D79" s="200" t="s">
        <v>32</v>
      </c>
      <c r="E79" s="2948"/>
      <c r="F79" s="2947"/>
      <c r="G79" s="294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2276</v>
      </c>
      <c r="C80" s="227">
        <f ca="1">IF(C79&lt;=0,0,C79/C73)</f>
        <v>166.83582089552237</v>
      </c>
      <c r="D80" s="200" t="s">
        <v>32</v>
      </c>
      <c r="E80" s="2938" t="str">
        <f ca="1">IF(C80&gt;=200%,"增值额超过扣除项目金额200%",IF(C80&gt;=100%,"增值额超过扣除项目金额100%，未超过200%",IF(C80&gt;=50%,"增值额超过扣除项目金额50%，未超过100%",IF(C80&lt;50%,"增值额未超过扣除项目金额50%"))))</f>
        <v>增值额超过扣除项目金额200%</v>
      </c>
      <c r="F80" s="2947"/>
      <c r="G80" s="294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2277</v>
      </c>
      <c r="C81" s="228">
        <f ca="1">ROUND(IF(C79&lt;=0,0,IF(C80&gt;=200%,C79*60%-C73*35%,IF(C80&gt;=100%,C79*50%-C73*15%,IF(C80&gt;=50%,C79*40%-C73*5%,IF(C80&lt;50%,C79*30%,0))))),0)</f>
        <v>6683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82" t="s">
        <v>2278</v>
      </c>
      <c r="B83" s="3183"/>
      <c r="C83" s="3183"/>
      <c r="D83" s="3183"/>
      <c r="E83" s="3183"/>
      <c r="F83" s="3183"/>
      <c r="G83" s="3183"/>
      <c r="H83" s="318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1" t="s">
        <v>2241</v>
      </c>
      <c r="B84" s="3162"/>
      <c r="C84" s="2946"/>
      <c r="D84" s="2946" t="s">
        <v>2242</v>
      </c>
      <c r="E84" s="213" t="s">
        <v>2243</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2261</v>
      </c>
      <c r="C85" s="207">
        <f ca="1">ROUND(D45/(1+'数据-取费表'!C42),0)</f>
        <v>11245</v>
      </c>
      <c r="D85" s="200" t="s">
        <v>32</v>
      </c>
      <c r="E85" s="2948"/>
      <c r="F85" s="2947"/>
      <c r="G85" s="294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2262</v>
      </c>
      <c r="C86" s="207">
        <f ca="1">IF(H88="仅含出让金",C87+C90+C91+C92+C93+C94,C87+C91+C92+C93+C94)</f>
        <v>67</v>
      </c>
      <c r="D86" s="235"/>
      <c r="E86" s="2948"/>
      <c r="F86" s="2947"/>
      <c r="G86" s="294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2279</v>
      </c>
      <c r="C87" s="225">
        <f>C88+C89</f>
        <v>0</v>
      </c>
      <c r="D87" s="226"/>
      <c r="E87" s="2943"/>
      <c r="F87" s="2944"/>
      <c r="G87" s="2944"/>
      <c r="H87" s="2945"/>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2280</v>
      </c>
      <c r="C88" s="236"/>
      <c r="D88" s="226"/>
      <c r="E88" s="237" t="s">
        <v>2281</v>
      </c>
      <c r="F88" s="2944"/>
      <c r="G88" s="238"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2270</v>
      </c>
      <c r="C89" s="225">
        <f>ROUND(C88*D89,0)</f>
        <v>0</v>
      </c>
      <c r="D89" s="226">
        <f>'数据-取费表'!B48+'数据-取费表'!B49</f>
        <v>3.0499999999999999E-2</v>
      </c>
      <c r="E89" s="237" t="s">
        <v>2283</v>
      </c>
      <c r="F89" s="2944"/>
      <c r="G89" s="2944"/>
      <c r="H89" s="2945"/>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2284</v>
      </c>
      <c r="C90" s="236"/>
      <c r="D90" s="226"/>
      <c r="E90" s="237" t="str">
        <f>IF(H88="-","土地取得成本中已包含该笔费用"," ")</f>
        <v xml:space="preserve"> </v>
      </c>
      <c r="F90" s="2944"/>
      <c r="G90" s="2944"/>
      <c r="H90" s="2945"/>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2285</v>
      </c>
      <c r="B91" s="198" t="s">
        <v>2286</v>
      </c>
      <c r="C91" s="225">
        <f>IF(H91="——",'成本法-办公'!C33,I91)</f>
        <v>0</v>
      </c>
      <c r="D91" s="226"/>
      <c r="E91" s="3142" t="s">
        <v>2287</v>
      </c>
      <c r="F91" s="3143"/>
      <c r="G91" s="3143"/>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2289</v>
      </c>
      <c r="B92" s="198" t="s">
        <v>2290</v>
      </c>
      <c r="C92" s="225">
        <f>ROUND((C87+C90+C91)*D92,0)</f>
        <v>0</v>
      </c>
      <c r="D92" s="226">
        <v>0.1</v>
      </c>
      <c r="E92" s="3142" t="s">
        <v>2291</v>
      </c>
      <c r="F92" s="3143"/>
      <c r="G92" s="3143"/>
      <c r="H92" s="315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2292</v>
      </c>
      <c r="B93" s="198" t="s">
        <v>2273</v>
      </c>
      <c r="C93" s="225">
        <f ca="1">ROUND(D45*D93/(1+'数据-取费表'!C42),0)</f>
        <v>67</v>
      </c>
      <c r="D93" s="226">
        <f>'数据-取费表'!B43</f>
        <v>6.000000000000001E-3</v>
      </c>
      <c r="E93" s="3142" t="s">
        <v>2274</v>
      </c>
      <c r="F93" s="3143"/>
      <c r="G93" s="3143"/>
      <c r="H93" s="315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2293</v>
      </c>
      <c r="B94" s="198" t="s">
        <v>2294</v>
      </c>
      <c r="C94" s="236">
        <f>ROUND((C87+C90+C91)*D94,0)</f>
        <v>0</v>
      </c>
      <c r="D94" s="226">
        <v>0.2</v>
      </c>
      <c r="E94" s="3153" t="s">
        <v>2295</v>
      </c>
      <c r="F94" s="3154"/>
      <c r="G94" s="3154"/>
      <c r="H94" s="315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2275</v>
      </c>
      <c r="C95" s="207">
        <f ca="1">ROUND(C85-C86,0)</f>
        <v>11178</v>
      </c>
      <c r="D95" s="200" t="s">
        <v>32</v>
      </c>
      <c r="E95" s="2948"/>
      <c r="F95" s="2947"/>
      <c r="G95" s="294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2276</v>
      </c>
      <c r="C96" s="227">
        <f ca="1">IF(C95&lt;=0,0,C95/C86)</f>
        <v>166.83582089552237</v>
      </c>
      <c r="D96" s="200" t="s">
        <v>32</v>
      </c>
      <c r="E96" s="2938" t="str">
        <f ca="1">IF(C96&gt;=200%,"增值额超过扣除项目金额200%",IF(C96&gt;=100%,"增值额超过扣除项目金额100%，未超过200%",IF(C96&gt;=50%,"增值额超过扣除项目金额50%，未超过100%",IF(C96&lt;50%,"增值额未超过扣除项目金额50%"))))</f>
        <v>增值额超过扣除项目金额200%</v>
      </c>
      <c r="F96" s="2947"/>
      <c r="G96" s="294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2277</v>
      </c>
      <c r="C97" s="228">
        <f ca="1">ROUND(IF(C95&lt;=0,0,IF(C96&gt;=200%,C95*60%-C86*35%,IF(C96&gt;=100%,C95*50%-C86*15%,IF(C96&gt;=50%,C95*40%-C86*5%,IF(C96&lt;50%,C95*30%,0))))),0)</f>
        <v>6683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2296</v>
      </c>
      <c r="B99" s="2421"/>
      <c r="C99" s="2421"/>
      <c r="D99" s="2421"/>
      <c r="E99" s="2169"/>
      <c r="F99" s="2169"/>
      <c r="G99" s="2169"/>
      <c r="H99" s="2168"/>
      <c r="I99" s="138"/>
    </row>
    <row r="100" spans="1:35" ht="18.75" customHeight="1">
      <c r="A100" s="3127" t="s">
        <v>2297</v>
      </c>
      <c r="B100" s="3128"/>
      <c r="C100" s="3128"/>
      <c r="D100" s="3144"/>
      <c r="E100" s="3128" t="s">
        <v>2298</v>
      </c>
      <c r="F100" s="3128"/>
      <c r="G100" s="3128"/>
      <c r="H100" s="3144"/>
      <c r="I100" s="138"/>
    </row>
    <row r="101" spans="1:35" ht="18.75" customHeight="1">
      <c r="A101" s="3206" t="s">
        <v>2299</v>
      </c>
      <c r="B101" s="3207"/>
      <c r="C101" s="736" t="str">
        <f>C4</f>
        <v>比较法-车位</v>
      </c>
      <c r="D101" s="737" t="str">
        <f>D4</f>
        <v>收益法-车位</v>
      </c>
      <c r="E101" s="3220" t="s">
        <v>2300</v>
      </c>
      <c r="F101" s="3174"/>
      <c r="G101" s="2523" t="s">
        <v>2301</v>
      </c>
      <c r="H101" s="1047">
        <f ca="1">H118</f>
        <v>11807</v>
      </c>
      <c r="I101" s="138"/>
    </row>
    <row r="102" spans="1:35" ht="18.75" customHeight="1">
      <c r="A102" s="3176" t="s">
        <v>2302</v>
      </c>
      <c r="B102" s="2523" t="s">
        <v>2301</v>
      </c>
      <c r="C102" s="736">
        <f ca="1">C19</f>
        <v>15051</v>
      </c>
      <c r="D102" s="737">
        <f ca="1">D19</f>
        <v>6941</v>
      </c>
      <c r="E102" s="3220"/>
      <c r="F102" s="3174"/>
      <c r="G102" s="2523" t="s">
        <v>2303</v>
      </c>
      <c r="H102" s="371">
        <f ca="1">I118</f>
        <v>7154</v>
      </c>
      <c r="I102" s="138"/>
    </row>
    <row r="103" spans="1:35" ht="42.75" customHeight="1">
      <c r="A103" s="3176"/>
      <c r="B103" s="2523" t="s">
        <v>2303</v>
      </c>
      <c r="C103" s="738">
        <f ca="1">C20</f>
        <v>9120</v>
      </c>
      <c r="D103" s="739">
        <f ca="1">D20</f>
        <v>4206</v>
      </c>
      <c r="E103" s="3215" t="s">
        <v>2304</v>
      </c>
      <c r="F103" s="3216"/>
      <c r="G103" s="2524" t="s">
        <v>2305</v>
      </c>
      <c r="H103" s="1047">
        <f>IF(D36="正常操作",H104+H105+H106,H105+H106)</f>
        <v>0</v>
      </c>
      <c r="I103" s="138"/>
    </row>
    <row r="104" spans="1:35" ht="18.75" customHeight="1">
      <c r="A104" s="3176" t="s">
        <v>2306</v>
      </c>
      <c r="B104" s="2525" t="s">
        <v>2301</v>
      </c>
      <c r="C104" s="740">
        <f ca="1">H118</f>
        <v>11807</v>
      </c>
      <c r="D104" s="741"/>
      <c r="E104" s="2269" t="s">
        <v>2307</v>
      </c>
      <c r="F104" s="2261"/>
      <c r="G104" s="2524" t="s">
        <v>2305</v>
      </c>
      <c r="H104" s="1048">
        <f>IF(D36="同一抵押权人同一抵押物续贷",C36&amp;"（未扣减，详见特别提示）",C36)</f>
        <v>0</v>
      </c>
      <c r="I104" s="138"/>
    </row>
    <row r="105" spans="1:35" ht="18.75" customHeight="1" thickBot="1">
      <c r="A105" s="3177"/>
      <c r="B105" s="2526" t="s">
        <v>2303</v>
      </c>
      <c r="C105" s="742">
        <f ca="1">I118</f>
        <v>7154</v>
      </c>
      <c r="D105" s="743"/>
      <c r="E105" s="2269" t="s">
        <v>2308</v>
      </c>
      <c r="F105" s="2261"/>
      <c r="G105" s="2524" t="s">
        <v>2305</v>
      </c>
      <c r="H105" s="1048">
        <f>C37</f>
        <v>0</v>
      </c>
      <c r="I105" s="138"/>
    </row>
    <row r="106" spans="1:35" ht="18.75" customHeight="1">
      <c r="A106" s="2421" t="s">
        <v>2309</v>
      </c>
      <c r="B106" s="2421"/>
      <c r="C106" s="2421"/>
      <c r="D106" s="2421"/>
      <c r="E106" s="2527" t="s">
        <v>2310</v>
      </c>
      <c r="F106" s="2261"/>
      <c r="G106" s="2524" t="s">
        <v>2305</v>
      </c>
      <c r="H106" s="1048">
        <f>C38</f>
        <v>0</v>
      </c>
      <c r="I106" s="138"/>
    </row>
    <row r="107" spans="1:35" ht="18.75" customHeight="1">
      <c r="A107" s="138"/>
      <c r="B107" s="138"/>
      <c r="C107" s="138"/>
      <c r="D107" s="138"/>
      <c r="E107" s="3173" t="str">
        <f>IF(项目基本情况!E8="已注销","——","3.房地产抵押价值")</f>
        <v>3.房地产抵押价值</v>
      </c>
      <c r="F107" s="3174"/>
      <c r="G107" s="2523" t="s">
        <v>2301</v>
      </c>
      <c r="H107" s="1047">
        <f ca="1">IF(E107="——","——",H101-H103)</f>
        <v>11807</v>
      </c>
      <c r="I107" s="138"/>
    </row>
    <row r="108" spans="1:35" ht="18.75" customHeight="1">
      <c r="A108" s="138"/>
      <c r="B108" s="138"/>
      <c r="C108" s="138"/>
      <c r="D108" s="138"/>
      <c r="E108" s="3173"/>
      <c r="F108" s="3174"/>
      <c r="G108" s="2523" t="s">
        <v>2303</v>
      </c>
      <c r="H108" s="371">
        <f ca="1">ROUND(H107*10000/'数据-汇总表'!E3,0)</f>
        <v>4386</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v>
      </c>
      <c r="F109" s="3174"/>
      <c r="G109" s="2523" t="s">
        <v>2301</v>
      </c>
      <c r="H109" s="348" t="str">
        <f>IF(E109="——","——",H101-H105-H106)</f>
        <v>——</v>
      </c>
      <c r="I109" s="138"/>
    </row>
    <row r="110" spans="1:35" ht="18.75" customHeight="1">
      <c r="A110" s="138"/>
      <c r="B110" s="138"/>
      <c r="C110" s="138"/>
      <c r="D110" s="138"/>
      <c r="E110" s="3173"/>
      <c r="F110" s="3174"/>
      <c r="G110" s="2523" t="s">
        <v>2303</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23" t="s">
        <v>2301</v>
      </c>
      <c r="H111" s="1047" t="str">
        <f>IF(E111="——","——",N59)</f>
        <v>——</v>
      </c>
      <c r="I111" s="138"/>
    </row>
    <row r="112" spans="1:35" ht="18.75" customHeight="1" thickBot="1">
      <c r="A112" s="138"/>
      <c r="B112" s="138"/>
      <c r="C112" s="138"/>
      <c r="D112" s="138"/>
      <c r="E112" s="3210"/>
      <c r="F112" s="3211"/>
      <c r="G112" s="2528" t="s">
        <v>2303</v>
      </c>
      <c r="H112" s="790" t="str">
        <f>IF(E111="——","——",N61)</f>
        <v>——</v>
      </c>
      <c r="I112" s="138"/>
    </row>
    <row r="113" spans="1:11" ht="18.75" customHeight="1">
      <c r="A113" s="138"/>
      <c r="B113" s="138"/>
      <c r="C113" s="138"/>
      <c r="D113" s="138"/>
      <c r="E113" s="3178" t="s">
        <v>2309</v>
      </c>
      <c r="F113" s="3178"/>
      <c r="G113" s="3178"/>
      <c r="H113" s="3178"/>
      <c r="I113" s="138"/>
    </row>
    <row r="114" spans="1:11" ht="3.75" customHeight="1">
      <c r="A114" s="2421"/>
      <c r="B114" s="2421"/>
      <c r="C114" s="2421"/>
      <c r="D114" s="2421"/>
      <c r="E114" s="2499"/>
      <c r="F114" s="2499"/>
      <c r="G114" s="2499"/>
      <c r="H114" s="2499"/>
      <c r="I114" s="2421"/>
    </row>
    <row r="115" spans="1:11" ht="18.75" customHeight="1">
      <c r="A115" s="3191" t="s">
        <v>2311</v>
      </c>
      <c r="B115" s="3192"/>
      <c r="C115" s="3192"/>
      <c r="D115" s="3192"/>
      <c r="E115" s="3192"/>
      <c r="F115" s="3192"/>
      <c r="G115" s="3192"/>
      <c r="H115" s="3192"/>
      <c r="I115" s="3193"/>
    </row>
    <row r="116" spans="1:11" ht="27" customHeight="1">
      <c r="A116" s="3084" t="s">
        <v>2312</v>
      </c>
      <c r="B116" s="3179" t="s">
        <v>2313</v>
      </c>
      <c r="C116" s="3179" t="s">
        <v>2314</v>
      </c>
      <c r="D116" s="3195" t="s">
        <v>2315</v>
      </c>
      <c r="E116" s="3196"/>
      <c r="F116" s="3187" t="s">
        <v>2316</v>
      </c>
      <c r="G116" s="3187"/>
      <c r="H116" s="3084" t="s">
        <v>2317</v>
      </c>
      <c r="I116" s="3084"/>
    </row>
    <row r="117" spans="1:11" ht="18.75" customHeight="1">
      <c r="A117" s="3084"/>
      <c r="B117" s="3180"/>
      <c r="C117" s="3180"/>
      <c r="D117" s="2933" t="s">
        <v>2318</v>
      </c>
      <c r="E117" s="2933" t="s">
        <v>2319</v>
      </c>
      <c r="F117" s="2933" t="s">
        <v>2318</v>
      </c>
      <c r="G117" s="2933" t="s">
        <v>2320</v>
      </c>
      <c r="H117" s="2933" t="s">
        <v>2318</v>
      </c>
      <c r="I117" s="2933" t="s">
        <v>2320</v>
      </c>
    </row>
    <row r="118" spans="1:11" ht="24.75" customHeight="1">
      <c r="A118" s="2529" t="str">
        <f>项目基本情况!S2</f>
        <v>北京市房地产</v>
      </c>
      <c r="B118" s="2933">
        <f>M18</f>
        <v>16503.55</v>
      </c>
      <c r="C118" s="2933">
        <f>M19</f>
        <v>2318.62</v>
      </c>
      <c r="D118" s="2933" t="e">
        <f ca="1">ROUND(IF(D32="总价",C34,E118*B118/10000),0)</f>
        <v>#REF!</v>
      </c>
      <c r="E118" s="2933" t="e">
        <f ca="1">ROUND(IF(C33="自定义",IF(D32="楼面单价",C34,D118*10000/B118),I118-G118),0)</f>
        <v>#REF!</v>
      </c>
      <c r="F118" s="2933" t="e">
        <f ca="1">ROUND(IF(D32="总价",C35,G118*B118/10000),0)</f>
        <v>#REF!</v>
      </c>
      <c r="G118" s="2933" t="e">
        <f ca="1">ROUND(IF(D32="楼面单价",C35,F118*10000/B118),0)</f>
        <v>#REF!</v>
      </c>
      <c r="H118" s="2933">
        <f ca="1">ROUND(IF(D32="总价",C32,I118*B118/10000),0)</f>
        <v>11807</v>
      </c>
      <c r="I118" s="2933">
        <f ca="1">ROUND(IF(D32="楼面单价",C32,H118*10000/B118),0)</f>
        <v>7154</v>
      </c>
    </row>
    <row r="119" spans="1:11" ht="18.75" customHeight="1">
      <c r="A119" s="3084" t="s">
        <v>2321</v>
      </c>
      <c r="B119" s="3084"/>
      <c r="C119" s="3084"/>
      <c r="D119" s="3184" t="e">
        <f ca="1">NUMBERSTRING(INT(D118*10000),2)&amp;"元整"</f>
        <v>#REF!</v>
      </c>
      <c r="E119" s="3186"/>
      <c r="F119" s="3184" t="e">
        <f ca="1">NUMBERSTRING(INT(F118*10000),2)&amp;"元整"</f>
        <v>#REF!</v>
      </c>
      <c r="G119" s="3186"/>
      <c r="H119" s="3184" t="str">
        <f ca="1">NUMBERSTRING(INT(H118*10000),2)&amp;"元整"</f>
        <v>壹亿壹仟捌佰零柒万元整</v>
      </c>
      <c r="I119" s="3186"/>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26" t="str">
        <f>IF(D120=0,"故，本次评估不存在"&amp;A120,"故，本次评估"&amp;A120&amp;"为人民币"&amp;D120&amp;"万元整。")</f>
        <v>故，本次评估不存在估价师知悉的法定优先受偿款</v>
      </c>
    </row>
    <row r="121" spans="1:11" ht="18.75" customHeight="1">
      <c r="A121" s="3188" t="s">
        <v>2321</v>
      </c>
      <c r="B121" s="3189"/>
      <c r="C121" s="3190"/>
      <c r="D121" s="3184" t="str">
        <f>IF(D120=0,"零元整",NUMBERSTRING(INT(D120*10000),2)&amp;"元整")</f>
        <v>零元整</v>
      </c>
      <c r="E121" s="3185"/>
      <c r="F121" s="3185"/>
      <c r="G121" s="3185"/>
      <c r="H121" s="3185"/>
      <c r="I121" s="3186"/>
    </row>
    <row r="122" spans="1:11" ht="18.75" customHeight="1">
      <c r="A122" s="3175" t="str">
        <f>IF(项目基本情况!B9="房地产市场价值","",MID(E107,3,LEN(E107)-2))</f>
        <v>房地产抵押价值</v>
      </c>
      <c r="B122" s="3175"/>
      <c r="C122" s="3175"/>
      <c r="D122" s="3212">
        <f ca="1">H107</f>
        <v>11807</v>
      </c>
      <c r="E122" s="3213"/>
      <c r="F122" s="3213"/>
      <c r="G122" s="3213"/>
      <c r="H122" s="3213"/>
      <c r="I122" s="3214"/>
    </row>
    <row r="123" spans="1:11" ht="18.75" customHeight="1">
      <c r="A123" s="3084" t="s">
        <v>2321</v>
      </c>
      <c r="B123" s="3084"/>
      <c r="C123" s="3084"/>
      <c r="D123" s="3184" t="str">
        <f ca="1">NUMBERSTRING(INT(D122*10000),2)&amp;"元整"</f>
        <v>壹亿壹仟捌佰零柒万元整</v>
      </c>
      <c r="E123" s="3185"/>
      <c r="F123" s="3185"/>
      <c r="G123" s="3185"/>
      <c r="H123" s="3185"/>
      <c r="I123" s="3186"/>
    </row>
    <row r="124" spans="1:11" ht="18.75" customHeight="1">
      <c r="A124" s="3175" t="str">
        <f>IF(项目基本情况!B9="房地产市场价值","",MID(E109,3,LEN(E109)-2))</f>
        <v/>
      </c>
      <c r="B124" s="3175"/>
      <c r="C124" s="3175"/>
      <c r="D124" s="3212" t="str">
        <f>H109</f>
        <v>——</v>
      </c>
      <c r="E124" s="3213"/>
      <c r="F124" s="3213"/>
      <c r="G124" s="3213"/>
      <c r="H124" s="3213"/>
      <c r="I124" s="3214"/>
    </row>
    <row r="125" spans="1:11" ht="18.75" customHeight="1">
      <c r="A125" s="3084" t="s">
        <v>2321</v>
      </c>
      <c r="B125" s="3084"/>
      <c r="C125" s="3084"/>
      <c r="D125" s="3184" t="e">
        <f>NUMBERSTRING(INT(D124*10000),2)&amp;"元整"</f>
        <v>#VALUE!</v>
      </c>
      <c r="E125" s="3185"/>
      <c r="F125" s="3185"/>
      <c r="G125" s="3185"/>
      <c r="H125" s="3185"/>
      <c r="I125" s="3186"/>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84" t="s">
        <v>2321</v>
      </c>
      <c r="B127" s="3084"/>
      <c r="C127" s="3084"/>
      <c r="D127" s="3184" t="e">
        <f>NUMBERSTRING(INT(D126*10000),2)&amp;"元整"</f>
        <v>#VALUE!</v>
      </c>
      <c r="E127" s="3185"/>
      <c r="F127" s="3185"/>
      <c r="G127" s="3185"/>
      <c r="H127" s="3185"/>
      <c r="I127" s="3186"/>
    </row>
    <row r="128" spans="1:11" ht="21.75" customHeight="1">
      <c r="A128" s="3194" t="s">
        <v>2322</v>
      </c>
      <c r="B128" s="3194"/>
      <c r="C128" s="3194"/>
      <c r="D128" s="3194"/>
      <c r="E128" s="3194"/>
      <c r="F128" s="3194"/>
      <c r="G128" s="3194"/>
      <c r="H128" s="3194"/>
      <c r="I128" s="3194"/>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2325</v>
      </c>
      <c r="G135" s="2547"/>
      <c r="H135" s="2547"/>
      <c r="I135" s="2548" t="s">
        <v>2326</v>
      </c>
    </row>
    <row r="136" spans="1:35" ht="21.75" customHeight="1">
      <c r="A136" s="795"/>
      <c r="B136" s="2549"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2328</v>
      </c>
    </row>
    <row r="139" spans="1:35" ht="21.75" customHeight="1">
      <c r="A139" s="795"/>
      <c r="B139" s="2549" t="s">
        <v>2329</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2328</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7" priority="10" stopIfTrue="1" operator="equal">
      <formula>25</formula>
    </cfRule>
  </conditionalFormatting>
  <conditionalFormatting sqref="C8:C9">
    <cfRule type="cellIs" dxfId="166" priority="9" stopIfTrue="1" operator="equal">
      <formula>15</formula>
    </cfRule>
  </conditionalFormatting>
  <conditionalFormatting sqref="C14:C16">
    <cfRule type="cellIs" dxfId="165" priority="8" stopIfTrue="1" operator="equal">
      <formula>30</formula>
    </cfRule>
  </conditionalFormatting>
  <conditionalFormatting sqref="D5:D7">
    <cfRule type="cellIs" dxfId="164" priority="7" stopIfTrue="1" operator="equal">
      <formula>25</formula>
    </cfRule>
  </conditionalFormatting>
  <conditionalFormatting sqref="D8:D9">
    <cfRule type="cellIs" dxfId="163" priority="6" stopIfTrue="1" operator="equal">
      <formula>15</formula>
    </cfRule>
  </conditionalFormatting>
  <conditionalFormatting sqref="C10:D13">
    <cfRule type="cellIs" dxfId="162" priority="5" stopIfTrue="1" operator="equal">
      <formula>15</formula>
    </cfRule>
  </conditionalFormatting>
  <conditionalFormatting sqref="D14:D16">
    <cfRule type="cellIs" dxfId="161" priority="4"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2121</v>
      </c>
      <c r="B1" s="2421"/>
      <c r="C1" s="2422" t="s">
        <v>3051</v>
      </c>
      <c r="D1" s="2421"/>
      <c r="E1" s="2421"/>
      <c r="F1" s="2423" t="s">
        <v>2122</v>
      </c>
      <c r="G1" s="2073" t="s">
        <v>3113</v>
      </c>
      <c r="H1" s="2424" t="str">
        <f>IF(G1="现房","——","估价对象范围")</f>
        <v>——</v>
      </c>
      <c r="I1" s="2425" t="s">
        <v>3114</v>
      </c>
    </row>
    <row r="2" spans="1:12" ht="21.75" customHeight="1" thickBot="1">
      <c r="A2" s="3166" t="str">
        <f>项目基本情况!S2</f>
        <v>北京市房地产</v>
      </c>
      <c r="B2" s="3167"/>
      <c r="C2" s="3167"/>
      <c r="D2" s="3167"/>
      <c r="E2" s="3167"/>
      <c r="F2" s="3167"/>
      <c r="G2" s="3167"/>
      <c r="H2" s="3167"/>
      <c r="I2" s="3168"/>
    </row>
    <row r="3" spans="1:12" ht="12.75">
      <c r="A3" s="3170" t="s">
        <v>2123</v>
      </c>
      <c r="B3" s="3171"/>
      <c r="C3" s="3171"/>
      <c r="D3" s="3171"/>
      <c r="E3" s="3171"/>
      <c r="F3" s="3171"/>
      <c r="G3" s="3171"/>
      <c r="H3" s="3171"/>
      <c r="I3" s="3171"/>
    </row>
    <row r="4" spans="1:12" ht="14.25">
      <c r="A4" s="2428" t="s">
        <v>2124</v>
      </c>
      <c r="B4" s="2429" t="s">
        <v>2125</v>
      </c>
      <c r="C4" s="2430" t="s">
        <v>3163</v>
      </c>
      <c r="D4" s="2430" t="s">
        <v>3107</v>
      </c>
      <c r="E4" s="3163" t="s">
        <v>2126</v>
      </c>
      <c r="F4" s="3164"/>
      <c r="G4" s="3164"/>
      <c r="H4" s="3164"/>
      <c r="I4" s="3172"/>
      <c r="K4" s="2431" t="str">
        <f>IF(ISNUMBER(FIND("比较法",'结果表-地下商业'!C4)),"比较法",IF(ISNUMBER(FIND("成本法",'结果表-地下商业'!C4)),"成本法",IF(ISNUMBER(FIND("假设开发法",'结果表-地下商业'!C4)),"假设开发法",IF(ISNUMBER(FIND("收益法",'结果表-地下商业'!C4)),"收益法","基准地价系数修正法"))))</f>
        <v>成本法</v>
      </c>
      <c r="L4" s="2431" t="str">
        <f>IF(ISNUMBER(FIND("比较法",'结果表-地下商业'!D4)),"比较法",IF(ISNUMBER(FIND("成本法",'结果表-地下商业'!D4)),"成本法",IF(ISNUMBER(FIND("假设开发法",'结果表-地下商业'!D4)),"假设开发法",IF(ISNUMBER(FIND("收益法",'结果表-地下商业'!D4)),"收益法","基准地价系数修正法"))))</f>
        <v>收益法</v>
      </c>
    </row>
    <row r="5" spans="1:12" ht="12.75">
      <c r="A5" s="3146" t="s">
        <v>2127</v>
      </c>
      <c r="B5" s="3084">
        <v>25</v>
      </c>
      <c r="C5" s="3149"/>
      <c r="D5" s="3169"/>
      <c r="E5" s="140" t="s">
        <v>2128</v>
      </c>
      <c r="F5" s="2432"/>
      <c r="G5" s="2432"/>
      <c r="H5" s="2432"/>
      <c r="I5" s="1833"/>
    </row>
    <row r="6" spans="1:12" ht="12.75">
      <c r="A6" s="3146"/>
      <c r="B6" s="3084"/>
      <c r="C6" s="3150"/>
      <c r="D6" s="3169"/>
      <c r="E6" s="140" t="s">
        <v>2129</v>
      </c>
      <c r="F6" s="2432"/>
      <c r="G6" s="2432"/>
      <c r="H6" s="2432"/>
      <c r="I6" s="1833"/>
    </row>
    <row r="7" spans="1:12" ht="12.75">
      <c r="A7" s="3146"/>
      <c r="B7" s="3084"/>
      <c r="C7" s="3151"/>
      <c r="D7" s="3169"/>
      <c r="E7" s="140" t="s">
        <v>2130</v>
      </c>
      <c r="F7" s="2432"/>
      <c r="G7" s="2432"/>
      <c r="H7" s="2432"/>
      <c r="I7" s="1833"/>
    </row>
    <row r="8" spans="1:12" ht="12.75">
      <c r="A8" s="3146" t="s">
        <v>2131</v>
      </c>
      <c r="B8" s="3084">
        <v>15</v>
      </c>
      <c r="C8" s="3149"/>
      <c r="D8" s="3169"/>
      <c r="E8" s="140" t="s">
        <v>2132</v>
      </c>
      <c r="F8" s="2432"/>
      <c r="G8" s="2432"/>
      <c r="H8" s="2432"/>
      <c r="I8" s="1833"/>
    </row>
    <row r="9" spans="1:12" ht="12.75">
      <c r="A9" s="3146"/>
      <c r="B9" s="3084"/>
      <c r="C9" s="3151"/>
      <c r="D9" s="3169"/>
      <c r="E9" s="140" t="s">
        <v>2133</v>
      </c>
      <c r="F9" s="2432"/>
      <c r="G9" s="2432"/>
      <c r="H9" s="2432"/>
      <c r="I9" s="1833"/>
    </row>
    <row r="10" spans="1:12" ht="12.75">
      <c r="A10" s="3146" t="s">
        <v>2134</v>
      </c>
      <c r="B10" s="3084">
        <v>15</v>
      </c>
      <c r="C10" s="3149"/>
      <c r="D10" s="3169"/>
      <c r="E10" s="140" t="s">
        <v>2135</v>
      </c>
      <c r="F10" s="2432"/>
      <c r="G10" s="2432"/>
      <c r="H10" s="2432"/>
      <c r="I10" s="1833"/>
    </row>
    <row r="11" spans="1:12" ht="12.75">
      <c r="A11" s="3146"/>
      <c r="B11" s="3084"/>
      <c r="C11" s="3151"/>
      <c r="D11" s="3169"/>
      <c r="E11" s="140" t="s">
        <v>2136</v>
      </c>
      <c r="F11" s="2432"/>
      <c r="G11" s="2432"/>
      <c r="H11" s="2432"/>
      <c r="I11" s="1833"/>
    </row>
    <row r="12" spans="1:12" ht="12.75">
      <c r="A12" s="3146" t="s">
        <v>2137</v>
      </c>
      <c r="B12" s="3084">
        <v>15</v>
      </c>
      <c r="C12" s="3149"/>
      <c r="D12" s="3169"/>
      <c r="E12" s="140" t="s">
        <v>2138</v>
      </c>
      <c r="F12" s="2432"/>
      <c r="G12" s="2432"/>
      <c r="H12" s="2432"/>
      <c r="I12" s="1833"/>
    </row>
    <row r="13" spans="1:12" ht="12.75">
      <c r="A13" s="3146"/>
      <c r="B13" s="3084"/>
      <c r="C13" s="3151"/>
      <c r="D13" s="3169"/>
      <c r="E13" s="140" t="s">
        <v>2139</v>
      </c>
      <c r="F13" s="2432"/>
      <c r="G13" s="2432"/>
      <c r="H13" s="2432"/>
      <c r="I13" s="1833"/>
    </row>
    <row r="14" spans="1:12" ht="12.75">
      <c r="A14" s="3146" t="s">
        <v>2140</v>
      </c>
      <c r="B14" s="3084">
        <v>30</v>
      </c>
      <c r="C14" s="3149">
        <v>4</v>
      </c>
      <c r="D14" s="3169">
        <v>6</v>
      </c>
      <c r="E14" s="140" t="s">
        <v>2141</v>
      </c>
      <c r="F14" s="2432"/>
      <c r="G14" s="2432"/>
      <c r="H14" s="2432"/>
      <c r="I14" s="1833"/>
    </row>
    <row r="15" spans="1:12" ht="12.75">
      <c r="A15" s="3146"/>
      <c r="B15" s="3084"/>
      <c r="C15" s="3150"/>
      <c r="D15" s="3169"/>
      <c r="E15" s="140" t="s">
        <v>2142</v>
      </c>
      <c r="F15" s="2432"/>
      <c r="G15" s="2432"/>
      <c r="H15" s="2432"/>
      <c r="I15" s="1833"/>
    </row>
    <row r="16" spans="1:12" ht="12.75">
      <c r="A16" s="3146"/>
      <c r="B16" s="3084"/>
      <c r="C16" s="3151"/>
      <c r="D16" s="3169"/>
      <c r="E16" s="140" t="s">
        <v>2143</v>
      </c>
      <c r="F16" s="2432"/>
      <c r="G16" s="2432"/>
      <c r="H16" s="2432"/>
      <c r="I16" s="1833"/>
    </row>
    <row r="17" spans="1:35" ht="15">
      <c r="A17" s="2433" t="s">
        <v>2144</v>
      </c>
      <c r="B17" s="64"/>
      <c r="C17" s="141">
        <f>SUM(C5:C16)</f>
        <v>4</v>
      </c>
      <c r="D17" s="141">
        <f>SUM(D5:D16)</f>
        <v>6</v>
      </c>
      <c r="E17" s="138"/>
      <c r="F17" s="138"/>
      <c r="G17" s="138"/>
      <c r="H17" s="138"/>
      <c r="I17" s="138"/>
      <c r="K17" s="2431"/>
      <c r="L17" s="2434" t="s">
        <v>2145</v>
      </c>
      <c r="M17" s="2434" t="s">
        <v>2146</v>
      </c>
    </row>
    <row r="18" spans="1:35" ht="15.75" thickBot="1">
      <c r="A18" s="2435" t="s">
        <v>2147</v>
      </c>
      <c r="B18" s="2436"/>
      <c r="C18" s="142">
        <f>ROUND(C17/SUM(C17:D17),2)</f>
        <v>0.4</v>
      </c>
      <c r="D18" s="142">
        <f>1-C18</f>
        <v>0.6</v>
      </c>
      <c r="E18" s="138"/>
      <c r="F18" s="138"/>
      <c r="G18" s="138"/>
      <c r="H18" s="138"/>
      <c r="I18" s="138"/>
      <c r="K18" s="2431" t="s">
        <v>2148</v>
      </c>
      <c r="L18" s="2431">
        <f>IF(C1="",'数据-汇总表'!E3,SUMIF(项目类型,C1,'数据-汇总表'!E17:E26)+SUMIF(项目类型,C1,'数据-汇总表'!I17:I26))</f>
        <v>4129.8999999999996</v>
      </c>
      <c r="M18" s="2431">
        <f>IF(C1="",'数据-汇总表'!E3,SUMIF(项目类型,C1,'数据-汇总表'!E17:E26))</f>
        <v>4129.8999999999996</v>
      </c>
    </row>
    <row r="19" spans="1:35" ht="15">
      <c r="A19" s="2437" t="s">
        <v>2149</v>
      </c>
      <c r="B19" s="2438" t="s">
        <v>2150</v>
      </c>
      <c r="C19" s="143">
        <f ca="1">SUMIF(INDIRECT("'"&amp;C4&amp;"'"&amp;"!A:A"),'结果表-地下商业'!B19,INDIRECT("'"&amp;C4&amp;"'"&amp;"!B:B"))</f>
        <v>17602</v>
      </c>
      <c r="D19" s="144">
        <f ca="1">SUMIF(INDIRECT("'"&amp;D4&amp;"'"&amp;"!A:A"),'结果表-地下商业'!B19,INDIRECT("'"&amp;D4&amp;"'"&amp;"!B:B"))</f>
        <v>9248</v>
      </c>
      <c r="E19" s="2437" t="s">
        <v>2151</v>
      </c>
      <c r="F19" s="2438" t="s">
        <v>2150</v>
      </c>
      <c r="G19" s="145">
        <f ca="1">ROUND(C19*$C$18+D19*$D$18,0)</f>
        <v>12590</v>
      </c>
      <c r="H19" s="2439" t="s">
        <v>2152</v>
      </c>
      <c r="I19" s="138"/>
      <c r="K19" s="2431" t="s">
        <v>2153</v>
      </c>
      <c r="L19" s="2431">
        <f>IF(C1="",'数据-汇总表'!D3,SUMIF(项目类型,C1,'数据-汇总表'!D17:D26)+SUMIF(项目类型,C1,'数据-汇总表'!H17:H27))</f>
        <v>580.22</v>
      </c>
      <c r="M19" s="2431">
        <f>IF(C1="",'数据-汇总表'!D3,SUMIF(项目类型,C1,'数据-汇总表'!D17:D26))</f>
        <v>580.22</v>
      </c>
    </row>
    <row r="20" spans="1:35" ht="15">
      <c r="A20" s="2440"/>
      <c r="B20" s="1249" t="s">
        <v>2154</v>
      </c>
      <c r="C20" s="146">
        <f ca="1">SUMIF(INDIRECT("'"&amp;C4&amp;"'"&amp;"!A:A"),'结果表-地下商业'!B20,INDIRECT("'"&amp;C4&amp;"'"&amp;"!B:B"))</f>
        <v>42621</v>
      </c>
      <c r="D20" s="147">
        <f ca="1">SUMIF(INDIRECT("'"&amp;D4&amp;"'"&amp;"!A:A"),'结果表-地下商业'!B20,INDIRECT("'"&amp;D4&amp;"'"&amp;"!B:B"))</f>
        <v>22393</v>
      </c>
      <c r="E20" s="2440"/>
      <c r="F20" s="1249" t="s">
        <v>2154</v>
      </c>
      <c r="G20" s="148">
        <f ca="1">ROUND(C20*$C$18+D20*$D$18,0)</f>
        <v>30484</v>
      </c>
      <c r="H20" s="982" t="s">
        <v>2155</v>
      </c>
      <c r="I20" s="138"/>
    </row>
    <row r="21" spans="1:35" ht="15" customHeight="1" thickBot="1">
      <c r="A21" s="1002"/>
      <c r="B21" s="2441" t="s">
        <v>2156</v>
      </c>
      <c r="C21" s="789">
        <f ca="1">ROUND(C19*10000/L19,0)</f>
        <v>303368</v>
      </c>
      <c r="D21" s="790">
        <f ca="1">ROUND(D19*10000/L19,0)</f>
        <v>159388</v>
      </c>
      <c r="E21" s="1002"/>
      <c r="F21" s="2441" t="s">
        <v>2156</v>
      </c>
      <c r="G21" s="149">
        <f ca="1">ROUND(G19*10000/L19,0)</f>
        <v>216987</v>
      </c>
      <c r="H21" s="2442" t="s">
        <v>2155</v>
      </c>
      <c r="I21" s="138"/>
    </row>
    <row r="22" spans="1:35" ht="15" thickBot="1">
      <c r="A22" s="2283" t="s">
        <v>2157</v>
      </c>
      <c r="B22" s="2443"/>
      <c r="C22" s="2444"/>
      <c r="D22" s="791">
        <f ca="1">IF(C19&lt;D19,D19/C19-1,C19/D19-1)</f>
        <v>0.90333044982698962</v>
      </c>
      <c r="E22" s="138"/>
      <c r="F22" s="138"/>
      <c r="G22" s="138"/>
      <c r="H22" s="138"/>
      <c r="I22" s="138"/>
    </row>
    <row r="23" spans="1:35" ht="13.5" thickBot="1">
      <c r="A23" s="2421"/>
      <c r="B23" s="2421"/>
      <c r="C23" s="2421"/>
      <c r="D23" s="2421"/>
      <c r="E23" s="138"/>
      <c r="F23" s="138"/>
      <c r="G23" s="138"/>
      <c r="H23" s="138"/>
      <c r="I23" s="138"/>
    </row>
    <row r="24" spans="1:35" ht="14.25">
      <c r="A24" s="3140" t="s">
        <v>2158</v>
      </c>
      <c r="B24" s="2438" t="s">
        <v>2150</v>
      </c>
      <c r="C24" s="145">
        <f>IF(B30=0,0,D30)</f>
        <v>0</v>
      </c>
      <c r="D24" s="2445"/>
      <c r="E24" s="138"/>
      <c r="F24" s="138"/>
      <c r="G24" s="138"/>
      <c r="H24" s="138"/>
      <c r="I24" s="138"/>
    </row>
    <row r="25" spans="1:35" ht="14.25">
      <c r="A25" s="3141"/>
      <c r="B25" s="1249" t="s">
        <v>2154</v>
      </c>
      <c r="C25" s="150">
        <f>IF(B30=0,0,C30)</f>
        <v>0</v>
      </c>
      <c r="D25" s="2446"/>
      <c r="E25" s="138"/>
      <c r="F25" s="138"/>
      <c r="G25" s="138"/>
      <c r="H25" s="138"/>
      <c r="I25" s="138"/>
    </row>
    <row r="26" spans="1:35" ht="13.5" customHeight="1">
      <c r="A26" s="2447" t="s">
        <v>2159</v>
      </c>
      <c r="B26" s="151" t="s">
        <v>2160</v>
      </c>
      <c r="C26" s="151" t="s">
        <v>2161</v>
      </c>
      <c r="D26" s="152" t="s">
        <v>2162</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2163</v>
      </c>
      <c r="B30" s="151"/>
      <c r="C30" s="151"/>
      <c r="D30" s="151"/>
      <c r="E30" s="2930" t="s">
        <v>3044</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2164</v>
      </c>
      <c r="B32" s="2451"/>
      <c r="C32" s="153">
        <f ca="1">IF(D32="总价",G19-C24,G20-C25)</f>
        <v>12590</v>
      </c>
      <c r="D32" s="2452" t="s">
        <v>2165</v>
      </c>
      <c r="E32" s="138"/>
      <c r="F32" s="138"/>
      <c r="G32" s="138"/>
      <c r="H32" s="138"/>
      <c r="I32" s="138"/>
    </row>
    <row r="33" spans="1:15" ht="15">
      <c r="A33" s="959" t="s">
        <v>2166</v>
      </c>
      <c r="B33" s="2453"/>
      <c r="C33" s="2454"/>
      <c r="D33" s="2455"/>
      <c r="E33" s="2456" t="s">
        <v>2167</v>
      </c>
      <c r="F33" s="2932" t="str">
        <f>IF(D32="楼面单价","取值（单价）","取值（总价）")</f>
        <v>取值（总价）</v>
      </c>
      <c r="G33" s="138"/>
      <c r="H33" s="138"/>
      <c r="I33" s="138"/>
    </row>
    <row r="34" spans="1:15" ht="15">
      <c r="A34" s="2458"/>
      <c r="B34" s="2459"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8"/>
      <c r="H34" s="138"/>
      <c r="I34" s="138"/>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3"/>
      <c r="G35" s="138"/>
      <c r="H35" s="138"/>
      <c r="I35" s="138"/>
    </row>
    <row r="36" spans="1:15" ht="15.75" thickBot="1">
      <c r="A36" s="3158" t="s">
        <v>2172</v>
      </c>
      <c r="B36" s="2464" t="s">
        <v>2173</v>
      </c>
      <c r="C36" s="154"/>
      <c r="D36" s="2465"/>
      <c r="E36" s="2466"/>
      <c r="F36" s="2467"/>
      <c r="G36" s="138"/>
      <c r="H36" s="138"/>
      <c r="I36" s="138"/>
    </row>
    <row r="37" spans="1:15" ht="15.75" thickBot="1">
      <c r="A37" s="3159"/>
      <c r="B37" s="2269" t="s">
        <v>2174</v>
      </c>
      <c r="C37" s="156"/>
      <c r="D37" s="1394"/>
      <c r="E37" s="1394"/>
      <c r="F37" s="2467"/>
      <c r="G37" s="138"/>
      <c r="H37" s="138"/>
      <c r="I37" s="138"/>
    </row>
    <row r="38" spans="1:15" ht="15.75" thickBot="1">
      <c r="A38" s="3160"/>
      <c r="B38" s="2468" t="s">
        <v>2175</v>
      </c>
      <c r="C38" s="727"/>
      <c r="D38" s="2469" t="s">
        <v>2176</v>
      </c>
      <c r="E38" s="1394"/>
      <c r="F38" s="2467"/>
      <c r="G38" s="138"/>
      <c r="H38" s="138"/>
      <c r="I38" s="138"/>
    </row>
    <row r="39" spans="1:15" ht="15">
      <c r="A39" s="2440" t="s">
        <v>2177</v>
      </c>
      <c r="B39" s="2470" t="s">
        <v>2160</v>
      </c>
      <c r="C39" s="2471" t="s">
        <v>2161</v>
      </c>
      <c r="D39" s="2471" t="s">
        <v>2180</v>
      </c>
      <c r="E39" s="2472" t="s">
        <v>2162</v>
      </c>
      <c r="F39" s="2467"/>
      <c r="G39" s="138"/>
      <c r="H39" s="138"/>
      <c r="I39" s="138"/>
    </row>
    <row r="40" spans="1:15" ht="14.25">
      <c r="A40" s="2473" t="s">
        <v>2182</v>
      </c>
      <c r="B40" s="158"/>
      <c r="C40" s="159"/>
      <c r="D40" s="159"/>
      <c r="E40" s="160"/>
      <c r="F40" s="2467"/>
      <c r="G40" s="138"/>
      <c r="H40" s="138"/>
      <c r="I40" s="138"/>
    </row>
    <row r="41" spans="1:15" ht="14.25">
      <c r="A41" s="2473" t="s">
        <v>2183</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137" t="s">
        <v>2186</v>
      </c>
      <c r="B45" s="3138"/>
      <c r="C45" s="3139"/>
      <c r="D45" s="164">
        <f ca="1">ROUND(H101*F45,0)</f>
        <v>12590</v>
      </c>
      <c r="E45" s="165" t="s">
        <v>2187</v>
      </c>
      <c r="F45" s="166">
        <v>1</v>
      </c>
      <c r="G45" s="167" t="s">
        <v>2188</v>
      </c>
      <c r="H45" s="138"/>
      <c r="I45" s="138"/>
      <c r="J45" s="3197" t="s">
        <v>2189</v>
      </c>
      <c r="K45" s="3197"/>
      <c r="L45" s="3197"/>
      <c r="M45" s="3197"/>
      <c r="N45" s="3197"/>
      <c r="O45" s="3197"/>
    </row>
    <row r="46" spans="1:15" ht="14.25" customHeight="1">
      <c r="A46" s="3134" t="s">
        <v>2190</v>
      </c>
      <c r="B46" s="3135"/>
      <c r="C46" s="3135"/>
      <c r="D46" s="3135"/>
      <c r="E46" s="3135"/>
      <c r="F46" s="3135"/>
      <c r="G46" s="3136"/>
      <c r="H46" s="2483"/>
      <c r="I46" s="168"/>
      <c r="J46" s="2941">
        <v>1</v>
      </c>
      <c r="K46" s="3197" t="s">
        <v>2191</v>
      </c>
      <c r="L46" s="3197"/>
      <c r="M46" s="3217"/>
      <c r="N46" s="3217"/>
      <c r="O46" s="3217"/>
    </row>
    <row r="47" spans="1:15" ht="12" customHeight="1">
      <c r="A47" s="169" t="s">
        <v>2192</v>
      </c>
      <c r="B47" s="170"/>
      <c r="C47" s="171"/>
      <c r="D47" s="172" t="s">
        <v>2193</v>
      </c>
      <c r="E47" s="24" t="s">
        <v>2194</v>
      </c>
      <c r="F47" s="173" t="s">
        <v>2195</v>
      </c>
      <c r="G47" s="174" t="s">
        <v>2196</v>
      </c>
      <c r="H47" s="2483"/>
      <c r="I47" s="168"/>
      <c r="J47" s="2941">
        <v>2</v>
      </c>
      <c r="K47" s="3197" t="s">
        <v>2197</v>
      </c>
      <c r="L47" s="3197"/>
      <c r="M47" s="3218">
        <f>'数据-取费表'!B2</f>
        <v>43157</v>
      </c>
      <c r="N47" s="3218"/>
      <c r="O47" s="3218"/>
    </row>
    <row r="48" spans="1:15" ht="25.5">
      <c r="A48" s="3165" t="s">
        <v>2198</v>
      </c>
      <c r="B48" s="3148"/>
      <c r="C48" s="3148"/>
      <c r="D48" s="140">
        <f>IF(H48="情况1",0,IF(H48="情况2",D52,IF(H48="情况3",D53,IF(H48="情况4",D54))))</f>
        <v>0</v>
      </c>
      <c r="E48" s="2950" t="str">
        <f>IF(H48="情况4","(销售额-原购置价)×税（费）率","销售额×税（费）率")</f>
        <v>销售额×税（费）率</v>
      </c>
      <c r="F48" s="175" t="str">
        <f>IF(H48="情况1","免征",'数据-取费表'!B41)</f>
        <v>免征</v>
      </c>
      <c r="G48" s="2484" t="s">
        <v>2199</v>
      </c>
      <c r="H48" s="2485" t="s">
        <v>2200</v>
      </c>
      <c r="I48" s="2483"/>
      <c r="J48" s="2941">
        <v>3</v>
      </c>
      <c r="K48" s="3197" t="s">
        <v>2201</v>
      </c>
      <c r="L48" s="3197"/>
      <c r="M48" s="3219">
        <f ca="1">H101</f>
        <v>12590</v>
      </c>
      <c r="N48" s="3219"/>
      <c r="O48" s="3219"/>
    </row>
    <row r="49" spans="1:35" ht="25.5" customHeight="1">
      <c r="A49" s="176" t="s">
        <v>2202</v>
      </c>
      <c r="B49" s="3133" t="s">
        <v>2203</v>
      </c>
      <c r="C49" s="3133"/>
      <c r="D49" s="177">
        <v>0</v>
      </c>
      <c r="E49" s="23" t="s">
        <v>2204</v>
      </c>
      <c r="F49" s="28" t="s">
        <v>34</v>
      </c>
      <c r="G49" s="3203"/>
      <c r="H49" s="138"/>
      <c r="I49" s="2486"/>
      <c r="J49" s="2941">
        <v>4</v>
      </c>
      <c r="K49" s="3197" t="str">
        <f>IF(项目基本情况!E8="房地产抵押价值","房地产抵押价值","抵押担保权已注销时的房地产抵押价值")</f>
        <v>房地产抵押价值</v>
      </c>
      <c r="L49" s="3197"/>
      <c r="M49" s="3219">
        <f ca="1">IF(项目基本情况!E8="房地产抵押价值",H107,H109)</f>
        <v>12590</v>
      </c>
      <c r="N49" s="3219"/>
      <c r="O49" s="3219"/>
    </row>
    <row r="50" spans="1:35" ht="25.5" customHeight="1">
      <c r="A50" s="178"/>
      <c r="B50" s="3133" t="s">
        <v>2205</v>
      </c>
      <c r="C50" s="3133"/>
      <c r="D50" s="179"/>
      <c r="E50" s="31"/>
      <c r="F50" s="180"/>
      <c r="G50" s="3204"/>
      <c r="H50" s="138"/>
      <c r="I50" s="2486"/>
      <c r="J50" s="3197" t="s">
        <v>2206</v>
      </c>
      <c r="K50" s="3197"/>
      <c r="L50" s="3197"/>
      <c r="M50" s="3197"/>
      <c r="N50" s="3197"/>
      <c r="O50" s="3197"/>
    </row>
    <row r="51" spans="1:35" ht="12" customHeight="1">
      <c r="A51" s="181"/>
      <c r="B51" s="3133" t="s">
        <v>2207</v>
      </c>
      <c r="C51" s="3133"/>
      <c r="D51" s="182"/>
      <c r="E51" s="30"/>
      <c r="F51" s="180"/>
      <c r="G51" s="3205"/>
      <c r="H51" s="138"/>
      <c r="I51" s="2486"/>
      <c r="J51" s="2934" t="s">
        <v>2208</v>
      </c>
      <c r="K51" s="3197" t="s">
        <v>2209</v>
      </c>
      <c r="L51" s="3197"/>
      <c r="M51" s="2934" t="s">
        <v>2210</v>
      </c>
      <c r="N51" s="2934" t="s">
        <v>2211</v>
      </c>
      <c r="O51" s="2934" t="s">
        <v>2212</v>
      </c>
    </row>
    <row r="52" spans="1:35" ht="24" customHeight="1">
      <c r="A52" s="183" t="s">
        <v>2213</v>
      </c>
      <c r="B52" s="3133" t="s">
        <v>2214</v>
      </c>
      <c r="C52" s="3133"/>
      <c r="D52" s="182">
        <f ca="1">ROUND(D45*'数据-取费表'!B41/(1+'数据-取费表'!C42),0)</f>
        <v>671</v>
      </c>
      <c r="E52" s="11" t="s">
        <v>2215</v>
      </c>
      <c r="F52" s="184">
        <f>'数据-取费表'!B41</f>
        <v>5.6000000000000001E-2</v>
      </c>
      <c r="G52" s="2488"/>
      <c r="H52" s="138"/>
      <c r="I52" s="2486"/>
      <c r="J52" s="2941">
        <v>1</v>
      </c>
      <c r="K52" s="3198" t="s">
        <v>2216</v>
      </c>
      <c r="L52" s="3198"/>
      <c r="M52" s="1753">
        <f>D48</f>
        <v>0</v>
      </c>
      <c r="N52" s="2941" t="str">
        <f>E48</f>
        <v>销售额×税（费）率</v>
      </c>
      <c r="O52" s="1754" t="str">
        <f>F48</f>
        <v>免征</v>
      </c>
    </row>
    <row r="53" spans="1:35" ht="12" customHeight="1">
      <c r="A53" s="183" t="s">
        <v>2217</v>
      </c>
      <c r="B53" s="3156" t="s">
        <v>2218</v>
      </c>
      <c r="C53" s="3157"/>
      <c r="D53" s="182">
        <f ca="1">ROUND(D45*'数据-取费表'!B41/(1+'数据-取费表'!C42),0)</f>
        <v>671</v>
      </c>
      <c r="E53" s="11" t="s">
        <v>2215</v>
      </c>
      <c r="F53" s="184">
        <f>'数据-取费表'!B41</f>
        <v>5.6000000000000001E-2</v>
      </c>
      <c r="G53" s="2488"/>
      <c r="H53" s="138"/>
      <c r="I53" s="2486"/>
      <c r="J53" s="2941">
        <v>2</v>
      </c>
      <c r="K53" s="3198" t="s">
        <v>2219</v>
      </c>
      <c r="L53" s="3198"/>
      <c r="M53" s="1753">
        <f t="shared" ref="M53:O54" ca="1" si="0">D55</f>
        <v>6</v>
      </c>
      <c r="N53" s="2941" t="str">
        <f t="shared" si="0"/>
        <v>销售额×税（费）率</v>
      </c>
      <c r="O53" s="1754">
        <f t="shared" si="0"/>
        <v>5.0000000000000001E-4</v>
      </c>
    </row>
    <row r="54" spans="1:35" ht="12" customHeight="1">
      <c r="A54" s="183" t="s">
        <v>2220</v>
      </c>
      <c r="B54" s="3156" t="s">
        <v>2221</v>
      </c>
      <c r="C54" s="3157"/>
      <c r="D54" s="182">
        <f ca="1">C68</f>
        <v>671</v>
      </c>
      <c r="E54" s="30" t="s">
        <v>2222</v>
      </c>
      <c r="F54" s="184">
        <f>'数据-取费表'!B41</f>
        <v>5.6000000000000001E-2</v>
      </c>
      <c r="G54" s="2488"/>
      <c r="H54" s="2489"/>
      <c r="I54" s="2486"/>
      <c r="J54" s="2941">
        <v>3</v>
      </c>
      <c r="K54" s="3198" t="s">
        <v>2223</v>
      </c>
      <c r="L54" s="3198"/>
      <c r="M54" s="1753">
        <f t="shared" ca="1" si="0"/>
        <v>7126</v>
      </c>
      <c r="N54" s="2941" t="str">
        <f t="shared" si="0"/>
        <v>增值额×税（费）率</v>
      </c>
      <c r="O54" s="1755" t="str">
        <f t="shared" si="0"/>
        <v>——</v>
      </c>
    </row>
    <row r="55" spans="1:35" ht="24" customHeight="1">
      <c r="A55" s="3147" t="s">
        <v>2224</v>
      </c>
      <c r="B55" s="3148"/>
      <c r="C55" s="3148"/>
      <c r="D55" s="185">
        <f ca="1">IF(H55="个人住宅",0,ROUND(D45*I55,0))</f>
        <v>6</v>
      </c>
      <c r="E55" s="11" t="s">
        <v>2225</v>
      </c>
      <c r="F55" s="184">
        <f>IF(H55="正常",I55,"免征")</f>
        <v>5.0000000000000001E-4</v>
      </c>
      <c r="G55" s="2488"/>
      <c r="H55" s="2485" t="s">
        <v>2226</v>
      </c>
      <c r="I55" s="186">
        <f>'数据-取费表'!B49</f>
        <v>5.0000000000000001E-4</v>
      </c>
      <c r="J55" s="2941" t="str">
        <f>IF(H59="非个人房产","",4)</f>
        <v/>
      </c>
      <c r="K55" s="3198" t="str">
        <f>IF(H59="非个人房产","——","个人所得税")</f>
        <v>——</v>
      </c>
      <c r="L55" s="3198"/>
      <c r="M55" s="1756" t="str">
        <f>D59</f>
        <v>——</v>
      </c>
      <c r="N55" s="2942" t="str">
        <f>E59</f>
        <v>——</v>
      </c>
      <c r="O55" s="1757" t="str">
        <f>F59</f>
        <v>——</v>
      </c>
    </row>
    <row r="56" spans="1:35" ht="24.75">
      <c r="A56" s="3147" t="s">
        <v>2227</v>
      </c>
      <c r="B56" s="3148"/>
      <c r="C56" s="3148"/>
      <c r="D56" s="185">
        <f ca="1">IF(H56="个人住宅",D57,D58)</f>
        <v>7126</v>
      </c>
      <c r="E56" s="11" t="s">
        <v>2228</v>
      </c>
      <c r="F56" s="184" t="str">
        <f>IF(H56="正常",F58,"免征")</f>
        <v>——</v>
      </c>
      <c r="G56" s="2490" t="s">
        <v>2229</v>
      </c>
      <c r="H56" s="2491" t="s">
        <v>2226</v>
      </c>
      <c r="I56" s="2492"/>
      <c r="J56" s="2941" t="str">
        <f>IF(项目基本情况!K6="上海银行",IF(J55="",4,J55+1),"")</f>
        <v/>
      </c>
      <c r="K56" s="3221" t="str">
        <f>IF(项目基本情况!K6="上海银行","其他处置费用","")</f>
        <v/>
      </c>
      <c r="L56" s="3222"/>
      <c r="M56" s="1753" t="str">
        <f>IF(项目基本情况!K6="上海银行",M69,"")</f>
        <v/>
      </c>
      <c r="N56" s="3224" t="str">
        <f>IF(项目基本情况!K6="上海银行","包含处置中涉及的律师、诉讼、拍卖、评估等费用","")</f>
        <v/>
      </c>
      <c r="O56" s="3225"/>
    </row>
    <row r="57" spans="1:35" ht="12.75">
      <c r="A57" s="183" t="s">
        <v>2202</v>
      </c>
      <c r="B57" s="3163" t="s">
        <v>2230</v>
      </c>
      <c r="C57" s="3172"/>
      <c r="D57" s="187">
        <v>0</v>
      </c>
      <c r="E57" s="23" t="s">
        <v>2204</v>
      </c>
      <c r="F57" s="155"/>
      <c r="G57" s="2488"/>
      <c r="H57" s="2492"/>
      <c r="I57" s="2492"/>
      <c r="J57" s="3198">
        <f>IF(AND(J55="",J56=""),4,IF(项目基本情况!K6="上海银行",'结果表-地下商业'!J56+1,'结果表-地下商业'!J55+1))</f>
        <v>4</v>
      </c>
      <c r="K57" s="3198" t="s">
        <v>2231</v>
      </c>
      <c r="L57" s="2493" t="s">
        <v>2232</v>
      </c>
      <c r="M57" s="1758"/>
      <c r="N57" s="1759">
        <f ca="1">SUMIF(M52:M56,"&lt;9e307")</f>
        <v>7132</v>
      </c>
      <c r="O57" s="2494"/>
      <c r="P57" s="1752">
        <f ca="1">N57/M49</f>
        <v>0.56648133439237491</v>
      </c>
    </row>
    <row r="58" spans="1:35" ht="24.75">
      <c r="A58" s="183" t="s">
        <v>2213</v>
      </c>
      <c r="B58" s="3163" t="s">
        <v>2233</v>
      </c>
      <c r="C58" s="3164"/>
      <c r="D58" s="185">
        <f ca="1">IF(H58="转让取得",C81,C97)</f>
        <v>7126</v>
      </c>
      <c r="E58" s="11" t="s">
        <v>2228</v>
      </c>
      <c r="F58" s="24" t="s">
        <v>34</v>
      </c>
      <c r="G58" s="2488"/>
      <c r="H58" s="2491" t="s">
        <v>2234</v>
      </c>
      <c r="I58" s="2492"/>
      <c r="J58" s="3198"/>
      <c r="K58" s="3198"/>
      <c r="L58" s="2493" t="s">
        <v>2235</v>
      </c>
      <c r="M58" s="1760"/>
      <c r="N58" s="2495" t="str">
        <f ca="1">NUMBERSTRING(INT(N57*10000),2)&amp;"元整"</f>
        <v>柒仟壹佰叁拾贰万元整</v>
      </c>
      <c r="O58" s="2496"/>
    </row>
    <row r="59" spans="1:35" ht="24.75" thickBot="1">
      <c r="A59" s="3201" t="s">
        <v>2236</v>
      </c>
      <c r="B59" s="3202"/>
      <c r="C59" s="3202"/>
      <c r="D59" s="188" t="str">
        <f>IF(H59="非个人房产","——",IF(H59="个人住宅",0,ROUND(D45*I59,0)))</f>
        <v>——</v>
      </c>
      <c r="E59" s="189" t="str">
        <f>IF(H59="非个人房产","——","销售额×税（费）率")</f>
        <v>——</v>
      </c>
      <c r="F59" s="190" t="str">
        <f>IF(H59="非个人房产","——",IF(H59="个人住宅","免征",I59))</f>
        <v>——</v>
      </c>
      <c r="G59" s="2497" t="s">
        <v>2229</v>
      </c>
      <c r="H59" s="2491" t="s">
        <v>2237</v>
      </c>
      <c r="I59" s="191">
        <v>0.01</v>
      </c>
      <c r="J59" s="3199">
        <f>J57+1</f>
        <v>5</v>
      </c>
      <c r="K59" s="3198" t="s">
        <v>2238</v>
      </c>
      <c r="L59" s="2941" t="s">
        <v>2232</v>
      </c>
      <c r="M59" s="1761"/>
      <c r="N59" s="1762">
        <f ca="1">M49-N57</f>
        <v>5458</v>
      </c>
      <c r="O59" s="2498"/>
    </row>
    <row r="60" spans="1:35" ht="12" customHeight="1">
      <c r="A60" s="2499"/>
      <c r="B60" s="2421"/>
      <c r="C60" s="2421"/>
      <c r="D60" s="2421"/>
      <c r="E60" s="2169"/>
      <c r="F60" s="2492"/>
      <c r="G60" s="2492"/>
      <c r="H60" s="2500"/>
      <c r="I60" s="138"/>
      <c r="J60" s="3200"/>
      <c r="K60" s="3198"/>
      <c r="L60" s="2493" t="s">
        <v>2235</v>
      </c>
      <c r="M60" s="1760"/>
      <c r="N60" s="2495" t="str">
        <f ca="1">NUMBERSTRING(INT(N59*10000),2)&amp;"元整"</f>
        <v>伍仟肆佰伍拾捌万元整</v>
      </c>
      <c r="O60" s="2496"/>
    </row>
    <row r="61" spans="1:35" ht="13.5" thickBot="1">
      <c r="A61" s="3145" t="s">
        <v>2239</v>
      </c>
      <c r="B61" s="3145"/>
      <c r="C61" s="3145"/>
      <c r="D61" s="3145"/>
      <c r="E61" s="3145"/>
      <c r="F61" s="2492"/>
      <c r="G61" s="2492"/>
      <c r="H61" s="2500"/>
      <c r="I61" s="138"/>
      <c r="J61" s="2941">
        <f>J59+1</f>
        <v>6</v>
      </c>
      <c r="K61" s="3198" t="s">
        <v>2240</v>
      </c>
      <c r="L61" s="3198"/>
      <c r="M61" s="1763"/>
      <c r="N61" s="1764">
        <f ca="1">ROUND(N59*10000/'数据-汇总表'!E3,0)</f>
        <v>2028</v>
      </c>
      <c r="O61" s="2501"/>
    </row>
    <row r="62" spans="1:35" ht="12.75">
      <c r="A62" s="3161" t="s">
        <v>2241</v>
      </c>
      <c r="B62" s="3162"/>
      <c r="C62" s="2946"/>
      <c r="D62" s="2946" t="s">
        <v>2242</v>
      </c>
      <c r="E62" s="192" t="s">
        <v>2243</v>
      </c>
      <c r="F62" s="2492"/>
      <c r="G62" s="2492"/>
      <c r="H62" s="2500"/>
      <c r="I62" s="138"/>
    </row>
    <row r="63" spans="1:35" ht="12.75">
      <c r="A63" s="203" t="s">
        <v>775</v>
      </c>
      <c r="B63" s="193" t="s">
        <v>2244</v>
      </c>
      <c r="C63" s="194">
        <f ca="1">ROUND((C64+C65)/(1+'数据-取费表'!C42),0)</f>
        <v>11990</v>
      </c>
      <c r="D63" s="195"/>
      <c r="E63" s="196"/>
      <c r="F63" s="2492"/>
      <c r="G63" s="2492"/>
      <c r="H63" s="2500"/>
      <c r="I63" s="138"/>
      <c r="J63" s="3223" t="s">
        <v>2245</v>
      </c>
      <c r="K63" s="2937" t="s">
        <v>2246</v>
      </c>
      <c r="L63" s="1751">
        <f ca="1">IF(M49&gt;10000,M49*0.5%,IF(AND(M49&gt;1000,M49&lt;=10000),M49*1%,IF(AND(M49&gt;100,M49&lt;=1000),M49*3%,IF(AND(M49&gt;10,M49&lt;=100),M49*5%,M49*8%))))</f>
        <v>62.95</v>
      </c>
      <c r="M63" s="24">
        <f ca="1">ROUND(L63,1)</f>
        <v>63</v>
      </c>
      <c r="Z63" s="2426"/>
      <c r="AI63" s="2427"/>
    </row>
    <row r="64" spans="1:35" ht="14.25" customHeight="1">
      <c r="A64" s="197" t="s">
        <v>770</v>
      </c>
      <c r="B64" s="198" t="s">
        <v>2247</v>
      </c>
      <c r="C64" s="199">
        <f ca="1">D45</f>
        <v>12590</v>
      </c>
      <c r="D64" s="200" t="s">
        <v>32</v>
      </c>
      <c r="E64" s="201"/>
      <c r="F64" s="2492"/>
      <c r="G64" s="2492"/>
      <c r="H64" s="2500"/>
      <c r="I64" s="138"/>
      <c r="J64" s="3223"/>
      <c r="K64" s="2937" t="s">
        <v>2248</v>
      </c>
      <c r="L64" s="1751">
        <f ca="1">IF(M49&gt;2000,M49*0.5%,IF(AND(M49&gt;1000,M49&lt;=2000),M49*0.6%,IF(AND(M49&gt;500,M49&lt;=1000),M49*0.7%,IF(AND(M49&gt;200,M49&lt;=500),M49*0.8%,IF(AND(M49&gt;100,M49&lt;=200),M49*0.9%,IF(AND(M49&gt;50,M49&lt;=100),M49*1%,IF(AND(M49&gt;20,M49&lt;=50),M49*1.5%,IF(AND(M49&gt;10,M49&lt;=20),M49*2%,IF(AND(M49&gt;1,M49&lt;=10),M49*2.5%)))))))))</f>
        <v>62.95</v>
      </c>
      <c r="M64" s="24">
        <f t="shared" ref="M64:M65" ca="1" si="1">ROUND(L64,1)</f>
        <v>63</v>
      </c>
      <c r="N64" s="138" t="s">
        <v>2249</v>
      </c>
      <c r="Z64" s="2426"/>
      <c r="AI64" s="2427"/>
    </row>
    <row r="65" spans="1:35" ht="14.25" customHeight="1">
      <c r="A65" s="197" t="s">
        <v>771</v>
      </c>
      <c r="B65" s="198" t="s">
        <v>2250</v>
      </c>
      <c r="C65" s="202"/>
      <c r="D65" s="200"/>
      <c r="E65" s="201"/>
      <c r="F65" s="2492"/>
      <c r="G65" s="2492"/>
      <c r="H65" s="2500"/>
      <c r="I65" s="138"/>
      <c r="J65" s="3223"/>
      <c r="K65" s="2937" t="s">
        <v>2251</v>
      </c>
      <c r="L65" s="1751">
        <f ca="1">IF(M49&gt;1000,M49*0.1%,IF(AND(M49&gt;500,M49&lt;=1000),M49*0.5%,IF(AND(M49&gt;50,M49&lt;=500),M49*1%,IF(AND(M49&gt;1,M49&lt;=50),M49*1.5%))))</f>
        <v>12.59</v>
      </c>
      <c r="M65" s="24">
        <f t="shared" ca="1" si="1"/>
        <v>12.6</v>
      </c>
      <c r="N65" s="138" t="s">
        <v>2249</v>
      </c>
      <c r="Z65" s="2426"/>
      <c r="AI65" s="2427"/>
    </row>
    <row r="66" spans="1:35" ht="14.25" customHeight="1">
      <c r="A66" s="203" t="s">
        <v>772</v>
      </c>
      <c r="B66" s="204" t="s">
        <v>2252</v>
      </c>
      <c r="C66" s="205"/>
      <c r="D66" s="206" t="s">
        <v>32</v>
      </c>
      <c r="E66" s="1775" t="s">
        <v>1371</v>
      </c>
      <c r="F66" s="2492"/>
      <c r="G66" s="2492"/>
      <c r="H66" s="2500"/>
      <c r="I66" s="138"/>
      <c r="J66" s="3223"/>
      <c r="K66" s="2937" t="s">
        <v>2253</v>
      </c>
      <c r="L66" s="1751">
        <f ca="1">M49*0.5%</f>
        <v>62.95</v>
      </c>
      <c r="M66" s="24">
        <f ca="1">IF(L66&gt;0.5,0.5,ROUND(L66,0))</f>
        <v>0.5</v>
      </c>
      <c r="N66" s="138" t="s">
        <v>2254</v>
      </c>
      <c r="Z66" s="2426"/>
      <c r="AI66" s="2427"/>
    </row>
    <row r="67" spans="1:35" ht="14.25" customHeight="1">
      <c r="A67" s="203" t="s">
        <v>773</v>
      </c>
      <c r="B67" s="204" t="s">
        <v>2255</v>
      </c>
      <c r="C67" s="207">
        <f ca="1">C63-C66</f>
        <v>11990</v>
      </c>
      <c r="D67" s="200" t="s">
        <v>32</v>
      </c>
      <c r="E67" s="201"/>
      <c r="F67" s="2492"/>
      <c r="G67" s="2492"/>
      <c r="H67" s="2500"/>
      <c r="I67" s="138"/>
      <c r="J67" s="3223"/>
      <c r="K67" s="2937" t="s">
        <v>2256</v>
      </c>
      <c r="L67" s="1751">
        <f ca="1">IF(M49&gt;=10000,(8.25+(M49-10000)*0.01%),IF(AND(M49&gt;=8000,M49&lt;10000),(7.85+(M49-8000)*0.02%),IF(AND(M49&gt;=5000,M49&lt;8000),(6.65+(M49-5000)*0.04%),IF(AND(M49&gt;=2000,M49&lt;5000),(4.25+(PM49-2000)*0.08%),IF(AND(M49&gt;=1000,M49&lt;2000),(2.75+(M49-1000)*0.15%),IF(AND(M49&gt;=100,M49&lt;1000),(0.5+(M49-100)*0.25%),IF(AND(M49&gt;0,M49&lt;100),M49*0.5%)))))))</f>
        <v>8.5090000000000003</v>
      </c>
      <c r="M67" s="24">
        <f ca="1">ROUND(L67*0.9,1)</f>
        <v>7.7</v>
      </c>
      <c r="Z67" s="2426"/>
      <c r="AI67" s="2427"/>
    </row>
    <row r="68" spans="1:35" ht="14.25" customHeight="1" thickBot="1">
      <c r="A68" s="208" t="s">
        <v>774</v>
      </c>
      <c r="B68" s="209" t="s">
        <v>2257</v>
      </c>
      <c r="C68" s="210">
        <f ca="1">IF(C67&lt;=0,0,ROUND(C67*D68,0))</f>
        <v>671</v>
      </c>
      <c r="D68" s="211">
        <f>'数据-取费表'!B41</f>
        <v>5.6000000000000001E-2</v>
      </c>
      <c r="E68" s="212"/>
      <c r="F68" s="2492"/>
      <c r="G68" s="2492"/>
      <c r="H68" s="2500"/>
      <c r="I68" s="138"/>
      <c r="J68" s="3223"/>
      <c r="K68" s="2937" t="s">
        <v>2258</v>
      </c>
      <c r="L68" s="1751">
        <f ca="1">IF(M49&gt;10000,M49*0.5%,IF(AND(M49&gt;5000,M49&lt;=10000),M49*1%,IF(AND(M49&gt;1000,M49&lt;=5000),M49*2%,IF(AND(M49&gt;200,M49&lt;=1000),M49*3%,M49*5%))))</f>
        <v>62.95</v>
      </c>
      <c r="M68" s="24">
        <f ca="1">ROUND(L68,1)</f>
        <v>63</v>
      </c>
      <c r="Z68" s="2426"/>
      <c r="AI68" s="2427"/>
    </row>
    <row r="69" spans="1:35" s="2449" customFormat="1" ht="16.5" customHeight="1">
      <c r="A69" s="2503"/>
      <c r="B69" s="2504"/>
      <c r="C69" s="2505"/>
      <c r="D69" s="2506"/>
      <c r="E69" s="2507"/>
      <c r="F69" s="2169"/>
      <c r="G69" s="2169"/>
      <c r="H69" s="2168"/>
      <c r="I69" s="2421"/>
      <c r="J69" s="3223"/>
      <c r="K69" s="2937" t="s">
        <v>2259</v>
      </c>
      <c r="L69" s="2508"/>
      <c r="M69" s="24">
        <f ca="1">ROUND(SUM(M63:M68),0)</f>
        <v>210</v>
      </c>
      <c r="N69" s="1752">
        <f ca="1">M69/M49</f>
        <v>1.6679904686258934E-2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82" t="s">
        <v>2260</v>
      </c>
      <c r="B70" s="3183"/>
      <c r="C70" s="3183"/>
      <c r="D70" s="3183"/>
      <c r="E70" s="3183"/>
      <c r="F70" s="3183"/>
      <c r="G70" s="3183"/>
      <c r="H70" s="318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1" t="s">
        <v>2241</v>
      </c>
      <c r="B71" s="3162"/>
      <c r="C71" s="2946"/>
      <c r="D71" s="2946" t="s">
        <v>2242</v>
      </c>
      <c r="E71" s="213" t="s">
        <v>2243</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2261</v>
      </c>
      <c r="C72" s="207">
        <f ca="1">ROUND(D45/(1+'数据-取费表'!C42),0)</f>
        <v>11990</v>
      </c>
      <c r="D72" s="200" t="s">
        <v>32</v>
      </c>
      <c r="E72" s="2948"/>
      <c r="F72" s="2947"/>
      <c r="G72" s="294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2262</v>
      </c>
      <c r="C73" s="207">
        <f ca="1">C74+C78</f>
        <v>72</v>
      </c>
      <c r="D73" s="200" t="s">
        <v>32</v>
      </c>
      <c r="E73" s="2948"/>
      <c r="F73" s="2947"/>
      <c r="G73" s="294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2263</v>
      </c>
      <c r="C74" s="200">
        <f>ROUND(IF(G77="2016年5月1日后购买",C75/(1+'数据-取费表'!C42)+C76+C77,C75+C76+C77),0)</f>
        <v>0</v>
      </c>
      <c r="D74" s="200" t="s">
        <v>32</v>
      </c>
      <c r="E74" s="2948"/>
      <c r="F74" s="2947"/>
      <c r="G74" s="294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2264</v>
      </c>
      <c r="C75" s="218"/>
      <c r="D75" s="200" t="s">
        <v>32</v>
      </c>
      <c r="E75" s="219" t="s">
        <v>2265</v>
      </c>
      <c r="F75" s="2514" t="s">
        <v>2266</v>
      </c>
      <c r="G75" s="219" t="s">
        <v>2267</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2268</v>
      </c>
      <c r="C76" s="200">
        <f>IF(F75="购房发票",ROUND(C75*H75*D76,0),0)</f>
        <v>0</v>
      </c>
      <c r="D76" s="222">
        <v>0.05</v>
      </c>
      <c r="E76" s="3156" t="s">
        <v>2269</v>
      </c>
      <c r="F76" s="3133"/>
      <c r="G76" s="3133"/>
      <c r="H76" s="318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2270</v>
      </c>
      <c r="C77" s="200">
        <f>ROUND(IF(G77="个人住宅",0,IF(G77="2016年5月1日前购买",C75*D77,C75*D77/(1+'数据-取费表'!C42))),0)</f>
        <v>0</v>
      </c>
      <c r="D77" s="223">
        <f>'数据-取费表'!B48+'数据-取费表'!B49</f>
        <v>3.0499999999999999E-2</v>
      </c>
      <c r="E77" s="2938" t="s">
        <v>2271</v>
      </c>
      <c r="F77" s="224"/>
      <c r="G77" s="2516" t="s">
        <v>2272</v>
      </c>
      <c r="H77" s="294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2273</v>
      </c>
      <c r="C78" s="225">
        <f ca="1">ROUND(D45*D78/(1+'数据-取费表'!C42),0)</f>
        <v>72</v>
      </c>
      <c r="D78" s="226">
        <f>'数据-取费表'!B43</f>
        <v>6.000000000000001E-3</v>
      </c>
      <c r="E78" s="3142" t="s">
        <v>2274</v>
      </c>
      <c r="F78" s="3143"/>
      <c r="G78" s="3143"/>
      <c r="H78" s="315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2275</v>
      </c>
      <c r="C79" s="207">
        <f ca="1">C72-C73</f>
        <v>11918</v>
      </c>
      <c r="D79" s="200" t="s">
        <v>32</v>
      </c>
      <c r="E79" s="2948"/>
      <c r="F79" s="2947"/>
      <c r="G79" s="294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2276</v>
      </c>
      <c r="C80" s="227">
        <f ca="1">IF(C79&lt;=0,0,C79/C73)</f>
        <v>165.52777777777777</v>
      </c>
      <c r="D80" s="200" t="s">
        <v>32</v>
      </c>
      <c r="E80" s="2938" t="str">
        <f ca="1">IF(C80&gt;=200%,"增值额超过扣除项目金额200%",IF(C80&gt;=100%,"增值额超过扣除项目金额100%，未超过200%",IF(C80&gt;=50%,"增值额超过扣除项目金额50%，未超过100%",IF(C80&lt;50%,"增值额未超过扣除项目金额50%"))))</f>
        <v>增值额超过扣除项目金额200%</v>
      </c>
      <c r="F80" s="2947"/>
      <c r="G80" s="294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2277</v>
      </c>
      <c r="C81" s="228">
        <f ca="1">ROUND(IF(C79&lt;=0,0,IF(C80&gt;=200%,C79*60%-C73*35%,IF(C80&gt;=100%,C79*50%-C73*15%,IF(C80&gt;=50%,C79*40%-C73*5%,IF(C80&lt;50%,C79*30%,0))))),0)</f>
        <v>7126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82" t="s">
        <v>2278</v>
      </c>
      <c r="B83" s="3183"/>
      <c r="C83" s="3183"/>
      <c r="D83" s="3183"/>
      <c r="E83" s="3183"/>
      <c r="F83" s="3183"/>
      <c r="G83" s="3183"/>
      <c r="H83" s="318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1" t="s">
        <v>2241</v>
      </c>
      <c r="B84" s="3162"/>
      <c r="C84" s="2946"/>
      <c r="D84" s="2946" t="s">
        <v>2242</v>
      </c>
      <c r="E84" s="213" t="s">
        <v>2243</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2261</v>
      </c>
      <c r="C85" s="207">
        <f ca="1">ROUND(D45/(1+'数据-取费表'!C42),0)</f>
        <v>11990</v>
      </c>
      <c r="D85" s="200" t="s">
        <v>32</v>
      </c>
      <c r="E85" s="2948"/>
      <c r="F85" s="2947"/>
      <c r="G85" s="294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2262</v>
      </c>
      <c r="C86" s="207">
        <f ca="1">IF(H88="仅含出让金",C87+C90+C91+C92+C93+C94,C87+C91+C92+C93+C94)</f>
        <v>72</v>
      </c>
      <c r="D86" s="235"/>
      <c r="E86" s="2948"/>
      <c r="F86" s="2947"/>
      <c r="G86" s="294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2279</v>
      </c>
      <c r="C87" s="225">
        <f>C88+C89</f>
        <v>0</v>
      </c>
      <c r="D87" s="226"/>
      <c r="E87" s="2943"/>
      <c r="F87" s="2944"/>
      <c r="G87" s="2944"/>
      <c r="H87" s="2945"/>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2280</v>
      </c>
      <c r="C88" s="236"/>
      <c r="D88" s="226"/>
      <c r="E88" s="237" t="s">
        <v>2281</v>
      </c>
      <c r="F88" s="2944"/>
      <c r="G88" s="238"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2270</v>
      </c>
      <c r="C89" s="225">
        <f>ROUND(C88*D89,0)</f>
        <v>0</v>
      </c>
      <c r="D89" s="226">
        <f>'数据-取费表'!B48+'数据-取费表'!B49</f>
        <v>3.0499999999999999E-2</v>
      </c>
      <c r="E89" s="237" t="s">
        <v>2283</v>
      </c>
      <c r="F89" s="2944"/>
      <c r="G89" s="2944"/>
      <c r="H89" s="2945"/>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2284</v>
      </c>
      <c r="C90" s="236"/>
      <c r="D90" s="226"/>
      <c r="E90" s="237" t="str">
        <f>IF(H88="-","土地取得成本中已包含该笔费用"," ")</f>
        <v xml:space="preserve"> </v>
      </c>
      <c r="F90" s="2944"/>
      <c r="G90" s="2944"/>
      <c r="H90" s="2945"/>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2285</v>
      </c>
      <c r="B91" s="198" t="s">
        <v>2286</v>
      </c>
      <c r="C91" s="225">
        <f>IF(H91="——",'成本法-办公'!C33,I91)</f>
        <v>0</v>
      </c>
      <c r="D91" s="226"/>
      <c r="E91" s="3142" t="s">
        <v>2287</v>
      </c>
      <c r="F91" s="3143"/>
      <c r="G91" s="3143"/>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2289</v>
      </c>
      <c r="B92" s="198" t="s">
        <v>2290</v>
      </c>
      <c r="C92" s="225">
        <f>ROUND((C87+C90+C91)*D92,0)</f>
        <v>0</v>
      </c>
      <c r="D92" s="226">
        <v>0.1</v>
      </c>
      <c r="E92" s="3142" t="s">
        <v>2291</v>
      </c>
      <c r="F92" s="3143"/>
      <c r="G92" s="3143"/>
      <c r="H92" s="315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2292</v>
      </c>
      <c r="B93" s="198" t="s">
        <v>2273</v>
      </c>
      <c r="C93" s="225">
        <f ca="1">ROUND(D45*D93/(1+'数据-取费表'!C42),0)</f>
        <v>72</v>
      </c>
      <c r="D93" s="226">
        <f>'数据-取费表'!B43</f>
        <v>6.000000000000001E-3</v>
      </c>
      <c r="E93" s="3142" t="s">
        <v>2274</v>
      </c>
      <c r="F93" s="3143"/>
      <c r="G93" s="3143"/>
      <c r="H93" s="315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2293</v>
      </c>
      <c r="B94" s="198" t="s">
        <v>2294</v>
      </c>
      <c r="C94" s="236">
        <f>ROUND((C87+C90+C91)*D94,0)</f>
        <v>0</v>
      </c>
      <c r="D94" s="226">
        <v>0.2</v>
      </c>
      <c r="E94" s="3153" t="s">
        <v>2295</v>
      </c>
      <c r="F94" s="3154"/>
      <c r="G94" s="3154"/>
      <c r="H94" s="315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2275</v>
      </c>
      <c r="C95" s="207">
        <f ca="1">ROUND(C85-C86,0)</f>
        <v>11918</v>
      </c>
      <c r="D95" s="200" t="s">
        <v>32</v>
      </c>
      <c r="E95" s="2948"/>
      <c r="F95" s="2947"/>
      <c r="G95" s="294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2276</v>
      </c>
      <c r="C96" s="227">
        <f ca="1">IF(C95&lt;=0,0,C95/C86)</f>
        <v>165.52777777777777</v>
      </c>
      <c r="D96" s="200" t="s">
        <v>32</v>
      </c>
      <c r="E96" s="2938" t="str">
        <f ca="1">IF(C96&gt;=200%,"增值额超过扣除项目金额200%",IF(C96&gt;=100%,"增值额超过扣除项目金额100%，未超过200%",IF(C96&gt;=50%,"增值额超过扣除项目金额50%，未超过100%",IF(C96&lt;50%,"增值额未超过扣除项目金额50%"))))</f>
        <v>增值额超过扣除项目金额200%</v>
      </c>
      <c r="F96" s="2947"/>
      <c r="G96" s="294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2277</v>
      </c>
      <c r="C97" s="228">
        <f ca="1">ROUND(IF(C95&lt;=0,0,IF(C96&gt;=200%,C95*60%-C86*35%,IF(C96&gt;=100%,C95*50%-C86*15%,IF(C96&gt;=50%,C95*40%-C86*5%,IF(C96&lt;50%,C95*30%,0))))),0)</f>
        <v>7126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2296</v>
      </c>
      <c r="B99" s="2421"/>
      <c r="C99" s="2421"/>
      <c r="D99" s="2421"/>
      <c r="E99" s="2169"/>
      <c r="F99" s="2169"/>
      <c r="G99" s="2169"/>
      <c r="H99" s="2168"/>
      <c r="I99" s="138"/>
    </row>
    <row r="100" spans="1:35" ht="18.75" customHeight="1">
      <c r="A100" s="3127" t="s">
        <v>2297</v>
      </c>
      <c r="B100" s="3128"/>
      <c r="C100" s="3128"/>
      <c r="D100" s="3144"/>
      <c r="E100" s="3128" t="s">
        <v>2298</v>
      </c>
      <c r="F100" s="3128"/>
      <c r="G100" s="3128"/>
      <c r="H100" s="3144"/>
      <c r="I100" s="138"/>
    </row>
    <row r="101" spans="1:35" ht="18.75" customHeight="1">
      <c r="A101" s="3206" t="s">
        <v>2299</v>
      </c>
      <c r="B101" s="3207"/>
      <c r="C101" s="736" t="str">
        <f>C4</f>
        <v>成本法-地下商业</v>
      </c>
      <c r="D101" s="737" t="str">
        <f>D4</f>
        <v>收益法-地下商业</v>
      </c>
      <c r="E101" s="3220" t="s">
        <v>2300</v>
      </c>
      <c r="F101" s="3174"/>
      <c r="G101" s="2523" t="s">
        <v>2301</v>
      </c>
      <c r="H101" s="1047">
        <f ca="1">H118</f>
        <v>12590</v>
      </c>
      <c r="I101" s="138"/>
    </row>
    <row r="102" spans="1:35" ht="18.75" customHeight="1">
      <c r="A102" s="3176" t="s">
        <v>2302</v>
      </c>
      <c r="B102" s="2523" t="s">
        <v>2301</v>
      </c>
      <c r="C102" s="736">
        <f ca="1">C19</f>
        <v>17602</v>
      </c>
      <c r="D102" s="737">
        <f ca="1">D19</f>
        <v>9248</v>
      </c>
      <c r="E102" s="3220"/>
      <c r="F102" s="3174"/>
      <c r="G102" s="2523" t="s">
        <v>2303</v>
      </c>
      <c r="H102" s="371">
        <f ca="1">I118</f>
        <v>30485</v>
      </c>
      <c r="I102" s="138"/>
    </row>
    <row r="103" spans="1:35" ht="42.75" customHeight="1">
      <c r="A103" s="3176"/>
      <c r="B103" s="2523" t="s">
        <v>2303</v>
      </c>
      <c r="C103" s="738">
        <f ca="1">C20</f>
        <v>42621</v>
      </c>
      <c r="D103" s="739">
        <f ca="1">D20</f>
        <v>22393</v>
      </c>
      <c r="E103" s="3215" t="s">
        <v>2304</v>
      </c>
      <c r="F103" s="3216"/>
      <c r="G103" s="2524" t="s">
        <v>2305</v>
      </c>
      <c r="H103" s="1047">
        <f>IF(D36="正常操作",H104+H105+H106,H105+H106)</f>
        <v>0</v>
      </c>
      <c r="I103" s="138"/>
    </row>
    <row r="104" spans="1:35" ht="18.75" customHeight="1">
      <c r="A104" s="3176" t="s">
        <v>2306</v>
      </c>
      <c r="B104" s="2525" t="s">
        <v>2301</v>
      </c>
      <c r="C104" s="740">
        <f ca="1">H118</f>
        <v>12590</v>
      </c>
      <c r="D104" s="741"/>
      <c r="E104" s="2269" t="s">
        <v>2307</v>
      </c>
      <c r="F104" s="2261"/>
      <c r="G104" s="2524" t="s">
        <v>2305</v>
      </c>
      <c r="H104" s="1048">
        <f>IF(D36="同一抵押权人同一抵押物续贷",C36&amp;"（未扣减，详见特别提示）",C36)</f>
        <v>0</v>
      </c>
      <c r="I104" s="138"/>
    </row>
    <row r="105" spans="1:35" ht="18.75" customHeight="1" thickBot="1">
      <c r="A105" s="3177"/>
      <c r="B105" s="2526" t="s">
        <v>2303</v>
      </c>
      <c r="C105" s="742">
        <f ca="1">I118</f>
        <v>30485</v>
      </c>
      <c r="D105" s="743"/>
      <c r="E105" s="2269" t="s">
        <v>2308</v>
      </c>
      <c r="F105" s="2261"/>
      <c r="G105" s="2524" t="s">
        <v>2305</v>
      </c>
      <c r="H105" s="1048">
        <f>C37</f>
        <v>0</v>
      </c>
      <c r="I105" s="138"/>
    </row>
    <row r="106" spans="1:35" ht="18.75" customHeight="1">
      <c r="A106" s="2421" t="s">
        <v>2309</v>
      </c>
      <c r="B106" s="2421"/>
      <c r="C106" s="2421"/>
      <c r="D106" s="2421"/>
      <c r="E106" s="2527" t="s">
        <v>2310</v>
      </c>
      <c r="F106" s="2261"/>
      <c r="G106" s="2524" t="s">
        <v>2305</v>
      </c>
      <c r="H106" s="1048">
        <f>C38</f>
        <v>0</v>
      </c>
      <c r="I106" s="138"/>
    </row>
    <row r="107" spans="1:35" ht="18.75" customHeight="1">
      <c r="A107" s="138"/>
      <c r="B107" s="138"/>
      <c r="C107" s="138"/>
      <c r="D107" s="138"/>
      <c r="E107" s="3173" t="str">
        <f>IF(项目基本情况!E8="已注销","——","3.房地产抵押价值")</f>
        <v>3.房地产抵押价值</v>
      </c>
      <c r="F107" s="3174"/>
      <c r="G107" s="2523" t="s">
        <v>2301</v>
      </c>
      <c r="H107" s="1047">
        <f ca="1">IF(E107="——","——",H101-H103)</f>
        <v>12590</v>
      </c>
      <c r="I107" s="138"/>
    </row>
    <row r="108" spans="1:35" ht="18.75" customHeight="1">
      <c r="A108" s="138"/>
      <c r="B108" s="138"/>
      <c r="C108" s="138"/>
      <c r="D108" s="138"/>
      <c r="E108" s="3173"/>
      <c r="F108" s="3174"/>
      <c r="G108" s="2523" t="s">
        <v>2303</v>
      </c>
      <c r="H108" s="371">
        <f ca="1">ROUND(H107*10000/'数据-汇总表'!E3,0)</f>
        <v>4677</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v>
      </c>
      <c r="F109" s="3174"/>
      <c r="G109" s="2523" t="s">
        <v>2301</v>
      </c>
      <c r="H109" s="348" t="str">
        <f>IF(E109="——","——",H101-H105-H106)</f>
        <v>——</v>
      </c>
      <c r="I109" s="138"/>
    </row>
    <row r="110" spans="1:35" ht="18.75" customHeight="1">
      <c r="A110" s="138"/>
      <c r="B110" s="138"/>
      <c r="C110" s="138"/>
      <c r="D110" s="138"/>
      <c r="E110" s="3173"/>
      <c r="F110" s="3174"/>
      <c r="G110" s="2523" t="s">
        <v>2303</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23" t="s">
        <v>2301</v>
      </c>
      <c r="H111" s="1047" t="str">
        <f>IF(E111="——","——",N59)</f>
        <v>——</v>
      </c>
      <c r="I111" s="138"/>
    </row>
    <row r="112" spans="1:35" ht="18.75" customHeight="1" thickBot="1">
      <c r="A112" s="138"/>
      <c r="B112" s="138"/>
      <c r="C112" s="138"/>
      <c r="D112" s="138"/>
      <c r="E112" s="3210"/>
      <c r="F112" s="3211"/>
      <c r="G112" s="2528" t="s">
        <v>2303</v>
      </c>
      <c r="H112" s="790" t="str">
        <f>IF(E111="——","——",N61)</f>
        <v>——</v>
      </c>
      <c r="I112" s="138"/>
    </row>
    <row r="113" spans="1:11" ht="18.75" customHeight="1">
      <c r="A113" s="138"/>
      <c r="B113" s="138"/>
      <c r="C113" s="138"/>
      <c r="D113" s="138"/>
      <c r="E113" s="3178" t="s">
        <v>2309</v>
      </c>
      <c r="F113" s="3178"/>
      <c r="G113" s="3178"/>
      <c r="H113" s="3178"/>
      <c r="I113" s="138"/>
    </row>
    <row r="114" spans="1:11" ht="3.75" customHeight="1">
      <c r="A114" s="2421"/>
      <c r="B114" s="2421"/>
      <c r="C114" s="2421"/>
      <c r="D114" s="2421"/>
      <c r="E114" s="2499"/>
      <c r="F114" s="2499"/>
      <c r="G114" s="2499"/>
      <c r="H114" s="2499"/>
      <c r="I114" s="2421"/>
    </row>
    <row r="115" spans="1:11" ht="18.75" customHeight="1">
      <c r="A115" s="3191" t="s">
        <v>2311</v>
      </c>
      <c r="B115" s="3192"/>
      <c r="C115" s="3192"/>
      <c r="D115" s="3192"/>
      <c r="E115" s="3192"/>
      <c r="F115" s="3192"/>
      <c r="G115" s="3192"/>
      <c r="H115" s="3192"/>
      <c r="I115" s="3193"/>
    </row>
    <row r="116" spans="1:11" ht="27" customHeight="1">
      <c r="A116" s="3084" t="s">
        <v>2312</v>
      </c>
      <c r="B116" s="3179" t="s">
        <v>2313</v>
      </c>
      <c r="C116" s="3179" t="s">
        <v>2314</v>
      </c>
      <c r="D116" s="3195" t="s">
        <v>2315</v>
      </c>
      <c r="E116" s="3196"/>
      <c r="F116" s="3187" t="s">
        <v>2316</v>
      </c>
      <c r="G116" s="3187"/>
      <c r="H116" s="3084" t="s">
        <v>2317</v>
      </c>
      <c r="I116" s="3084"/>
    </row>
    <row r="117" spans="1:11" ht="18.75" customHeight="1">
      <c r="A117" s="3084"/>
      <c r="B117" s="3180"/>
      <c r="C117" s="3180"/>
      <c r="D117" s="2933" t="s">
        <v>2318</v>
      </c>
      <c r="E117" s="2933" t="s">
        <v>2319</v>
      </c>
      <c r="F117" s="2933" t="s">
        <v>2318</v>
      </c>
      <c r="G117" s="2933" t="s">
        <v>2320</v>
      </c>
      <c r="H117" s="2933" t="s">
        <v>2318</v>
      </c>
      <c r="I117" s="2933" t="s">
        <v>2320</v>
      </c>
    </row>
    <row r="118" spans="1:11" ht="24.75" customHeight="1">
      <c r="A118" s="2529" t="str">
        <f>项目基本情况!S2</f>
        <v>北京市房地产</v>
      </c>
      <c r="B118" s="2933">
        <f>M18</f>
        <v>4129.8999999999996</v>
      </c>
      <c r="C118" s="2933">
        <f>M19</f>
        <v>580.22</v>
      </c>
      <c r="D118" s="2933" t="e">
        <f ca="1">ROUND(IF(D32="总价",C34,E118*B118/10000),0)</f>
        <v>#REF!</v>
      </c>
      <c r="E118" s="2933" t="e">
        <f ca="1">ROUND(IF(C33="自定义",IF(D32="楼面单价",C34,D118*10000/B118),I118-G118),0)</f>
        <v>#REF!</v>
      </c>
      <c r="F118" s="2933" t="e">
        <f ca="1">ROUND(IF(D32="总价",C35,G118*B118/10000),0)</f>
        <v>#REF!</v>
      </c>
      <c r="G118" s="2933" t="e">
        <f ca="1">ROUND(IF(D32="楼面单价",C35,F118*10000/B118),0)</f>
        <v>#REF!</v>
      </c>
      <c r="H118" s="2933">
        <f ca="1">ROUND(IF(D32="总价",C32,I118*B118/10000),0)</f>
        <v>12590</v>
      </c>
      <c r="I118" s="2933">
        <f ca="1">ROUND(IF(D32="楼面单价",C32,H118*10000/B118),0)</f>
        <v>30485</v>
      </c>
    </row>
    <row r="119" spans="1:11" ht="18.75" customHeight="1">
      <c r="A119" s="3084" t="s">
        <v>2321</v>
      </c>
      <c r="B119" s="3084"/>
      <c r="C119" s="3084"/>
      <c r="D119" s="3184" t="e">
        <f ca="1">NUMBERSTRING(INT(D118*10000),2)&amp;"元整"</f>
        <v>#REF!</v>
      </c>
      <c r="E119" s="3186"/>
      <c r="F119" s="3184" t="e">
        <f ca="1">NUMBERSTRING(INT(F118*10000),2)&amp;"元整"</f>
        <v>#REF!</v>
      </c>
      <c r="G119" s="3186"/>
      <c r="H119" s="3184" t="str">
        <f ca="1">NUMBERSTRING(INT(H118*10000),2)&amp;"元整"</f>
        <v>壹亿贰仟伍佰玖拾万元整</v>
      </c>
      <c r="I119" s="3186"/>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26" t="str">
        <f>IF(D120=0,"故，本次评估不存在"&amp;A120,"故，本次评估"&amp;A120&amp;"为人民币"&amp;D120&amp;"万元整。")</f>
        <v>故，本次评估不存在估价师知悉的法定优先受偿款</v>
      </c>
    </row>
    <row r="121" spans="1:11" ht="18.75" customHeight="1">
      <c r="A121" s="3188" t="s">
        <v>2321</v>
      </c>
      <c r="B121" s="3189"/>
      <c r="C121" s="3190"/>
      <c r="D121" s="3184" t="str">
        <f>IF(D120=0,"零元整",NUMBERSTRING(INT(D120*10000),2)&amp;"元整")</f>
        <v>零元整</v>
      </c>
      <c r="E121" s="3185"/>
      <c r="F121" s="3185"/>
      <c r="G121" s="3185"/>
      <c r="H121" s="3185"/>
      <c r="I121" s="3186"/>
    </row>
    <row r="122" spans="1:11" ht="18.75" customHeight="1">
      <c r="A122" s="3175" t="str">
        <f>IF(项目基本情况!B9="房地产市场价值","",MID(E107,3,LEN(E107)-2))</f>
        <v>房地产抵押价值</v>
      </c>
      <c r="B122" s="3175"/>
      <c r="C122" s="3175"/>
      <c r="D122" s="3212">
        <f ca="1">H107</f>
        <v>12590</v>
      </c>
      <c r="E122" s="3213"/>
      <c r="F122" s="3213"/>
      <c r="G122" s="3213"/>
      <c r="H122" s="3213"/>
      <c r="I122" s="3214"/>
    </row>
    <row r="123" spans="1:11" ht="18.75" customHeight="1">
      <c r="A123" s="3084" t="s">
        <v>2321</v>
      </c>
      <c r="B123" s="3084"/>
      <c r="C123" s="3084"/>
      <c r="D123" s="3184" t="str">
        <f ca="1">NUMBERSTRING(INT(D122*10000),2)&amp;"元整"</f>
        <v>壹亿贰仟伍佰玖拾万元整</v>
      </c>
      <c r="E123" s="3185"/>
      <c r="F123" s="3185"/>
      <c r="G123" s="3185"/>
      <c r="H123" s="3185"/>
      <c r="I123" s="3186"/>
    </row>
    <row r="124" spans="1:11" ht="18.75" customHeight="1">
      <c r="A124" s="3175" t="str">
        <f>IF(项目基本情况!B9="房地产市场价值","",MID(E109,3,LEN(E109)-2))</f>
        <v/>
      </c>
      <c r="B124" s="3175"/>
      <c r="C124" s="3175"/>
      <c r="D124" s="3212" t="str">
        <f>H109</f>
        <v>——</v>
      </c>
      <c r="E124" s="3213"/>
      <c r="F124" s="3213"/>
      <c r="G124" s="3213"/>
      <c r="H124" s="3213"/>
      <c r="I124" s="3214"/>
    </row>
    <row r="125" spans="1:11" ht="18.75" customHeight="1">
      <c r="A125" s="3084" t="s">
        <v>2321</v>
      </c>
      <c r="B125" s="3084"/>
      <c r="C125" s="3084"/>
      <c r="D125" s="3184" t="e">
        <f>NUMBERSTRING(INT(D124*10000),2)&amp;"元整"</f>
        <v>#VALUE!</v>
      </c>
      <c r="E125" s="3185"/>
      <c r="F125" s="3185"/>
      <c r="G125" s="3185"/>
      <c r="H125" s="3185"/>
      <c r="I125" s="3186"/>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84" t="s">
        <v>2321</v>
      </c>
      <c r="B127" s="3084"/>
      <c r="C127" s="3084"/>
      <c r="D127" s="3184" t="e">
        <f>NUMBERSTRING(INT(D126*10000),2)&amp;"元整"</f>
        <v>#VALUE!</v>
      </c>
      <c r="E127" s="3185"/>
      <c r="F127" s="3185"/>
      <c r="G127" s="3185"/>
      <c r="H127" s="3185"/>
      <c r="I127" s="3186"/>
    </row>
    <row r="128" spans="1:11" ht="21.75" customHeight="1">
      <c r="A128" s="3194" t="s">
        <v>2322</v>
      </c>
      <c r="B128" s="3194"/>
      <c r="C128" s="3194"/>
      <c r="D128" s="3194"/>
      <c r="E128" s="3194"/>
      <c r="F128" s="3194"/>
      <c r="G128" s="3194"/>
      <c r="H128" s="3194"/>
      <c r="I128" s="3194"/>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2325</v>
      </c>
      <c r="G135" s="2547"/>
      <c r="H135" s="2547"/>
      <c r="I135" s="2548" t="s">
        <v>2326</v>
      </c>
    </row>
    <row r="136" spans="1:35" ht="21.75" customHeight="1">
      <c r="A136" s="795"/>
      <c r="B136" s="2549"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2328</v>
      </c>
    </row>
    <row r="139" spans="1:35" ht="21.75" customHeight="1">
      <c r="A139" s="795"/>
      <c r="B139" s="2549" t="s">
        <v>2329</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2328</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8" t="s">
        <v>2432</v>
      </c>
      <c r="D1" s="242"/>
      <c r="E1" s="242"/>
      <c r="F1" s="242"/>
      <c r="G1" s="1381">
        <f>MATCH(B1,'数据-取费表'!A6:A16,0)+5</f>
        <v>10</v>
      </c>
      <c r="H1" s="1284" t="str">
        <f>IF(ISERROR(FIND("住宅",B1)),"非住宅","住宅")</f>
        <v>非住宅</v>
      </c>
    </row>
    <row r="2" spans="1:8" s="244" customFormat="1" ht="18" customHeight="1">
      <c r="A2" s="245" t="s">
        <v>2331</v>
      </c>
      <c r="B2" s="246">
        <f ca="1">ROUND(IF(D2="——",C52/10000,C52/10000-E2),0)</f>
        <v>9937</v>
      </c>
      <c r="C2" s="243" t="s">
        <v>2332</v>
      </c>
      <c r="D2" s="2552" t="s">
        <v>70</v>
      </c>
      <c r="E2" s="1442" t="e">
        <f ca="1">SUMIF(INDIRECT("'"&amp;G2&amp;"'"&amp;"!A:A"),"承租人权益价值",INDIRECT("'"&amp;G2&amp;"'"&amp;"!c:c"))</f>
        <v>#REF!</v>
      </c>
      <c r="F2" s="2553" t="s">
        <v>2332</v>
      </c>
      <c r="G2" s="2554"/>
    </row>
    <row r="3" spans="1:8" s="244" customFormat="1" ht="18" customHeight="1" thickBot="1">
      <c r="A3" s="247" t="s">
        <v>2333</v>
      </c>
      <c r="B3" s="248">
        <f ca="1">ROUND(B2*10000/(IF(B1="",'数据-汇总表'!E3,INDIRECT("'数据-取费表'!k"&amp;$G$1))),0)</f>
        <v>3692</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5383504</v>
      </c>
      <c r="D5" s="255" t="s">
        <v>2338</v>
      </c>
      <c r="E5" s="256" t="s">
        <v>2339</v>
      </c>
      <c r="F5" s="256" t="s">
        <v>2340</v>
      </c>
      <c r="G5" s="257"/>
    </row>
    <row r="6" spans="1:8" s="258" customFormat="1" ht="13.5" customHeight="1">
      <c r="A6" s="951" t="s">
        <v>2341</v>
      </c>
      <c r="B6" s="259" t="s">
        <v>2342</v>
      </c>
      <c r="C6" s="260"/>
      <c r="D6" s="261"/>
      <c r="E6" s="262"/>
      <c r="F6" s="262"/>
      <c r="G6" s="263"/>
    </row>
    <row r="7" spans="1:8" s="258" customFormat="1" ht="13.5" customHeight="1">
      <c r="A7" s="951" t="s">
        <v>2343</v>
      </c>
      <c r="B7" s="259" t="s">
        <v>2344</v>
      </c>
      <c r="C7" s="264">
        <f>ROUND(C6*F7,0)</f>
        <v>0</v>
      </c>
      <c r="D7" s="264"/>
      <c r="E7" s="262"/>
      <c r="F7" s="265">
        <f>'数据-取费表'!B48+'数据-取费表'!B49</f>
        <v>3.0499999999999999E-2</v>
      </c>
      <c r="G7" s="263"/>
    </row>
    <row r="8" spans="1:8" s="267" customFormat="1">
      <c r="A8" s="951" t="s">
        <v>2345</v>
      </c>
      <c r="B8" s="259" t="s">
        <v>2346</v>
      </c>
      <c r="C8" s="264">
        <f ca="1">IF(G8="已包含在土地购买价格中",0,C9+C10)</f>
        <v>5383504</v>
      </c>
      <c r="D8" s="266"/>
      <c r="E8" s="264"/>
      <c r="F8" s="265"/>
      <c r="G8" s="2555"/>
    </row>
    <row r="9" spans="1:8" s="258" customFormat="1" ht="13.5" customHeight="1">
      <c r="A9" s="952" t="s">
        <v>800</v>
      </c>
      <c r="B9" s="268" t="s">
        <v>2347</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2349</v>
      </c>
      <c r="C10" s="269">
        <f ca="1">ROUND(D10*E10,0)</f>
        <v>5383504</v>
      </c>
      <c r="D10" s="1034">
        <f ca="1">IF(B1="",'数据-汇总表'!E6,IF(INDIRECT("'数据-取费表'!c"&amp;$G$1)="住宅",INDIRECT("'数据-取费表'!s"&amp;$G$1),INDIRECT("'数据-取费表'!k"&amp;$G$1)+INDIRECT("'数据-取费表'!s"&amp;$G$1)))</f>
        <v>26917.519999999997</v>
      </c>
      <c r="E10" s="269">
        <f>'数据-取费表'!B28</f>
        <v>200</v>
      </c>
      <c r="F10" s="265"/>
      <c r="G10" s="270"/>
    </row>
    <row r="11" spans="1:8" s="258" customFormat="1" ht="13.5" hidden="1" customHeight="1">
      <c r="A11" s="271" t="s">
        <v>7</v>
      </c>
      <c r="B11" s="259" t="s">
        <v>2350</v>
      </c>
      <c r="C11" s="255"/>
      <c r="D11" s="1036"/>
      <c r="E11" s="262"/>
      <c r="F11" s="262"/>
      <c r="G11" s="263"/>
    </row>
    <row r="12" spans="1:8" s="258" customFormat="1" ht="13.5" hidden="1" customHeight="1">
      <c r="A12" s="271" t="s">
        <v>8</v>
      </c>
      <c r="B12" s="259" t="s">
        <v>2433</v>
      </c>
      <c r="C12" s="255">
        <v>0</v>
      </c>
      <c r="D12" s="1036"/>
      <c r="E12" s="272"/>
      <c r="F12" s="265">
        <v>3.0499999999999999E-2</v>
      </c>
      <c r="G12" s="263"/>
    </row>
    <row r="13" spans="1:8" s="258" customFormat="1" ht="13.5" hidden="1" customHeight="1">
      <c r="A13" s="271" t="s">
        <v>9</v>
      </c>
      <c r="B13" s="259" t="s">
        <v>2434</v>
      </c>
      <c r="C13" s="255"/>
      <c r="D13" s="1036"/>
      <c r="E13" s="262"/>
      <c r="F13" s="262"/>
      <c r="G13" s="263"/>
    </row>
    <row r="14" spans="1:8" s="258" customFormat="1" ht="13.5" hidden="1" customHeight="1">
      <c r="A14" s="271" t="s">
        <v>10</v>
      </c>
      <c r="B14" s="259" t="s">
        <v>2346</v>
      </c>
      <c r="C14" s="255"/>
      <c r="D14" s="1036"/>
      <c r="E14" s="262"/>
      <c r="F14" s="262"/>
      <c r="G14" s="263" t="s">
        <v>2435</v>
      </c>
    </row>
    <row r="15" spans="1:8" s="258" customFormat="1" ht="13.5" hidden="1" customHeight="1">
      <c r="A15" s="271" t="s">
        <v>11</v>
      </c>
      <c r="B15" s="259" t="s">
        <v>2436</v>
      </c>
      <c r="C15" s="264"/>
      <c r="D15" s="1036"/>
      <c r="E15" s="262"/>
      <c r="F15" s="262"/>
      <c r="G15" s="263" t="s">
        <v>2437</v>
      </c>
    </row>
    <row r="16" spans="1:8" s="258" customFormat="1" ht="13.5" hidden="1" customHeight="1">
      <c r="A16" s="271" t="s">
        <v>12</v>
      </c>
      <c r="B16" s="259" t="s">
        <v>2346</v>
      </c>
      <c r="C16" s="264"/>
      <c r="D16" s="1036"/>
      <c r="E16" s="262"/>
      <c r="F16" s="262"/>
      <c r="G16" s="263"/>
    </row>
    <row r="17" spans="1:7" s="258" customFormat="1" ht="13.5" hidden="1" customHeight="1">
      <c r="A17" s="271" t="s">
        <v>13</v>
      </c>
      <c r="B17" s="259" t="s">
        <v>2438</v>
      </c>
      <c r="C17" s="273"/>
      <c r="D17" s="1037"/>
      <c r="E17" s="273"/>
      <c r="F17" s="273"/>
      <c r="G17" s="263" t="s">
        <v>2437</v>
      </c>
    </row>
    <row r="18" spans="1:7" s="258" customFormat="1" ht="13.5" hidden="1" customHeight="1">
      <c r="A18" s="271" t="s">
        <v>14</v>
      </c>
      <c r="B18" s="259" t="s">
        <v>2439</v>
      </c>
      <c r="C18" s="264">
        <v>0</v>
      </c>
      <c r="D18" s="1036"/>
      <c r="E18" s="262"/>
      <c r="F18" s="265">
        <v>3.0499999999999999E-2</v>
      </c>
      <c r="G18" s="263" t="s">
        <v>2440</v>
      </c>
    </row>
    <row r="19" spans="1:7" s="267" customFormat="1" ht="13.5" customHeight="1">
      <c r="A19" s="299" t="s">
        <v>2441</v>
      </c>
      <c r="B19" s="254" t="s">
        <v>2442</v>
      </c>
      <c r="C19" s="255">
        <f ca="1">IF(G19="已包含在土地取得成本中","0",ROUND(D19*E19,0))</f>
        <v>5383504</v>
      </c>
      <c r="D19" s="1038">
        <f ca="1">D9+D10</f>
        <v>26917.519999999997</v>
      </c>
      <c r="E19" s="255">
        <f>'数据-取费表'!B31</f>
        <v>200</v>
      </c>
      <c r="F19" s="275"/>
      <c r="G19" s="2555"/>
    </row>
    <row r="20" spans="1:7" s="258" customFormat="1" ht="13.5" customHeight="1">
      <c r="A20" s="299" t="s">
        <v>2443</v>
      </c>
      <c r="B20" s="254" t="s">
        <v>2444</v>
      </c>
      <c r="C20" s="276">
        <f ca="1">ROUND((C5+C19)*F20,0)</f>
        <v>215340</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2">
        <f ca="1">ROUND(SUM(C23:C25),0)</f>
        <v>1057387</v>
      </c>
      <c r="D22" s="279">
        <f ca="1">C26</f>
        <v>1E-3</v>
      </c>
      <c r="E22" s="280" t="s">
        <v>2448</v>
      </c>
      <c r="F22" s="281">
        <f ca="1">'数据-取费表'!B40</f>
        <v>4.7500000000000001E-2</v>
      </c>
      <c r="G22" s="278" t="str">
        <f>IF('数据-取费表'!B22&lt;=1,"单利计息","复利计息")</f>
        <v>复利计息</v>
      </c>
    </row>
    <row r="23" spans="1:7" s="258" customFormat="1" ht="13.5" customHeight="1">
      <c r="A23" s="953" t="s">
        <v>2341</v>
      </c>
      <c r="B23" s="259" t="s">
        <v>2452</v>
      </c>
      <c r="C23" s="1383">
        <f ca="1">ROUND(IF('数据-取费表'!B22&lt;=1,C5*F22*'数据-取费表'!B22,C5*(POWER((1+F22),'数据-取费表'!B22)-1)),0)</f>
        <v>523579</v>
      </c>
      <c r="D23" s="282"/>
      <c r="E23" s="282"/>
      <c r="F23" s="283"/>
      <c r="G23" s="284" t="s">
        <v>2453</v>
      </c>
    </row>
    <row r="24" spans="1:7" s="258" customFormat="1" ht="13.5" customHeight="1">
      <c r="A24" s="953" t="s">
        <v>2343</v>
      </c>
      <c r="B24" s="259" t="s">
        <v>2454</v>
      </c>
      <c r="C24" s="1383">
        <f ca="1">ROUND(IF('数据-取费表'!B22&lt;=1,C19*F22*('数据-取费表'!B19/2+'数据-取费表'!B20),C19*(POWER((1+F22),('数据-取费表'!B19/2+'数据-取费表'!B20))-1)),0)</f>
        <v>523579</v>
      </c>
      <c r="D24" s="282"/>
      <c r="E24" s="282"/>
      <c r="F24" s="283"/>
      <c r="G24" s="284" t="s">
        <v>2455</v>
      </c>
    </row>
    <row r="25" spans="1:7" s="258" customFormat="1" ht="24">
      <c r="A25" s="953" t="s">
        <v>2345</v>
      </c>
      <c r="B25" s="259" t="s">
        <v>2456</v>
      </c>
      <c r="C25" s="1383">
        <f ca="1">ROUND(IF('数据-取费表'!B22&lt;=1,C20*F22*'数据-取费表'!B22/2,C20*(POWER((1+F22),'数据-取费表'!B22/2)-1)),0)</f>
        <v>10229</v>
      </c>
      <c r="D25" s="282"/>
      <c r="E25" s="285"/>
      <c r="F25" s="283"/>
      <c r="G25" s="286" t="s">
        <v>2457</v>
      </c>
    </row>
    <row r="26" spans="1:7" s="258" customFormat="1">
      <c r="A26" s="953"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2196470</v>
      </c>
      <c r="D27" s="279">
        <f ca="1">C29</f>
        <v>4.0000000000000001E-3</v>
      </c>
      <c r="E27" s="280" t="s">
        <v>2383</v>
      </c>
      <c r="F27" s="290">
        <f ca="1">IF(B1="",'数据-取费表'!Q16,INDIRECT("'数据-取费表'!q"&amp;$G$1))</f>
        <v>0.2</v>
      </c>
      <c r="G27" s="291" t="s">
        <v>2384</v>
      </c>
    </row>
    <row r="28" spans="1:7" s="258" customFormat="1" ht="13.5" customHeight="1">
      <c r="A28" s="953" t="s">
        <v>791</v>
      </c>
      <c r="B28" s="292" t="s">
        <v>2385</v>
      </c>
      <c r="C28" s="293">
        <f ca="1">ROUND((C5+C19+C20)*F27,0)</f>
        <v>2196470</v>
      </c>
      <c r="D28" s="279"/>
      <c r="E28" s="280"/>
      <c r="F28" s="290"/>
      <c r="G28" s="291"/>
    </row>
    <row r="29" spans="1:7" s="258" customFormat="1" ht="13.5" customHeight="1">
      <c r="A29" s="953" t="s">
        <v>792</v>
      </c>
      <c r="B29" s="292" t="s">
        <v>2386</v>
      </c>
      <c r="C29" s="282">
        <f ca="1">ROUND(C21*F27,4)</f>
        <v>4.0000000000000001E-3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15445595</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74135132</v>
      </c>
      <c r="D33" s="276"/>
      <c r="E33" s="256"/>
      <c r="F33" s="285"/>
      <c r="G33" s="278"/>
    </row>
    <row r="34" spans="1:7" s="302" customFormat="1" ht="13.5" customHeight="1">
      <c r="A34" s="953" t="s">
        <v>791</v>
      </c>
      <c r="B34" s="259" t="s">
        <v>2394</v>
      </c>
      <c r="C34" s="264">
        <f ca="1">ROUND(IF(B1="",SUMPRODUCT('数据-取费表'!K6:K14,'数据-取费表'!L6:L14),INDIRECT("'数据-取费表'!l"&amp;$G$1)*INDIRECT("'数据-取费表'!k"&amp;$G$1)+'数据-取费表'!L14*INDIRECT("'数据-取费表'!S"&amp;$G$1)),0)</f>
        <v>65167420</v>
      </c>
      <c r="D34" s="261"/>
      <c r="E34" s="264"/>
      <c r="F34" s="301"/>
      <c r="G34" s="263"/>
    </row>
    <row r="35" spans="1:7" ht="13.5" customHeight="1">
      <c r="A35" s="953" t="s">
        <v>796</v>
      </c>
      <c r="B35" s="259" t="s">
        <v>2396</v>
      </c>
      <c r="C35" s="264">
        <f ca="1">ROUND(C34*F35,0)</f>
        <v>2606697</v>
      </c>
      <c r="D35" s="264"/>
      <c r="E35" s="264"/>
      <c r="F35" s="303">
        <f>'数据-取费表'!B33</f>
        <v>0.04</v>
      </c>
      <c r="G35" s="263" t="s">
        <v>2397</v>
      </c>
    </row>
    <row r="36" spans="1:7" ht="24">
      <c r="A36" s="953"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3" t="s">
        <v>798</v>
      </c>
      <c r="B37" s="259" t="s">
        <v>2400</v>
      </c>
      <c r="C37" s="293">
        <f ca="1">ROUND(E37*D37,0)</f>
        <v>5383504</v>
      </c>
      <c r="D37" s="261">
        <f ca="1">D19</f>
        <v>26917.519999999997</v>
      </c>
      <c r="E37" s="293">
        <f>'数据-取费表'!B35</f>
        <v>200</v>
      </c>
      <c r="F37" s="303"/>
      <c r="G37" s="305"/>
    </row>
    <row r="38" spans="1:7" ht="13.5" customHeight="1">
      <c r="A38" s="953" t="s">
        <v>799</v>
      </c>
      <c r="B38" s="259" t="s">
        <v>2402</v>
      </c>
      <c r="C38" s="264">
        <f ca="1">ROUND(C34*F38,0)</f>
        <v>977511</v>
      </c>
      <c r="D38" s="264"/>
      <c r="E38" s="264"/>
      <c r="F38" s="303">
        <f>'数据-取费表'!B36</f>
        <v>1.4999999999999999E-2</v>
      </c>
      <c r="G38" s="263" t="s">
        <v>2397</v>
      </c>
    </row>
    <row r="39" spans="1:7" s="258" customFormat="1" ht="13.5" customHeight="1">
      <c r="A39" s="299" t="s">
        <v>2403</v>
      </c>
      <c r="B39" s="254" t="s">
        <v>2404</v>
      </c>
      <c r="C39" s="276">
        <f ca="1">ROUND(C33*F20,0)</f>
        <v>1482703</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3591847</v>
      </c>
      <c r="D41" s="279">
        <f ca="1">C44</f>
        <v>1E-3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ROUND(IF('数据-取费表'!B22&lt;=1,C33*F22*'数据-取费表'!B20/2,C33*(POWER((1+F22),'数据-取费表'!B20/2)-1)),0)</f>
        <v>3521419</v>
      </c>
      <c r="D42" s="282"/>
      <c r="E42" s="282"/>
      <c r="F42" s="283"/>
      <c r="G42" s="3226" t="s">
        <v>2460</v>
      </c>
    </row>
    <row r="43" spans="1:7" ht="13.5" customHeight="1">
      <c r="A43" s="953" t="s">
        <v>792</v>
      </c>
      <c r="B43" s="259" t="s">
        <v>2414</v>
      </c>
      <c r="C43" s="282">
        <f ca="1">ROUND(IF('数据-取费表'!B22&lt;=1,C39*F22*'数据-取费表'!B20/2,C39*(POWER((1+F22),'数据-取费表'!B20/2)-1)),0)</f>
        <v>70428</v>
      </c>
      <c r="D43" s="282"/>
      <c r="E43" s="282"/>
      <c r="F43" s="283"/>
      <c r="G43" s="3227"/>
    </row>
    <row r="44" spans="1:7" ht="13.5" customHeight="1">
      <c r="A44" s="953" t="s">
        <v>793</v>
      </c>
      <c r="B44" s="259" t="s">
        <v>2415</v>
      </c>
      <c r="C44" s="282">
        <f ca="1">ROUND(IF('数据-取费表'!B22&lt;=1,C40*F22*'数据-取费表'!B20/2,C40*(POWER((1+F22),'数据-取费表'!B20/2)-1)),4)</f>
        <v>1E-3</v>
      </c>
      <c r="D44" s="282"/>
      <c r="E44" s="282"/>
      <c r="F44" s="283"/>
      <c r="G44" s="3228"/>
    </row>
    <row r="45" spans="1:7" s="258" customFormat="1" ht="13.5" customHeight="1">
      <c r="A45" s="299" t="s">
        <v>2416</v>
      </c>
      <c r="B45" s="288" t="s">
        <v>2382</v>
      </c>
      <c r="C45" s="289">
        <f ca="1">C46</f>
        <v>15123567</v>
      </c>
      <c r="D45" s="279">
        <f ca="1">C47</f>
        <v>4.0000000000000001E-3</v>
      </c>
      <c r="E45" s="280" t="s">
        <v>2408</v>
      </c>
      <c r="F45" s="290"/>
      <c r="G45" s="291" t="s">
        <v>2417</v>
      </c>
    </row>
    <row r="46" spans="1:7" s="258" customFormat="1" ht="13.5" customHeight="1">
      <c r="A46" s="953" t="s">
        <v>791</v>
      </c>
      <c r="B46" s="292" t="s">
        <v>2418</v>
      </c>
      <c r="C46" s="293">
        <f ca="1">ROUND((C33+C39)*F27,0)</f>
        <v>15123567</v>
      </c>
      <c r="D46" s="307"/>
      <c r="E46" s="280"/>
      <c r="F46" s="290"/>
      <c r="G46" s="291"/>
    </row>
    <row r="47" spans="1:7" s="258" customFormat="1" ht="13.5" customHeight="1">
      <c r="A47" s="953" t="s">
        <v>792</v>
      </c>
      <c r="B47" s="292" t="s">
        <v>2419</v>
      </c>
      <c r="C47" s="282">
        <f ca="1">ROUND(C40*F27,4)</f>
        <v>4.0000000000000001E-3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102347021</v>
      </c>
      <c r="D49" s="276"/>
      <c r="E49" s="276"/>
      <c r="F49" s="308"/>
      <c r="G49" s="278" t="s">
        <v>2423</v>
      </c>
    </row>
    <row r="50" spans="1:7" s="302" customFormat="1">
      <c r="A50" s="299" t="s">
        <v>2424</v>
      </c>
      <c r="B50" s="254" t="s">
        <v>2425</v>
      </c>
      <c r="C50" s="276"/>
      <c r="D50" s="276"/>
      <c r="E50" s="276"/>
      <c r="F50" s="308">
        <f>IF('数据-取费表'!B24=0,'数据-取费表'!N16,1)</f>
        <v>0.82</v>
      </c>
      <c r="G50" s="291"/>
    </row>
    <row r="51" spans="1:7" ht="16.5" customHeight="1">
      <c r="A51" s="299" t="s">
        <v>2427</v>
      </c>
      <c r="B51" s="254" t="s">
        <v>2462</v>
      </c>
      <c r="C51" s="276">
        <f ca="1">ROUND(C49*F50,0)</f>
        <v>83924557</v>
      </c>
      <c r="D51" s="276"/>
      <c r="E51" s="276"/>
      <c r="F51" s="308"/>
      <c r="G51" s="278" t="s">
        <v>2429</v>
      </c>
    </row>
    <row r="52" spans="1:7" s="252" customFormat="1" ht="16.5" thickBot="1">
      <c r="A52" s="309" t="s">
        <v>2430</v>
      </c>
      <c r="B52" s="310"/>
      <c r="C52" s="311">
        <f ca="1">C31+C51</f>
        <v>99370152</v>
      </c>
      <c r="D52" s="310"/>
      <c r="E52" s="310"/>
      <c r="F52" s="310"/>
      <c r="G52" s="312"/>
    </row>
    <row r="55" spans="1:7" ht="15">
      <c r="B55" s="314" t="s">
        <v>2431</v>
      </c>
      <c r="C55" s="315"/>
    </row>
    <row r="56" spans="1:7">
      <c r="B56" s="317" t="s">
        <v>1514</v>
      </c>
      <c r="C56" s="319">
        <f ca="1">1-C57</f>
        <v>0.15500000000000003</v>
      </c>
    </row>
    <row r="57" spans="1:7">
      <c r="B57" s="317" t="s">
        <v>1515</v>
      </c>
      <c r="C57" s="318">
        <f ca="1">ROUND(C51/C52,3)</f>
        <v>0.84499999999999997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2463</v>
      </c>
      <c r="B1" s="1583"/>
      <c r="C1" s="1584"/>
      <c r="D1" s="1582"/>
      <c r="E1" s="320"/>
      <c r="F1" s="320"/>
      <c r="G1" s="1583"/>
      <c r="H1" s="320"/>
      <c r="I1" s="320"/>
      <c r="J1" s="320"/>
      <c r="K1" s="320">
        <f>MATCH(C1,'数据-取费表'!A6:A16,0)+5</f>
        <v>10</v>
      </c>
    </row>
    <row r="2" spans="1:33" ht="18" customHeight="1">
      <c r="A2" s="245" t="s">
        <v>2331</v>
      </c>
      <c r="B2" s="248">
        <f ca="1">C32</f>
        <v>-640</v>
      </c>
      <c r="C2" s="320" t="s">
        <v>2464</v>
      </c>
      <c r="D2" s="320"/>
      <c r="E2" s="320"/>
      <c r="F2" s="320"/>
      <c r="G2" s="320"/>
      <c r="H2" s="320"/>
      <c r="I2" s="320"/>
      <c r="J2" s="320"/>
      <c r="K2" s="320"/>
    </row>
    <row r="3" spans="1:33" ht="18" customHeight="1" thickBot="1">
      <c r="A3" s="247" t="s">
        <v>2333</v>
      </c>
      <c r="B3" s="248">
        <f ca="1">ROUND(B2*10000/IF(C1="",'数据-汇总表'!E3,INDIRECT("'数据-取费表'!K"&amp;$K$1)),0)</f>
        <v>-238</v>
      </c>
      <c r="C3" s="320" t="s">
        <v>2465</v>
      </c>
      <c r="D3" s="320"/>
      <c r="E3" s="320"/>
      <c r="F3" s="320"/>
      <c r="G3" s="320"/>
      <c r="H3" s="320"/>
      <c r="I3" s="320"/>
      <c r="J3" s="320"/>
      <c r="K3" s="320"/>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16503.55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7"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5"/>
      <c r="F12" s="978">
        <f>'数据-取费表'!B33</f>
        <v>0.04</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5"/>
      <c r="F13" s="978">
        <f>'数据-取费表'!B34</f>
        <v>0.05</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26917.519999999997</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40"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26917.519999999997</v>
      </c>
      <c r="E17" s="24">
        <f>'数据-取费表'!B32</f>
        <v>0</v>
      </c>
      <c r="F17" s="980"/>
      <c r="G17" s="140"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538</v>
      </c>
      <c r="D18" s="1035"/>
      <c r="E18" s="24"/>
      <c r="F18" s="978"/>
      <c r="G18" s="2561"/>
      <c r="H18" s="1579"/>
      <c r="I18" s="2562"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538</v>
      </c>
      <c r="D20" s="1035">
        <f ca="1">IF(C1="",'数据-汇总表'!E6,IF(INDIRECT("'数据-取费表'!c"&amp;$K$1)="住宅",INDIRECT("'数据-取费表'!s"&amp;$K$1),INDIRECT("'数据-取费表'!k"&amp;$K$1)+INDIRECT("'数据-取费表'!s"&amp;$K$1)))</f>
        <v>26917.519999999997</v>
      </c>
      <c r="E20" s="24">
        <f>'数据-取费表'!B28</f>
        <v>200</v>
      </c>
      <c r="F20" s="978"/>
      <c r="G20" s="15"/>
      <c r="H20" s="983"/>
      <c r="I20" s="983"/>
      <c r="J20" s="983"/>
      <c r="K20" s="984"/>
    </row>
    <row r="21" spans="1:33" s="977" customFormat="1" ht="13.5" customHeight="1">
      <c r="A21" s="963" t="s">
        <v>802</v>
      </c>
      <c r="B21" s="987" t="s">
        <v>2500</v>
      </c>
      <c r="C21" s="988">
        <f ca="1">C16+C17+C18</f>
        <v>538</v>
      </c>
      <c r="D21" s="989"/>
      <c r="E21" s="325"/>
      <c r="F21" s="325"/>
      <c r="G21" s="140" t="s">
        <v>2501</v>
      </c>
      <c r="H21" s="981"/>
      <c r="I21" s="981"/>
      <c r="J21" s="981"/>
      <c r="K21" s="982"/>
    </row>
    <row r="22" spans="1:33" s="977" customFormat="1" ht="13.5" customHeight="1">
      <c r="A22" s="963" t="s">
        <v>2473</v>
      </c>
      <c r="B22" s="987" t="s">
        <v>2502</v>
      </c>
      <c r="C22" s="988">
        <f ca="1">ROUND(C21*F22,0)</f>
        <v>11</v>
      </c>
      <c r="D22" s="325"/>
      <c r="E22" s="325"/>
      <c r="F22" s="990">
        <f>'数据-取费表'!B37</f>
        <v>0.02</v>
      </c>
      <c r="G22" s="8" t="s">
        <v>2503</v>
      </c>
      <c r="H22" s="970"/>
      <c r="I22" s="970"/>
      <c r="J22" s="970"/>
      <c r="K22" s="971"/>
    </row>
    <row r="23" spans="1:33" s="977" customFormat="1" ht="13.5" customHeight="1">
      <c r="A23" s="963" t="s">
        <v>2475</v>
      </c>
      <c r="B23" s="987" t="s">
        <v>2504</v>
      </c>
      <c r="C23" s="988">
        <f ca="1">ROUND(C4*F23*F11,0)</f>
        <v>0</v>
      </c>
      <c r="D23" s="325"/>
      <c r="E23" s="325"/>
      <c r="F23" s="990">
        <f>'数据-取费表'!B38</f>
        <v>0.02</v>
      </c>
      <c r="G23" s="8" t="s">
        <v>2505</v>
      </c>
      <c r="H23" s="970"/>
      <c r="I23" s="970"/>
      <c r="J23" s="970"/>
      <c r="K23" s="971"/>
    </row>
    <row r="24" spans="1:33" s="977" customFormat="1" ht="13.5" customHeight="1">
      <c r="A24" s="963" t="s">
        <v>2506</v>
      </c>
      <c r="B24" s="987" t="s">
        <v>2507</v>
      </c>
      <c r="C24" s="324">
        <f>ROUND(F24/(1+'数据-取费表'!C42),4)</f>
        <v>2.9000000000000001E-2</v>
      </c>
      <c r="D24" s="325" t="s">
        <v>15</v>
      </c>
      <c r="E24" s="325"/>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1"/>
      <c r="I27" s="981"/>
      <c r="J27" s="981"/>
      <c r="K27" s="982"/>
    </row>
    <row r="28" spans="1:33" s="333" customFormat="1" ht="13.5" customHeight="1">
      <c r="A28" s="963" t="s">
        <v>2513</v>
      </c>
      <c r="B28" s="2564" t="s">
        <v>2514</v>
      </c>
      <c r="C28" s="331">
        <f ca="1">C30</f>
        <v>110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2515</v>
      </c>
      <c r="C29" s="328">
        <f ca="1">ROUND((1+C24)*F28*'数据-取费表'!B24/'数据-取费表'!B20,4)</f>
        <v>0</v>
      </c>
      <c r="D29" s="328"/>
      <c r="E29" s="329"/>
      <c r="F29" s="334"/>
      <c r="G29" s="140" t="s">
        <v>2516</v>
      </c>
      <c r="H29" s="981"/>
      <c r="I29" s="981"/>
      <c r="J29" s="981"/>
      <c r="K29" s="982"/>
    </row>
    <row r="30" spans="1:33" s="335" customFormat="1" ht="13.5" customHeight="1">
      <c r="A30" s="973" t="s">
        <v>804</v>
      </c>
      <c r="B30" s="996" t="s">
        <v>2517</v>
      </c>
      <c r="C30" s="336">
        <f ca="1">ROUND((C21+C22+C23)*F28,0)</f>
        <v>110</v>
      </c>
      <c r="D30" s="328"/>
      <c r="E30" s="329"/>
      <c r="F30" s="334"/>
      <c r="G30" s="140"/>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5.6000000000000001E-2</v>
      </c>
      <c r="G31" s="1012" t="s">
        <v>2520</v>
      </c>
      <c r="H31" s="1013"/>
      <c r="I31" s="1013"/>
      <c r="J31" s="1013"/>
      <c r="K31" s="1014"/>
    </row>
    <row r="32" spans="1:33" s="972" customFormat="1" ht="13.5" customHeight="1" thickBot="1">
      <c r="A32" s="1002" t="s">
        <v>2521</v>
      </c>
      <c r="B32" s="1003"/>
      <c r="C32" s="1004">
        <f ca="1">ROUND((C4-C21-C22-C23-C25-C28-C31)/(1+C24+D25+D28),0)</f>
        <v>-640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t="s">
        <v>3049</v>
      </c>
      <c r="C1" s="242"/>
      <c r="D1" s="242"/>
      <c r="E1" s="242"/>
      <c r="F1" s="242"/>
      <c r="G1" s="1381">
        <f>MATCH(B1,'数据-取费表'!A6:A16,0)+5</f>
        <v>7</v>
      </c>
    </row>
    <row r="2" spans="1:9" s="244" customFormat="1" ht="18" customHeight="1">
      <c r="A2" s="245" t="s">
        <v>2331</v>
      </c>
      <c r="B2" s="246">
        <f ca="1">IF(D2="——",C52,C52-E2)</f>
        <v>21578</v>
      </c>
      <c r="C2" s="243" t="s">
        <v>2332</v>
      </c>
      <c r="D2" s="2552" t="s">
        <v>70</v>
      </c>
      <c r="E2" s="1442" t="e">
        <f ca="1">SUMIF(INDIRECT("'"&amp;G2&amp;"'"&amp;"!A:A"),"承租人权益价值",INDIRECT("'"&amp;G2&amp;"'"&amp;"!c:c"))</f>
        <v>#REF!</v>
      </c>
      <c r="F2" s="2553" t="s">
        <v>2332</v>
      </c>
      <c r="G2" s="2554"/>
    </row>
    <row r="3" spans="1:9" s="244" customFormat="1" ht="18" customHeight="1" thickBot="1">
      <c r="A3" s="247" t="s">
        <v>2333</v>
      </c>
      <c r="B3" s="248">
        <f ca="1">ROUND(B2*10000/(IF(B1="",'数据-汇总表'!E3,INDIRECT("'数据-取费表'!k"&amp;$G$1))),0)</f>
        <v>43437</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13310</v>
      </c>
      <c r="D5" s="255" t="s">
        <v>2338</v>
      </c>
      <c r="E5" s="256" t="s">
        <v>2339</v>
      </c>
      <c r="F5" s="256" t="s">
        <v>2340</v>
      </c>
      <c r="G5" s="257"/>
    </row>
    <row r="6" spans="1:9" s="258" customFormat="1" ht="13.5" customHeight="1">
      <c r="A6" s="951" t="s">
        <v>2341</v>
      </c>
      <c r="B6" s="259" t="s">
        <v>2342</v>
      </c>
      <c r="C6" s="260">
        <v>12820</v>
      </c>
      <c r="D6" s="261"/>
      <c r="E6" s="262"/>
      <c r="F6" s="262"/>
      <c r="G6" s="263"/>
    </row>
    <row r="7" spans="1:9" s="258" customFormat="1" ht="13.5" customHeight="1">
      <c r="A7" s="951" t="s">
        <v>2343</v>
      </c>
      <c r="B7" s="259" t="s">
        <v>2344</v>
      </c>
      <c r="C7" s="264">
        <f>ROUND(C6*F7,0)</f>
        <v>391</v>
      </c>
      <c r="D7" s="264"/>
      <c r="E7" s="262"/>
      <c r="F7" s="265">
        <f>'数据-取费表'!B48+'数据-取费表'!B49</f>
        <v>3.0499999999999999E-2</v>
      </c>
      <c r="G7" s="263"/>
    </row>
    <row r="8" spans="1:9" s="267" customFormat="1">
      <c r="A8" s="951" t="s">
        <v>2345</v>
      </c>
      <c r="B8" s="259" t="s">
        <v>2346</v>
      </c>
      <c r="C8" s="264">
        <f ca="1">IF(G8="已包含在土地购买价格中","0",IF(B1="",'数据-取费表'!B29,IF(G9="全部缴纳",C9+C10,H9)))</f>
        <v>99</v>
      </c>
      <c r="D8" s="266"/>
      <c r="E8" s="264"/>
      <c r="F8" s="265"/>
      <c r="G8" s="2555" t="s">
        <v>3175</v>
      </c>
    </row>
    <row r="9" spans="1:9" s="258" customFormat="1" ht="13.5" customHeight="1">
      <c r="A9" s="952" t="s">
        <v>800</v>
      </c>
      <c r="B9" s="268" t="s">
        <v>2347</v>
      </c>
      <c r="C9" s="269">
        <f ca="1">ROUND(D9*E9/10000,0)</f>
        <v>0</v>
      </c>
      <c r="D9" s="1034">
        <f ca="1">IF(B1="",'数据-汇总表'!E5,IF(INDIRECT("'数据-取费表'!c"&amp;$G$1)="住宅",INDIRECT("'数据-取费表'!k"&amp;$G$1),0))</f>
        <v>0</v>
      </c>
      <c r="E9" s="269">
        <f>'数据-取费表'!B27</f>
        <v>0</v>
      </c>
      <c r="F9" s="265"/>
      <c r="G9" s="2556" t="s">
        <v>3102</v>
      </c>
      <c r="H9" s="1392">
        <v>99</v>
      </c>
      <c r="I9" s="2557" t="s">
        <v>2348</v>
      </c>
    </row>
    <row r="10" spans="1:9" s="258" customFormat="1" ht="13.5" customHeight="1">
      <c r="A10" s="952" t="s">
        <v>801</v>
      </c>
      <c r="B10" s="268" t="s">
        <v>2349</v>
      </c>
      <c r="C10" s="269">
        <f ca="1">ROUND(D10*E10/10000,0)</f>
        <v>99</v>
      </c>
      <c r="D10" s="1034">
        <f ca="1">IF(B1="",'数据-汇总表'!E6,IF(INDIRECT("'数据-取费表'!c"&amp;$G$1)="住宅",INDIRECT("'数据-取费表'!s"&amp;$G$1),INDIRECT("'数据-取费表'!k"&amp;$G$1)+INDIRECT("'数据-取费表'!s"&amp;$G$1)))</f>
        <v>4967.6099999999997</v>
      </c>
      <c r="E10" s="269">
        <f>'数据-取费表'!B28</f>
        <v>200</v>
      </c>
      <c r="F10" s="265"/>
      <c r="G10" s="270"/>
    </row>
    <row r="11" spans="1:9" s="258" customFormat="1" ht="13.5" hidden="1" customHeight="1">
      <c r="A11" s="271" t="s">
        <v>7</v>
      </c>
      <c r="B11" s="259" t="s">
        <v>2350</v>
      </c>
      <c r="C11" s="255"/>
      <c r="D11" s="1036"/>
      <c r="E11" s="262"/>
      <c r="F11" s="262"/>
      <c r="G11" s="263"/>
    </row>
    <row r="12" spans="1:9" s="258" customFormat="1" ht="13.5" hidden="1" customHeight="1">
      <c r="A12" s="271" t="s">
        <v>8</v>
      </c>
      <c r="B12" s="259" t="s">
        <v>2351</v>
      </c>
      <c r="C12" s="255">
        <v>0</v>
      </c>
      <c r="D12" s="1036"/>
      <c r="E12" s="272"/>
      <c r="F12" s="265">
        <v>3.0499999999999999E-2</v>
      </c>
      <c r="G12" s="263"/>
    </row>
    <row r="13" spans="1:9" s="258" customFormat="1" ht="13.5" hidden="1" customHeight="1">
      <c r="A13" s="271" t="s">
        <v>9</v>
      </c>
      <c r="B13" s="259" t="s">
        <v>2352</v>
      </c>
      <c r="C13" s="255"/>
      <c r="D13" s="1036"/>
      <c r="E13" s="262"/>
      <c r="F13" s="262"/>
      <c r="G13" s="263"/>
    </row>
    <row r="14" spans="1:9" s="258" customFormat="1" ht="13.5" hidden="1" customHeight="1">
      <c r="A14" s="271" t="s">
        <v>10</v>
      </c>
      <c r="B14" s="259" t="s">
        <v>2353</v>
      </c>
      <c r="C14" s="255"/>
      <c r="D14" s="1036"/>
      <c r="E14" s="262"/>
      <c r="F14" s="262"/>
      <c r="G14" s="263" t="s">
        <v>2354</v>
      </c>
    </row>
    <row r="15" spans="1:9" s="258" customFormat="1" ht="13.5" hidden="1" customHeight="1">
      <c r="A15" s="271" t="s">
        <v>11</v>
      </c>
      <c r="B15" s="259" t="s">
        <v>2355</v>
      </c>
      <c r="C15" s="264"/>
      <c r="D15" s="1036"/>
      <c r="E15" s="262"/>
      <c r="F15" s="262"/>
      <c r="G15" s="263" t="s">
        <v>2356</v>
      </c>
    </row>
    <row r="16" spans="1:9" s="258" customFormat="1" ht="13.5" hidden="1" customHeight="1">
      <c r="A16" s="271" t="s">
        <v>12</v>
      </c>
      <c r="B16" s="259" t="s">
        <v>2353</v>
      </c>
      <c r="C16" s="264"/>
      <c r="D16" s="1036"/>
      <c r="E16" s="262"/>
      <c r="F16" s="262"/>
      <c r="G16" s="263"/>
    </row>
    <row r="17" spans="1:7" s="258" customFormat="1" ht="13.5" hidden="1" customHeight="1">
      <c r="A17" s="271" t="s">
        <v>13</v>
      </c>
      <c r="B17" s="259" t="s">
        <v>2357</v>
      </c>
      <c r="C17" s="273"/>
      <c r="D17" s="1037"/>
      <c r="E17" s="273"/>
      <c r="F17" s="273"/>
      <c r="G17" s="263" t="s">
        <v>2356</v>
      </c>
    </row>
    <row r="18" spans="1:7" s="258" customFormat="1" ht="13.5" hidden="1" customHeight="1">
      <c r="A18" s="271" t="s">
        <v>14</v>
      </c>
      <c r="B18" s="259" t="s">
        <v>2358</v>
      </c>
      <c r="C18" s="264">
        <v>0</v>
      </c>
      <c r="D18" s="1036"/>
      <c r="E18" s="262"/>
      <c r="F18" s="265">
        <v>3.0499999999999999E-2</v>
      </c>
      <c r="G18" s="263" t="s">
        <v>2359</v>
      </c>
    </row>
    <row r="19" spans="1:7" s="267" customFormat="1" ht="13.5" customHeight="1">
      <c r="A19" s="299" t="s">
        <v>2360</v>
      </c>
      <c r="B19" s="254" t="s">
        <v>2361</v>
      </c>
      <c r="C19" s="255" t="str">
        <f>IF(G19="已包含在土地取得成本中","0",ROUND(D19*E19/10000,0))</f>
        <v>0</v>
      </c>
      <c r="D19" s="1038">
        <f ca="1">D9+D10</f>
        <v>4967.6099999999997</v>
      </c>
      <c r="E19" s="255">
        <f>'数据-取费表'!B31</f>
        <v>200</v>
      </c>
      <c r="F19" s="275"/>
      <c r="G19" s="2555" t="s">
        <v>3176</v>
      </c>
    </row>
    <row r="20" spans="1:7" s="258" customFormat="1" ht="13.5" customHeight="1">
      <c r="A20" s="299" t="s">
        <v>2362</v>
      </c>
      <c r="B20" s="254" t="s">
        <v>2363</v>
      </c>
      <c r="C20" s="276">
        <f ca="1">ROUND((C5+C19)*F20,0)</f>
        <v>266</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1307</v>
      </c>
      <c r="D22" s="279">
        <f ca="1">C26</f>
        <v>1E-3</v>
      </c>
      <c r="E22" s="280" t="s">
        <v>2367</v>
      </c>
      <c r="F22" s="281">
        <f ca="1">'数据-取费表'!B40</f>
        <v>4.7500000000000001E-2</v>
      </c>
      <c r="G22" s="278" t="str">
        <f>IF('数据-取费表'!B22&lt;=1,"单利计息","复利计息")</f>
        <v>复利计息</v>
      </c>
    </row>
    <row r="23" spans="1:7" s="258" customFormat="1" ht="13.5" customHeight="1">
      <c r="A23" s="953" t="s">
        <v>2371</v>
      </c>
      <c r="B23" s="259" t="s">
        <v>2372</v>
      </c>
      <c r="C23" s="1357">
        <f ca="1">ROUND(IF('数据-取费表'!B22&lt;=1,C5*F22*'数据-取费表'!B23,C5*(POWER((1+F22),'数据-取费表'!B23)-1)),0)</f>
        <v>1294</v>
      </c>
      <c r="D23" s="282"/>
      <c r="E23" s="282"/>
      <c r="F23" s="283"/>
      <c r="G23" s="284" t="s">
        <v>2373</v>
      </c>
    </row>
    <row r="24" spans="1:7" s="258" customFormat="1" ht="13.5" customHeight="1">
      <c r="A24" s="953" t="s">
        <v>2374</v>
      </c>
      <c r="B24" s="259" t="s">
        <v>2375</v>
      </c>
      <c r="C24" s="1357">
        <f ca="1">ROUND(IF('数据-取费表'!B22&lt;=1,C19*F22*('数据-取费表'!B19/2+'数据-取费表'!B21),C19*(POWER((1+F22),('数据-取费表'!B19/2+'数据-取费表'!B21))-1)),0)</f>
        <v>0</v>
      </c>
      <c r="D24" s="282"/>
      <c r="E24" s="282"/>
      <c r="F24" s="283"/>
      <c r="G24" s="284" t="s">
        <v>2376</v>
      </c>
    </row>
    <row r="25" spans="1:7" s="258" customFormat="1" ht="24">
      <c r="A25" s="953" t="s">
        <v>2377</v>
      </c>
      <c r="B25" s="259" t="s">
        <v>2378</v>
      </c>
      <c r="C25" s="1357">
        <f ca="1">ROUND(IF('数据-取费表'!B22&lt;=1,C20*F22*'数据-取费表'!B23/2,C20*(POWER((1+F22),'数据-取费表'!B23/2)-1)),0)</f>
        <v>13</v>
      </c>
      <c r="D25" s="282"/>
      <c r="E25" s="285"/>
      <c r="F25" s="283"/>
      <c r="G25" s="286" t="s">
        <v>2379</v>
      </c>
    </row>
    <row r="26" spans="1:7" s="258" customFormat="1">
      <c r="A26" s="953"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2715</v>
      </c>
      <c r="D27" s="279">
        <f ca="1">C29</f>
        <v>4.0000000000000001E-3</v>
      </c>
      <c r="E27" s="280" t="s">
        <v>2367</v>
      </c>
      <c r="F27" s="290">
        <f ca="1">IF(B1="",'数据-取费表'!Q16,INDIRECT("'数据-取费表'!q"&amp;$G$1))</f>
        <v>0.2</v>
      </c>
      <c r="G27" s="291" t="s">
        <v>2384</v>
      </c>
    </row>
    <row r="28" spans="1:7" s="258" customFormat="1" ht="13.5" customHeight="1">
      <c r="A28" s="953" t="s">
        <v>791</v>
      </c>
      <c r="B28" s="292" t="s">
        <v>2385</v>
      </c>
      <c r="C28" s="293">
        <f ca="1">ROUND((C5+C19+C20)*F27*'数据-取费表'!B21/'数据-取费表'!B20,0)</f>
        <v>2715</v>
      </c>
      <c r="D28" s="279"/>
      <c r="E28" s="280"/>
      <c r="F28" s="290"/>
      <c r="G28" s="291"/>
    </row>
    <row r="29" spans="1:7" s="258" customFormat="1" ht="13.5" customHeight="1">
      <c r="A29" s="953" t="s">
        <v>792</v>
      </c>
      <c r="B29" s="292" t="s">
        <v>2386</v>
      </c>
      <c r="C29" s="282">
        <f ca="1">ROUND(C21*F27*'数据-取费表'!B21/'数据-取费表'!B20,4)</f>
        <v>4.0000000000000001E-3</v>
      </c>
      <c r="D29" s="279"/>
      <c r="E29" s="280"/>
      <c r="F29" s="290"/>
      <c r="G29" s="291"/>
    </row>
    <row r="30" spans="1:7" s="258" customFormat="1" ht="13.5" customHeight="1">
      <c r="A30" s="299" t="s">
        <v>2387</v>
      </c>
      <c r="B30" s="254" t="s">
        <v>2388</v>
      </c>
      <c r="C30" s="279">
        <f>ROUND(F30/(1+'数据-取费表'!C42),4)</f>
        <v>5.33E-2</v>
      </c>
      <c r="D30" s="280" t="s">
        <v>2367</v>
      </c>
      <c r="E30" s="285"/>
      <c r="F30" s="281">
        <f>'数据-取费表'!B41</f>
        <v>5.6000000000000001E-2</v>
      </c>
      <c r="G30" s="278" t="s">
        <v>2389</v>
      </c>
    </row>
    <row r="31" spans="1:7" ht="16.5" customHeight="1">
      <c r="A31" s="253">
        <v>1</v>
      </c>
      <c r="B31" s="254" t="s">
        <v>2390</v>
      </c>
      <c r="C31" s="255">
        <f ca="1">ROUND((C5+C19+C20+C22+C27)/(1-C21-D22-D27-C30),0)</f>
        <v>19093</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2195</v>
      </c>
      <c r="D33" s="276"/>
      <c r="E33" s="256"/>
      <c r="F33" s="285"/>
      <c r="G33" s="278"/>
    </row>
    <row r="34" spans="1:7" s="302" customFormat="1" ht="13.5" customHeight="1">
      <c r="A34" s="953" t="s">
        <v>791</v>
      </c>
      <c r="B34" s="259" t="s">
        <v>2394</v>
      </c>
      <c r="C34" s="264">
        <f ca="1">IF(B1="",IF(F34=100%,'数据-取费表'!M16,'数据-取费表'!O16),IF(F34=100%,INDIRECT("'数据-取费表'!m"&amp;$G$1)+INDIRECT("'数据-取费表'!t"&amp;$G$1),INDIRECT("'数据-取费表'!o"&amp;$G$1)+INDIRECT("'数据-取费表'!aq"&amp;$G$1)))</f>
        <v>1987</v>
      </c>
      <c r="D34" s="261"/>
      <c r="E34" s="264"/>
      <c r="F34" s="301">
        <f ca="1">IF('数据-取费表'!B24=0,1,IF(B1="",'数据-取费表'!N16,INDIRECT("'数据-取费表'!n"&amp;$G$1)))</f>
        <v>1</v>
      </c>
      <c r="G34" s="263" t="s">
        <v>2395</v>
      </c>
    </row>
    <row r="35" spans="1:7" ht="13.5" customHeight="1">
      <c r="A35" s="953" t="s">
        <v>796</v>
      </c>
      <c r="B35" s="259" t="s">
        <v>2396</v>
      </c>
      <c r="C35" s="264">
        <f ca="1">ROUND(C34*F35,0)</f>
        <v>79</v>
      </c>
      <c r="D35" s="264"/>
      <c r="E35" s="264"/>
      <c r="F35" s="303">
        <f>'数据-取费表'!B33</f>
        <v>0.04</v>
      </c>
      <c r="G35" s="263" t="s">
        <v>2397</v>
      </c>
    </row>
    <row r="36" spans="1:7" ht="24">
      <c r="A36" s="953"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3" t="s">
        <v>798</v>
      </c>
      <c r="B37" s="259" t="s">
        <v>2400</v>
      </c>
      <c r="C37" s="293">
        <f ca="1">ROUND(E37*D37*F34/10000,0)</f>
        <v>99</v>
      </c>
      <c r="D37" s="261">
        <f ca="1">D19</f>
        <v>4967.6099999999997</v>
      </c>
      <c r="E37" s="293">
        <f>'数据-取费表'!B35</f>
        <v>200</v>
      </c>
      <c r="F37" s="303"/>
      <c r="G37" s="305" t="s">
        <v>2401</v>
      </c>
    </row>
    <row r="38" spans="1:7" ht="13.5" customHeight="1">
      <c r="A38" s="953" t="s">
        <v>799</v>
      </c>
      <c r="B38" s="259" t="s">
        <v>2402</v>
      </c>
      <c r="C38" s="264">
        <f ca="1">ROUND(C34*F38,0)</f>
        <v>30</v>
      </c>
      <c r="D38" s="264"/>
      <c r="E38" s="264"/>
      <c r="F38" s="303">
        <f>'数据-取费表'!B36</f>
        <v>1.4999999999999999E-2</v>
      </c>
      <c r="G38" s="263" t="s">
        <v>2397</v>
      </c>
    </row>
    <row r="39" spans="1:7" s="258" customFormat="1" ht="13.5" customHeight="1">
      <c r="A39" s="299" t="s">
        <v>2360</v>
      </c>
      <c r="B39" s="254" t="s">
        <v>2363</v>
      </c>
      <c r="C39" s="276">
        <f ca="1">ROUND(C33*F20,0)</f>
        <v>44</v>
      </c>
      <c r="D39" s="276"/>
      <c r="E39" s="276"/>
      <c r="F39" s="277"/>
      <c r="G39" s="278" t="s">
        <v>2405</v>
      </c>
    </row>
    <row r="40" spans="1:7" s="258" customFormat="1" ht="13.5" customHeight="1">
      <c r="A40" s="299" t="s">
        <v>2362</v>
      </c>
      <c r="B40" s="254" t="s">
        <v>2366</v>
      </c>
      <c r="C40" s="1730">
        <f>F21</f>
        <v>0.02</v>
      </c>
      <c r="D40" s="280" t="s">
        <v>2408</v>
      </c>
      <c r="E40" s="276"/>
      <c r="F40" s="277"/>
      <c r="G40" s="278" t="s">
        <v>2409</v>
      </c>
    </row>
    <row r="41" spans="1:7" s="258" customFormat="1" ht="13.5" customHeight="1">
      <c r="A41" s="299" t="s">
        <v>2365</v>
      </c>
      <c r="B41" s="254" t="s">
        <v>2370</v>
      </c>
      <c r="C41" s="276">
        <f ca="1">ROUND(SUM(C42:C43),0)</f>
        <v>106</v>
      </c>
      <c r="D41" s="279">
        <f ca="1">C44</f>
        <v>1E-3</v>
      </c>
      <c r="E41" s="280" t="s">
        <v>2408</v>
      </c>
      <c r="F41" s="281"/>
      <c r="G41" s="278" t="str">
        <f>IF('数据-取费表'!B22&lt;=1,"单利计息","复利计息")</f>
        <v>复利计息</v>
      </c>
    </row>
    <row r="42" spans="1:7" ht="13.5" customHeight="1">
      <c r="A42" s="953" t="s">
        <v>791</v>
      </c>
      <c r="B42" s="259" t="s">
        <v>2372</v>
      </c>
      <c r="C42" s="282">
        <f ca="1">ROUND(IF('数据-取费表'!B22&lt;=1,C33*F22*'数据-取费表'!B21/2,C33*(POWER((1+F22),'数据-取费表'!B21/2)-1)),0)</f>
        <v>104</v>
      </c>
      <c r="D42" s="282"/>
      <c r="E42" s="282"/>
      <c r="F42" s="283"/>
      <c r="G42" s="3226" t="s">
        <v>2413</v>
      </c>
    </row>
    <row r="43" spans="1:7" ht="13.5" customHeight="1">
      <c r="A43" s="953" t="s">
        <v>792</v>
      </c>
      <c r="B43" s="259" t="s">
        <v>2375</v>
      </c>
      <c r="C43" s="282">
        <f ca="1">ROUND(IF('数据-取费表'!B22&lt;=1,C39*F22*'数据-取费表'!B21/2,C39*(POWER((1+F22),'数据-取费表'!B21/2)-1)),0)</f>
        <v>2</v>
      </c>
      <c r="D43" s="282"/>
      <c r="E43" s="282"/>
      <c r="F43" s="283"/>
      <c r="G43" s="3227"/>
    </row>
    <row r="44" spans="1:7" ht="13.5" customHeight="1">
      <c r="A44" s="953" t="s">
        <v>793</v>
      </c>
      <c r="B44" s="259" t="s">
        <v>2378</v>
      </c>
      <c r="C44" s="282">
        <f ca="1">ROUND(IF('数据-取费表'!B22&lt;=1,C40*F22*'数据-取费表'!B21/2,C40*(POWER((1+F22),'数据-取费表'!B21/2)-1)),4)</f>
        <v>1E-3</v>
      </c>
      <c r="D44" s="282"/>
      <c r="E44" s="282"/>
      <c r="F44" s="283"/>
      <c r="G44" s="3228"/>
    </row>
    <row r="45" spans="1:7" s="258" customFormat="1" ht="13.5" customHeight="1">
      <c r="A45" s="299" t="s">
        <v>2369</v>
      </c>
      <c r="B45" s="288" t="s">
        <v>2382</v>
      </c>
      <c r="C45" s="289">
        <f ca="1">C46</f>
        <v>448</v>
      </c>
      <c r="D45" s="279">
        <f ca="1">C47</f>
        <v>4.0000000000000001E-3</v>
      </c>
      <c r="E45" s="280" t="s">
        <v>2408</v>
      </c>
      <c r="F45" s="290"/>
      <c r="G45" s="291" t="s">
        <v>2417</v>
      </c>
    </row>
    <row r="46" spans="1:7" s="258" customFormat="1" ht="13.5" customHeight="1">
      <c r="A46" s="953" t="s">
        <v>791</v>
      </c>
      <c r="B46" s="292" t="s">
        <v>2418</v>
      </c>
      <c r="C46" s="293">
        <f ca="1">ROUND((C33+C39)*F27,0)</f>
        <v>448</v>
      </c>
      <c r="D46" s="307"/>
      <c r="E46" s="280"/>
      <c r="F46" s="290"/>
      <c r="G46" s="291"/>
    </row>
    <row r="47" spans="1:7" s="258" customFormat="1" ht="13.5" customHeight="1">
      <c r="A47" s="953" t="s">
        <v>792</v>
      </c>
      <c r="B47" s="292" t="s">
        <v>2419</v>
      </c>
      <c r="C47" s="282">
        <f ca="1">ROUND(C40*F27,4)</f>
        <v>4.0000000000000001E-3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3030</v>
      </c>
      <c r="D49" s="276"/>
      <c r="E49" s="276"/>
      <c r="F49" s="308"/>
      <c r="G49" s="278" t="s">
        <v>2423</v>
      </c>
    </row>
    <row r="50" spans="1:7" s="302" customFormat="1" ht="24">
      <c r="A50" s="299" t="s">
        <v>2424</v>
      </c>
      <c r="B50" s="254" t="s">
        <v>2425</v>
      </c>
      <c r="C50" s="276"/>
      <c r="D50" s="276"/>
      <c r="E50" s="276"/>
      <c r="F50" s="308">
        <f>IF('数据-取费表'!B24=0,'数据-取费表'!N16,1)</f>
        <v>0.82</v>
      </c>
      <c r="G50" s="291" t="s">
        <v>2426</v>
      </c>
    </row>
    <row r="51" spans="1:7" ht="16.5" customHeight="1">
      <c r="A51" s="299" t="s">
        <v>2427</v>
      </c>
      <c r="B51" s="254" t="s">
        <v>2428</v>
      </c>
      <c r="C51" s="276">
        <f ca="1">ROUND(C49*F50,0)</f>
        <v>2485</v>
      </c>
      <c r="D51" s="276"/>
      <c r="E51" s="276"/>
      <c r="F51" s="308"/>
      <c r="G51" s="278" t="s">
        <v>2429</v>
      </c>
    </row>
    <row r="52" spans="1:7" s="252" customFormat="1" ht="16.5" thickBot="1">
      <c r="A52" s="309" t="s">
        <v>2430</v>
      </c>
      <c r="B52" s="310"/>
      <c r="C52" s="311">
        <f ca="1">C31+C51</f>
        <v>21578</v>
      </c>
      <c r="D52" s="310"/>
      <c r="E52" s="310"/>
      <c r="F52" s="310"/>
      <c r="G52" s="312"/>
    </row>
    <row r="55" spans="1:7" ht="15">
      <c r="B55" s="314" t="s">
        <v>2431</v>
      </c>
      <c r="C55" s="315"/>
    </row>
    <row r="56" spans="1:7">
      <c r="B56" s="317" t="s">
        <v>1514</v>
      </c>
      <c r="C56" s="319">
        <f ca="1">1-C57</f>
        <v>0.88500000000000001</v>
      </c>
    </row>
    <row r="57" spans="1:7">
      <c r="B57" s="317" t="s">
        <v>1515</v>
      </c>
      <c r="C57" s="318">
        <f ca="1">ROUND(C51/C52,3)</f>
        <v>0.115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B79" sqref="B79:C7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3049</v>
      </c>
      <c r="D1" s="1822" t="s">
        <v>70</v>
      </c>
      <c r="E1" s="1823" t="s">
        <v>1387</v>
      </c>
      <c r="F1" s="1285">
        <f ca="1">J53</f>
        <v>23.7</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14155</v>
      </c>
      <c r="C2" s="1847" t="s">
        <v>1517</v>
      </c>
      <c r="D2" s="1847"/>
      <c r="E2" s="1848"/>
      <c r="F2" s="1849"/>
      <c r="G2" s="1850"/>
      <c r="H2" s="1842"/>
      <c r="I2" s="1842"/>
      <c r="J2" s="1842"/>
      <c r="K2" s="1843"/>
      <c r="L2" s="1842"/>
      <c r="M2" s="1842"/>
    </row>
    <row r="3" spans="1:37" ht="18" customHeight="1" thickBot="1">
      <c r="A3" s="1851" t="s">
        <v>1518</v>
      </c>
      <c r="B3" s="1852">
        <f ca="1">IF(ISERROR(B2*10000/F43),0,ROUND(B2*10000/F43,0))</f>
        <v>28495</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1089</v>
      </c>
      <c r="D5" s="1824" t="s">
        <v>1402</v>
      </c>
      <c r="E5" s="1295"/>
      <c r="F5" s="1296"/>
      <c r="G5" s="1853"/>
      <c r="H5" s="344">
        <v>1</v>
      </c>
      <c r="I5" s="345" t="s">
        <v>1401</v>
      </c>
      <c r="J5" s="1294">
        <f ca="1">J6+J10+J12</f>
        <v>0</v>
      </c>
      <c r="K5" s="1824" t="s">
        <v>1402</v>
      </c>
      <c r="L5" s="1295"/>
      <c r="M5" s="1296"/>
    </row>
    <row r="6" spans="1:37" ht="18" customHeight="1">
      <c r="A6" s="1293" t="s">
        <v>1035</v>
      </c>
      <c r="B6" s="3231" t="s">
        <v>1403</v>
      </c>
      <c r="C6" s="1298">
        <f ca="1">ROUND(F6*F8*F7*(1-F9)/10000,0)</f>
        <v>1088</v>
      </c>
      <c r="D6" s="164" t="s">
        <v>3038</v>
      </c>
      <c r="E6" s="347" t="s">
        <v>1405</v>
      </c>
      <c r="F6" s="348">
        <f ca="1">INDIRECT("'数据-取费表'!u"&amp;$G$1)</f>
        <v>6</v>
      </c>
      <c r="G6" s="1853"/>
      <c r="H6" s="1293" t="s">
        <v>1035</v>
      </c>
      <c r="I6" s="3231" t="s">
        <v>1403</v>
      </c>
      <c r="J6" s="346">
        <f ca="1">ROUND(M6*M8*M7*(1-M9)/10000,0)</f>
        <v>0</v>
      </c>
      <c r="K6" s="164" t="s">
        <v>3037</v>
      </c>
      <c r="L6" s="347" t="s">
        <v>1405</v>
      </c>
      <c r="M6" s="348">
        <f ca="1">INDIRECT("'数据-取费表'!z"&amp;$G$1)</f>
        <v>0</v>
      </c>
    </row>
    <row r="7" spans="1:37" ht="18" customHeight="1">
      <c r="A7" s="1297"/>
      <c r="B7" s="3232"/>
      <c r="C7" s="1299"/>
      <c r="D7" s="352"/>
      <c r="E7" s="1300" t="s">
        <v>1406</v>
      </c>
      <c r="F7" s="348">
        <f ca="1">IF(INDIRECT("'数据-取费表'!ah"&amp;$G$1)="",INDIRECT("'数据-取费表'!k"&amp;$G$1),INDIRECT("'数据-取费表'!ah"&amp;$G$1))</f>
        <v>4967.6099999999997</v>
      </c>
      <c r="G7" s="1853"/>
      <c r="H7" s="349"/>
      <c r="I7" s="3232"/>
      <c r="J7" s="351"/>
      <c r="K7" s="352"/>
      <c r="L7" s="347" t="s">
        <v>1406</v>
      </c>
      <c r="M7" s="348">
        <f ca="1">F7</f>
        <v>4967.6099999999997</v>
      </c>
    </row>
    <row r="8" spans="1:37" ht="18" customHeight="1">
      <c r="A8" s="349"/>
      <c r="B8" s="3232"/>
      <c r="C8" s="351"/>
      <c r="D8" s="352"/>
      <c r="E8" s="347" t="s">
        <v>1407</v>
      </c>
      <c r="F8" s="348">
        <f ca="1">INDIRECT("'数据-取费表'!ai"&amp;$G$1)</f>
        <v>365</v>
      </c>
      <c r="G8" s="1853"/>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v>
      </c>
      <c r="G9" s="1853"/>
      <c r="H9" s="349"/>
      <c r="I9" s="323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1</v>
      </c>
      <c r="D10" s="1826" t="s">
        <v>3039</v>
      </c>
      <c r="E10" s="358" t="s">
        <v>1411</v>
      </c>
      <c r="F10" s="1368" t="s">
        <v>3082</v>
      </c>
      <c r="G10" s="1853"/>
      <c r="H10" s="1293" t="s">
        <v>1039</v>
      </c>
      <c r="I10" s="1825" t="s">
        <v>1409</v>
      </c>
      <c r="J10" s="346">
        <f ca="1">ROUND(IF(M10="押一",M6*M8*M7/12*M11,IF(M10="押二",M6*M8*M7/12*2*M11,IF(M10="押三",M6*M8*M7/12*3*M11,J11*M11)))/10000,0)</f>
        <v>0</v>
      </c>
      <c r="K10" s="1826" t="s">
        <v>3040</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2485</v>
      </c>
      <c r="D13" s="1333" t="s">
        <v>1416</v>
      </c>
      <c r="E13" s="1333" t="s">
        <v>1417</v>
      </c>
      <c r="F13" s="1334">
        <f ca="1">INDIRECT("'数据-取费表'!y"&amp;$G$1)</f>
        <v>0.82</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1987</v>
      </c>
      <c r="D14" s="1802" t="s">
        <v>1419</v>
      </c>
      <c r="E14" s="1796"/>
      <c r="F14" s="364"/>
      <c r="G14" s="1853"/>
      <c r="H14" s="1203" t="s">
        <v>1035</v>
      </c>
      <c r="I14" s="347" t="s">
        <v>1420</v>
      </c>
      <c r="J14" s="24">
        <f ca="1">C29</f>
        <v>3030</v>
      </c>
      <c r="K14" s="15"/>
      <c r="L14" s="981"/>
      <c r="M14" s="982"/>
    </row>
    <row r="15" spans="1:37" s="1860" customFormat="1" ht="18" customHeight="1" thickBot="1">
      <c r="A15" s="1203" t="s">
        <v>1036</v>
      </c>
      <c r="B15" s="347" t="s">
        <v>1421</v>
      </c>
      <c r="C15" s="24">
        <f ca="1">ROUND(C14*F15,0)</f>
        <v>79</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73</v>
      </c>
      <c r="K16" s="1339" t="s">
        <v>1426</v>
      </c>
      <c r="L16" s="1340"/>
      <c r="M16" s="1296"/>
    </row>
    <row r="17" spans="1:37" s="1860" customFormat="1" ht="18" customHeight="1">
      <c r="A17" s="1203" t="s">
        <v>1390</v>
      </c>
      <c r="B17" s="347" t="s">
        <v>1427</v>
      </c>
      <c r="C17" s="24">
        <f ca="1">ROUND(F17*(F43+INDIRECT("'数据-取费表'!S"&amp;$G$1))/10000,0)</f>
        <v>99</v>
      </c>
      <c r="D17" s="347" t="s">
        <v>1428</v>
      </c>
      <c r="E17" s="347" t="s">
        <v>1429</v>
      </c>
      <c r="F17" s="26">
        <f>'数据-取费表'!B35</f>
        <v>200</v>
      </c>
      <c r="G17" s="1856"/>
      <c r="H17" s="1203" t="s">
        <v>1035</v>
      </c>
      <c r="I17" s="347" t="s">
        <v>1430</v>
      </c>
      <c r="J17" s="24">
        <f ca="1">ROUND(IF(项目基本情况!B11="自然人",J5*M17,J18+J19+J20),1)</f>
        <v>27.5</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30</v>
      </c>
      <c r="D18" s="347" t="s">
        <v>1422</v>
      </c>
      <c r="E18" s="347" t="s">
        <v>1423</v>
      </c>
      <c r="F18" s="367">
        <f>'数据-取费表'!B36</f>
        <v>1.4999999999999999E-2</v>
      </c>
      <c r="G18" s="1856"/>
      <c r="H18" s="1203"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2195</v>
      </c>
      <c r="D19" s="140" t="s">
        <v>1437</v>
      </c>
      <c r="E19" s="1820"/>
      <c r="F19" s="26"/>
      <c r="G19" s="1853"/>
      <c r="H19" s="1203" t="s">
        <v>1036</v>
      </c>
      <c r="I19" s="347" t="s">
        <v>1438</v>
      </c>
      <c r="J19" s="24">
        <f ca="1">IF(K19="按租金收入计税",ROUND(J5*M19,2),ROUND(C29*M19*0.7,2))</f>
        <v>25.45</v>
      </c>
      <c r="K19" s="1830" t="s">
        <v>1439</v>
      </c>
      <c r="L19" s="347" t="s">
        <v>1423</v>
      </c>
      <c r="M19" s="367">
        <f>IF(K19="按租金收入计税",'数据-取费表'!B51,'数据-取费表'!B50)</f>
        <v>1.2E-2</v>
      </c>
    </row>
    <row r="20" spans="1:37" s="1860" customFormat="1" ht="18" customHeight="1">
      <c r="A20" s="1203" t="s">
        <v>1039</v>
      </c>
      <c r="B20" s="347" t="s">
        <v>1440</v>
      </c>
      <c r="C20" s="24">
        <f ca="1">ROUND(C19*F20,0)</f>
        <v>44</v>
      </c>
      <c r="D20" s="369" t="s">
        <v>1441</v>
      </c>
      <c r="E20" s="347" t="s">
        <v>1423</v>
      </c>
      <c r="F20" s="367">
        <f>'数据-取费表'!B37</f>
        <v>0.02</v>
      </c>
      <c r="G20" s="1856"/>
      <c r="H20" s="1203" t="s">
        <v>1389</v>
      </c>
      <c r="I20" s="164" t="s">
        <v>1442</v>
      </c>
      <c r="J20" s="25">
        <f ca="1">ROUND(M20*M21/10000,2)</f>
        <v>2.09</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697.91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ROUND(J14*M22,1)</f>
        <v>45.5</v>
      </c>
      <c r="K22" s="180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106</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ROUND(J5*M24,1)</f>
        <v>0</v>
      </c>
      <c r="K24" s="1344" t="s">
        <v>1460</v>
      </c>
      <c r="L24" s="1342" t="s">
        <v>1456</v>
      </c>
      <c r="M24" s="1338">
        <f ca="1">INDIRECT("'数据-取费表'!Am"&amp;$G$1)</f>
        <v>0.05</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-73</v>
      </c>
      <c r="K25" s="1347" t="s">
        <v>1465</v>
      </c>
      <c r="L25" s="1348"/>
      <c r="M25" s="1349"/>
    </row>
    <row r="26" spans="1:37">
      <c r="A26" s="1203" t="s">
        <v>1034</v>
      </c>
      <c r="B26" s="347" t="s">
        <v>1466</v>
      </c>
      <c r="C26" s="24">
        <f ca="1">ROUND((C19+C20)*F26,0)</f>
        <v>448</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3030</v>
      </c>
      <c r="D29" s="1344"/>
      <c r="E29" s="1342"/>
      <c r="F29" s="1345"/>
      <c r="G29" s="1856"/>
      <c r="H29" s="380" t="s">
        <v>1033</v>
      </c>
      <c r="I29" s="381" t="s">
        <v>1480</v>
      </c>
      <c r="J29" s="382">
        <f ca="1">ROUND(J26/(1+F40)^F41,0)</f>
        <v>0</v>
      </c>
      <c r="K29" s="383" t="s">
        <v>1481</v>
      </c>
      <c r="L29" s="384"/>
      <c r="M29" s="385">
        <f ca="1">INDIRECT("'数据-取费表'!k"&amp;$G$1)</f>
        <v>4967.6099999999997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189</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85.6</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58.08</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25.45</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2.09</v>
      </c>
      <c r="D34" s="370" t="s">
        <v>1443</v>
      </c>
      <c r="E34" s="347" t="s">
        <v>1444</v>
      </c>
      <c r="F34" s="371">
        <f>'数据-取费表'!B52</f>
        <v>30</v>
      </c>
      <c r="G34" s="1853"/>
      <c r="H34" s="745"/>
      <c r="I34" s="1862"/>
      <c r="J34" s="1863"/>
      <c r="K34" s="1865"/>
      <c r="L34" s="1866"/>
      <c r="M34" s="1866"/>
    </row>
    <row r="35" spans="1:18" ht="18" customHeight="1">
      <c r="A35" s="1355"/>
      <c r="B35" s="1353"/>
      <c r="C35" s="29"/>
      <c r="D35" s="373"/>
      <c r="E35" s="347" t="s">
        <v>1448</v>
      </c>
      <c r="F35" s="348">
        <f ca="1">INDIRECT("'数据-取费表'!r"&amp;$G$1)</f>
        <v>697.91</v>
      </c>
      <c r="G35" s="1853"/>
      <c r="H35" s="745"/>
      <c r="I35" s="1862"/>
      <c r="J35" s="1863"/>
      <c r="K35" s="1864"/>
      <c r="L35" s="1861"/>
      <c r="M35" s="1861"/>
    </row>
    <row r="36" spans="1:18" ht="18" customHeight="1">
      <c r="A36" s="1354" t="s">
        <v>1039</v>
      </c>
      <c r="B36" s="347" t="s">
        <v>1450</v>
      </c>
      <c r="C36" s="24">
        <f ca="1">ROUND(C29*F36,1)</f>
        <v>45.5</v>
      </c>
      <c r="D36" s="1800"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3.7</v>
      </c>
      <c r="D37" s="1800"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54.5</v>
      </c>
      <c r="D38" s="1344" t="s">
        <v>1460</v>
      </c>
      <c r="E38" s="1342" t="s">
        <v>1456</v>
      </c>
      <c r="F38" s="1338">
        <f ca="1">INDIRECT("'数据-取费表'!Am"&amp;$G$1)</f>
        <v>0.05</v>
      </c>
      <c r="G38" s="1853"/>
      <c r="H38" s="1861"/>
      <c r="I38" s="1862"/>
      <c r="J38" s="1863"/>
      <c r="K38" s="1867"/>
      <c r="L38" s="1861"/>
      <c r="M38" s="1861"/>
    </row>
    <row r="39" spans="1:18" ht="24.6" customHeight="1" thickTop="1">
      <c r="A39" s="1331" t="s">
        <v>1031</v>
      </c>
      <c r="B39" s="1346" t="s">
        <v>1484</v>
      </c>
      <c r="C39" s="355">
        <f ca="1">C5-C30</f>
        <v>900</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14155</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23.7</v>
      </c>
      <c r="G41" s="1853"/>
      <c r="H41" s="732"/>
      <c r="I41" s="1862"/>
      <c r="J41" s="1863"/>
      <c r="K41" s="751"/>
      <c r="L41" s="732"/>
      <c r="M41" s="732"/>
    </row>
    <row r="42" spans="1:18" ht="18" customHeight="1">
      <c r="A42" s="353"/>
      <c r="B42" s="354"/>
      <c r="C42" s="355"/>
      <c r="D42" s="373"/>
      <c r="E42" s="347" t="s">
        <v>1478</v>
      </c>
      <c r="F42" s="357">
        <f ca="1">INDIRECT("'数据-取费表'!v"&amp;$G$1)</f>
        <v>0.02</v>
      </c>
      <c r="G42" s="1853"/>
      <c r="H42" s="732"/>
      <c r="I42" s="1862"/>
      <c r="J42" s="1863"/>
      <c r="K42" s="751"/>
      <c r="L42" s="732"/>
      <c r="M42" s="732"/>
    </row>
    <row r="43" spans="1:18" ht="18" customHeight="1" thickBot="1">
      <c r="A43" s="380" t="s">
        <v>1033</v>
      </c>
      <c r="B43" s="381" t="s">
        <v>1488</v>
      </c>
      <c r="C43" s="382">
        <f ca="1">ROUND(C40*10000/F43,0)</f>
        <v>28495</v>
      </c>
      <c r="D43" s="383" t="s">
        <v>1489</v>
      </c>
      <c r="E43" s="384" t="s">
        <v>1490</v>
      </c>
      <c r="F43" s="385">
        <f ca="1">INDIRECT("'数据-取费表'!k"&amp;$G$1)</f>
        <v>4967.6099999999997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-15161</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3083</v>
      </c>
      <c r="K47" s="1884" t="s">
        <v>1528</v>
      </c>
      <c r="L47" s="1885">
        <f ca="1">INDIRECT("'数据-取费表'!d"&amp;$G$1)</f>
        <v>40</v>
      </c>
      <c r="M47" s="1840" t="str">
        <f>IF(ISNUMBER(FIND("住宅",C1)),"住宅","非住宅")</f>
        <v>非住宅</v>
      </c>
      <c r="O47" s="1886" t="s">
        <v>1040</v>
      </c>
      <c r="P47" s="1887" t="s">
        <v>1529</v>
      </c>
      <c r="Q47" s="1888">
        <f ca="1">C40+J29</f>
        <v>14155</v>
      </c>
      <c r="R47" s="1888" t="s">
        <v>1530</v>
      </c>
    </row>
    <row r="48" spans="1:18" s="1844" customFormat="1" ht="28.5" thickBot="1">
      <c r="A48" s="1362" t="s">
        <v>1135</v>
      </c>
      <c r="B48" s="345" t="s">
        <v>1401</v>
      </c>
      <c r="C48" s="1819">
        <f ca="1">C49+C53+C55</f>
        <v>0</v>
      </c>
      <c r="D48" s="1364"/>
      <c r="E48" s="1365"/>
      <c r="F48" s="1183"/>
      <c r="G48" s="792"/>
      <c r="H48" s="793"/>
      <c r="I48" s="1889" t="s">
        <v>1531</v>
      </c>
      <c r="J48" s="1890" t="s">
        <v>3084</v>
      </c>
      <c r="K48" s="1891" t="s">
        <v>1532</v>
      </c>
      <c r="L48" s="1892">
        <f ca="1">INDIRECT("'数据-取费表'!f"&amp;$G$1)</f>
        <v>23.7</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3041</v>
      </c>
      <c r="E49" s="1832" t="s">
        <v>1492</v>
      </c>
      <c r="F49" s="1283"/>
      <c r="G49" s="1893"/>
      <c r="H49" s="793"/>
      <c r="I49" s="1889" t="s">
        <v>1535</v>
      </c>
      <c r="J49" s="1894">
        <v>2007</v>
      </c>
      <c r="K49" s="1891" t="s">
        <v>1536</v>
      </c>
      <c r="L49" s="1895"/>
      <c r="O49" s="1896" t="s">
        <v>1042</v>
      </c>
      <c r="P49" s="1887" t="s">
        <v>1537</v>
      </c>
      <c r="Q49" s="1888">
        <f ca="1">C29</f>
        <v>3030</v>
      </c>
      <c r="R49" s="1888" t="s">
        <v>1530</v>
      </c>
    </row>
    <row r="50" spans="1:18" s="1844" customFormat="1" ht="13.5" thickBot="1">
      <c r="A50" s="1197"/>
      <c r="B50" s="1200"/>
      <c r="C50" s="1370"/>
      <c r="D50" s="1174"/>
      <c r="E50" s="1279" t="s">
        <v>1406</v>
      </c>
      <c r="F50" s="1280">
        <f ca="1">F7</f>
        <v>4967.6099999999997</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49</v>
      </c>
      <c r="K51" s="1902" t="s">
        <v>1542</v>
      </c>
      <c r="L51" s="1903">
        <f ca="1">ROUND(-PV(INDIRECT("'数据-取费表'!h"&amp;$G$1),L48,(C39-C13*C76),0),0)</f>
        <v>9611</v>
      </c>
      <c r="M51" s="1904"/>
      <c r="O51" s="1896" t="s">
        <v>1044</v>
      </c>
      <c r="P51" s="1887" t="s">
        <v>1543</v>
      </c>
      <c r="Q51" s="1899">
        <f>J52</f>
        <v>8.5000000000000006E-2</v>
      </c>
      <c r="R51" s="1888"/>
    </row>
    <row r="52" spans="1:18" s="1844" customFormat="1" ht="13.5" thickBot="1">
      <c r="A52" s="1198"/>
      <c r="B52" s="1200"/>
      <c r="C52" s="1201"/>
      <c r="D52" s="1174"/>
      <c r="E52" s="1202" t="s">
        <v>1408</v>
      </c>
      <c r="F52" s="1277"/>
      <c r="I52" s="1905" t="s">
        <v>1544</v>
      </c>
      <c r="J52" s="1906">
        <v>8.5000000000000006E-2</v>
      </c>
      <c r="K52" s="1905" t="s">
        <v>1545</v>
      </c>
      <c r="L52" s="1906"/>
      <c r="O52" s="1896" t="s">
        <v>1045</v>
      </c>
      <c r="P52" s="1887" t="s">
        <v>1546</v>
      </c>
      <c r="Q52" s="1888">
        <f ca="1">J53</f>
        <v>23.7</v>
      </c>
      <c r="R52" s="1888" t="s">
        <v>1547</v>
      </c>
    </row>
    <row r="53" spans="1:18" s="1844" customFormat="1" ht="24.75" thickBot="1">
      <c r="A53" s="1407" t="s">
        <v>1137</v>
      </c>
      <c r="B53" s="1833" t="s">
        <v>1409</v>
      </c>
      <c r="C53" s="361">
        <f ca="1">ROUND(IF(F53="押一",F49*F51*F50/12*F11,IF(F53="押二",F49*F51*F50/12*2*F11,IF(F53="押三",F49*F51*F50/12*3*F11,C54*F11)))/10000,0)</f>
        <v>0</v>
      </c>
      <c r="D53" s="1826" t="s">
        <v>3039</v>
      </c>
      <c r="E53" s="358" t="s">
        <v>1411</v>
      </c>
      <c r="F53" s="1368"/>
      <c r="I53" s="1907" t="s">
        <v>1548</v>
      </c>
      <c r="J53" s="1908">
        <f ca="1">IF(M47="住宅",J51,IF(D1="——",MIN(J51,L48),IF(D1="在建（套用方法）",MIN(J51,L48-'数据-取费表'!B24),IF(D1="土地（套用方法）",MIN(J51,L48-'数据-取费表'!B20)))))</f>
        <v>23.7</v>
      </c>
      <c r="K53" s="3229" t="s">
        <v>1549</v>
      </c>
      <c r="L53" s="3230"/>
      <c r="O53" s="1886" t="s">
        <v>1046</v>
      </c>
      <c r="P53" s="1887" t="s">
        <v>1550</v>
      </c>
      <c r="Q53" s="1888">
        <f ca="1">Q47+Q48</f>
        <v>14155</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2485</v>
      </c>
      <c r="D56" s="1916"/>
      <c r="E56" s="1917"/>
      <c r="F56" s="1909"/>
      <c r="I56" s="1918" t="s">
        <v>1555</v>
      </c>
      <c r="J56" s="1919" t="s">
        <v>3054</v>
      </c>
      <c r="K56" s="1889" t="s">
        <v>1556</v>
      </c>
      <c r="L56" s="1892" t="str">
        <f ca="1">IF(L48&lt;J51,"——",L48-J53)</f>
        <v>——</v>
      </c>
      <c r="O56" s="1886" t="s">
        <v>1040</v>
      </c>
      <c r="P56" s="1887" t="s">
        <v>1529</v>
      </c>
      <c r="Q56" s="1888">
        <f ca="1">C40+J29</f>
        <v>14155</v>
      </c>
      <c r="R56" s="1888" t="s">
        <v>1530</v>
      </c>
    </row>
    <row r="57" spans="1:18" s="1844" customFormat="1" ht="24.75" thickBot="1">
      <c r="A57" s="1920"/>
      <c r="B57" s="1171" t="s">
        <v>1479</v>
      </c>
      <c r="C57" s="282">
        <f ca="1">C29</f>
        <v>3030</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77</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27.5</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25.45</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2.09</v>
      </c>
      <c r="D62" s="1186" t="s">
        <v>1498</v>
      </c>
      <c r="E62" s="1171" t="s">
        <v>1499</v>
      </c>
      <c r="F62" s="371">
        <f t="shared" si="0"/>
        <v>30</v>
      </c>
      <c r="I62" s="1931" t="s">
        <v>1571</v>
      </c>
      <c r="J62" s="1932" t="s">
        <v>1572</v>
      </c>
      <c r="K62" s="1932" t="s">
        <v>1573</v>
      </c>
      <c r="L62" s="1932" t="s">
        <v>1574</v>
      </c>
      <c r="M62" s="1933" t="s">
        <v>1575</v>
      </c>
      <c r="O62" s="1886" t="s">
        <v>1046</v>
      </c>
      <c r="P62" s="1887" t="s">
        <v>1576</v>
      </c>
      <c r="Q62" s="1888">
        <f ca="1">Q56+Q57</f>
        <v>14155</v>
      </c>
      <c r="R62" s="1888" t="s">
        <v>1047</v>
      </c>
    </row>
    <row r="63" spans="1:18" s="1844" customFormat="1" ht="13.5" thickBot="1">
      <c r="A63" s="372"/>
      <c r="B63" s="1177"/>
      <c r="C63" s="29"/>
      <c r="D63" s="1187"/>
      <c r="E63" s="1171" t="s">
        <v>1500</v>
      </c>
      <c r="F63" s="348">
        <f t="shared" ca="1" si="0"/>
        <v>697.91</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45.5</v>
      </c>
      <c r="D64" s="1185" t="s">
        <v>1503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3.7</v>
      </c>
      <c r="D65" s="1185" t="s">
        <v>1455</v>
      </c>
      <c r="E65" s="1171" t="s">
        <v>1456</v>
      </c>
      <c r="F65" s="376">
        <f t="shared" ca="1" si="0"/>
        <v>1.5E-3</v>
      </c>
      <c r="I65" s="1931" t="s">
        <v>1580</v>
      </c>
      <c r="J65" s="1932">
        <v>40</v>
      </c>
      <c r="K65" s="1932">
        <v>30</v>
      </c>
      <c r="L65" s="1932">
        <v>50</v>
      </c>
      <c r="M65" s="1934">
        <v>0.02</v>
      </c>
      <c r="O65" s="1886" t="s">
        <v>1040</v>
      </c>
      <c r="P65" s="1887" t="s">
        <v>1581</v>
      </c>
      <c r="Q65" s="1888">
        <f ca="1">C40+J29</f>
        <v>14155</v>
      </c>
      <c r="R65" s="1888" t="s">
        <v>1530</v>
      </c>
    </row>
    <row r="66" spans="1:18" s="1844" customFormat="1" ht="16.5" thickBot="1">
      <c r="A66" s="1203" t="s">
        <v>1505</v>
      </c>
      <c r="B66" s="1171" t="s">
        <v>1440</v>
      </c>
      <c r="C66" s="24">
        <f ca="1">ROUND(C48*F66,1)</f>
        <v>0</v>
      </c>
      <c r="D66" s="1185" t="s">
        <v>1506</v>
      </c>
      <c r="E66" s="1171" t="s">
        <v>1423</v>
      </c>
      <c r="F66" s="357">
        <f t="shared" ca="1" si="0"/>
        <v>0.05</v>
      </c>
      <c r="O66" s="1886" t="s">
        <v>1041</v>
      </c>
      <c r="P66" s="1887" t="s">
        <v>1559</v>
      </c>
      <c r="Q66" s="1888">
        <f ca="1">L60</f>
        <v>0</v>
      </c>
      <c r="R66" s="1888" t="s">
        <v>1582</v>
      </c>
    </row>
    <row r="67" spans="1:18" s="1844" customFormat="1" ht="16.5" thickBot="1">
      <c r="A67" s="1178" t="s">
        <v>1031</v>
      </c>
      <c r="B67" s="1188" t="s">
        <v>1464</v>
      </c>
      <c r="C67" s="361">
        <f ca="1">C48-C58</f>
        <v>-77</v>
      </c>
      <c r="D67" s="1184" t="s">
        <v>1465</v>
      </c>
      <c r="E67" s="1189"/>
      <c r="F67" s="1190"/>
      <c r="O67" s="1896" t="s">
        <v>1042</v>
      </c>
      <c r="P67" s="1887" t="s">
        <v>1563</v>
      </c>
      <c r="Q67" s="1935">
        <f ca="1">L51</f>
        <v>9611</v>
      </c>
      <c r="R67" s="1888" t="s">
        <v>1583</v>
      </c>
    </row>
    <row r="68" spans="1:18" s="1844" customFormat="1" ht="16.5" thickBot="1">
      <c r="A68" s="1168" t="s">
        <v>1032</v>
      </c>
      <c r="B68" s="1169" t="s">
        <v>1486</v>
      </c>
      <c r="C68" s="346">
        <f ca="1">ROUND(C67*(1-((1+F70)/(1+F68))^F69)/(F68-F70),0)</f>
        <v>-1006</v>
      </c>
      <c r="D68" s="1186" t="s">
        <v>1470</v>
      </c>
      <c r="E68" s="1171" t="s">
        <v>1471</v>
      </c>
      <c r="F68" s="357">
        <f ca="1">F40</f>
        <v>5.5E-2</v>
      </c>
      <c r="O68" s="1896" t="s">
        <v>1043</v>
      </c>
      <c r="P68" s="1936" t="s">
        <v>1584</v>
      </c>
      <c r="Q68" s="1888">
        <f ca="1">ROUND(Q69-Q70*Q71,0)</f>
        <v>701</v>
      </c>
      <c r="R68" s="1888" t="s">
        <v>1051</v>
      </c>
    </row>
    <row r="69" spans="1:18" s="1844" customFormat="1" ht="13.5" thickBot="1">
      <c r="A69" s="1172"/>
      <c r="B69" s="1173"/>
      <c r="C69" s="351"/>
      <c r="D69" s="1191" t="s">
        <v>1474</v>
      </c>
      <c r="E69" s="1171" t="s">
        <v>1475</v>
      </c>
      <c r="F69" s="379">
        <f ca="1">F41</f>
        <v>23.7</v>
      </c>
      <c r="O69" s="1896" t="s">
        <v>1048</v>
      </c>
      <c r="P69" s="1936" t="s">
        <v>1585</v>
      </c>
      <c r="Q69" s="1888">
        <f ca="1">C39</f>
        <v>900</v>
      </c>
      <c r="R69" s="1888" t="s">
        <v>1530</v>
      </c>
    </row>
    <row r="70" spans="1:18" s="1844" customFormat="1" ht="13.5" thickBot="1">
      <c r="A70" s="1175"/>
      <c r="B70" s="1176"/>
      <c r="C70" s="355"/>
      <c r="D70" s="1187"/>
      <c r="E70" s="1171" t="s">
        <v>1478</v>
      </c>
      <c r="F70" s="1277"/>
      <c r="O70" s="1896" t="s">
        <v>1049</v>
      </c>
      <c r="P70" s="1936" t="s">
        <v>1586</v>
      </c>
      <c r="Q70" s="1888">
        <f ca="1">C13</f>
        <v>2485</v>
      </c>
      <c r="R70" s="1888" t="s">
        <v>1530</v>
      </c>
    </row>
    <row r="71" spans="1:18" s="1844" customFormat="1" ht="13.5" thickBot="1">
      <c r="A71" s="1192" t="s">
        <v>1033</v>
      </c>
      <c r="B71" s="1193" t="s">
        <v>1488</v>
      </c>
      <c r="C71" s="382">
        <f ca="1">ROUND(C68*10000/F71,0)</f>
        <v>-2025</v>
      </c>
      <c r="D71" s="1194" t="s">
        <v>1489</v>
      </c>
      <c r="E71" s="1195" t="s">
        <v>1490</v>
      </c>
      <c r="F71" s="385">
        <f ca="1">F43</f>
        <v>4967.6099999999997</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199</v>
      </c>
      <c r="D75" s="1844"/>
      <c r="E75" s="1844"/>
      <c r="F75" s="1844"/>
      <c r="K75" s="1870"/>
      <c r="L75" s="1844"/>
      <c r="O75" s="1886" t="s">
        <v>1046</v>
      </c>
      <c r="P75" s="1887" t="s">
        <v>1550</v>
      </c>
      <c r="Q75" s="1888">
        <f ca="1">Q65+Q66</f>
        <v>14155</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0.77900000000000003</v>
      </c>
    </row>
    <row r="80" spans="1:18">
      <c r="B80" s="386" t="s">
        <v>1512</v>
      </c>
      <c r="C80" s="318">
        <f ca="1">ROUND(C75/C39,3)</f>
        <v>0.221</v>
      </c>
    </row>
    <row r="81" spans="2:3">
      <c r="B81" s="314" t="s">
        <v>1513</v>
      </c>
      <c r="C81" s="282"/>
    </row>
    <row r="82" spans="2:3">
      <c r="B82" s="317" t="s">
        <v>1514</v>
      </c>
      <c r="C82" s="319">
        <f ca="1">1-C83</f>
        <v>0.82400000000000007</v>
      </c>
    </row>
    <row r="83" spans="2:3">
      <c r="B83" s="317" t="s">
        <v>1515</v>
      </c>
      <c r="C83" s="318">
        <f ca="1">ROUND(C13/C40,3)</f>
        <v>0.17599999999999999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60" sqref="H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231" t="s">
        <v>1403</v>
      </c>
      <c r="C6" s="1298">
        <f ca="1">ROUND(F6*F8*F7*(1-F9),0)</f>
        <v>0</v>
      </c>
      <c r="D6" s="164" t="s">
        <v>3033</v>
      </c>
      <c r="E6" s="347" t="s">
        <v>1405</v>
      </c>
      <c r="F6" s="348">
        <f ca="1">INDIRECT("'数据-取费表'!u"&amp;$G$1)</f>
        <v>0</v>
      </c>
      <c r="G6" s="1853"/>
      <c r="H6" s="1293" t="s">
        <v>1035</v>
      </c>
      <c r="I6" s="3231" t="s">
        <v>1403</v>
      </c>
      <c r="J6" s="346">
        <f ca="1">ROUND(M6*M8*M7*(1-M9),0)</f>
        <v>0</v>
      </c>
      <c r="K6" s="1836" t="s">
        <v>3036</v>
      </c>
      <c r="L6" s="347" t="s">
        <v>1405</v>
      </c>
      <c r="M6" s="348">
        <f ca="1">INDIRECT("'数据-取费表'!z"&amp;$G$1)</f>
        <v>0</v>
      </c>
    </row>
    <row r="7" spans="1:37" ht="18" customHeight="1">
      <c r="A7" s="1297"/>
      <c r="B7" s="3232"/>
      <c r="C7" s="1299"/>
      <c r="D7" s="352"/>
      <c r="E7" s="1300" t="s">
        <v>1406</v>
      </c>
      <c r="F7" s="348">
        <f ca="1">IF(INDIRECT("'数据-取费表'!ah"&amp;$G$1)="",INDIRECT("'数据-取费表'!k"&amp;$G$1),INDIRECT("'数据-取费表'!ah"&amp;$G$1))</f>
        <v>0</v>
      </c>
      <c r="G7" s="1853"/>
      <c r="H7" s="349"/>
      <c r="I7" s="3232"/>
      <c r="J7" s="351"/>
      <c r="K7" s="352"/>
      <c r="L7" s="347" t="s">
        <v>1406</v>
      </c>
      <c r="M7" s="348">
        <f ca="1">F7</f>
        <v>0</v>
      </c>
    </row>
    <row r="8" spans="1:37" ht="18" customHeight="1">
      <c r="A8" s="349"/>
      <c r="B8" s="3232"/>
      <c r="C8" s="351"/>
      <c r="D8" s="352"/>
      <c r="E8" s="347" t="s">
        <v>1407</v>
      </c>
      <c r="F8" s="348">
        <f ca="1">INDIRECT("'数据-取费表'!ai"&amp;$G$1)</f>
        <v>0</v>
      </c>
      <c r="G8" s="1853"/>
      <c r="H8" s="349"/>
      <c r="I8" s="3232"/>
      <c r="J8" s="351"/>
      <c r="K8" s="352"/>
      <c r="L8" s="347" t="s">
        <v>1407</v>
      </c>
      <c r="M8" s="348">
        <f ca="1">INDIRECT("'数据-取费表'!ai"&amp;$G$1)</f>
        <v>0</v>
      </c>
    </row>
    <row r="9" spans="1:37" ht="18" customHeight="1">
      <c r="A9" s="349"/>
      <c r="B9" s="3233"/>
      <c r="C9" s="351"/>
      <c r="D9" s="352"/>
      <c r="E9" s="347" t="s">
        <v>1408</v>
      </c>
      <c r="F9" s="357">
        <f ca="1">INDIRECT("'数据-取费表'!w"&amp;$G$1)</f>
        <v>0</v>
      </c>
      <c r="G9" s="1853"/>
      <c r="H9" s="349"/>
      <c r="I9" s="323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3034</v>
      </c>
      <c r="E10" s="358" t="s">
        <v>1411</v>
      </c>
      <c r="F10" s="1368"/>
      <c r="G10" s="1853"/>
      <c r="H10" s="1293" t="s">
        <v>1039</v>
      </c>
      <c r="I10" s="1825" t="s">
        <v>1409</v>
      </c>
      <c r="J10" s="346">
        <f ca="1">ROUND(IF(M10="押一",M6*M8*M7/12*M11,IF(M10="押二",M6*M8*M7/12*2*M11,IF(M10="押三",M6*M8*M7/12*3*M11,J11*M11))),0)</f>
        <v>0</v>
      </c>
      <c r="K10" s="1837" t="s">
        <v>3035</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1"/>
      <c r="M14" s="982"/>
    </row>
    <row r="15" spans="1:37" s="1860" customFormat="1" ht="18" customHeight="1" thickBot="1">
      <c r="A15" s="1203" t="s">
        <v>1036</v>
      </c>
      <c r="B15" s="347" t="s">
        <v>1421</v>
      </c>
      <c r="C15" s="24">
        <f ca="1">ROUND(C14*F15,0)</f>
        <v>0</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0.02</v>
      </c>
      <c r="G20" s="1856"/>
      <c r="H20" s="1203" t="s">
        <v>1389</v>
      </c>
      <c r="I20" s="164" t="s">
        <v>1442</v>
      </c>
      <c r="J20" s="25">
        <f ca="1">ROUND(M20*M21,0)</f>
        <v>0</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30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229" t="s">
        <v>1549</v>
      </c>
      <c r="L53" s="3230"/>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30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33326</v>
      </c>
      <c r="C2" s="2571" t="s">
        <v>2523</v>
      </c>
      <c r="D2" s="2572" t="s">
        <v>2524</v>
      </c>
      <c r="E2" s="2573">
        <f>SUM(E6:E13)</f>
        <v>26917.519999999997</v>
      </c>
    </row>
    <row r="3" spans="1:6" ht="15.75">
      <c r="A3" s="2569" t="s">
        <v>1395</v>
      </c>
      <c r="B3" s="2570">
        <f ca="1">ROUND(B2*10000/E2,0)</f>
        <v>12381</v>
      </c>
      <c r="C3" s="2571" t="s">
        <v>2531</v>
      </c>
      <c r="D3" s="2574"/>
      <c r="E3" s="2575"/>
    </row>
    <row r="4" spans="1:6" ht="15.75">
      <c r="A4" s="2576"/>
      <c r="B4" s="2574"/>
      <c r="C4" s="2574"/>
      <c r="D4" s="2574"/>
      <c r="E4" s="2575"/>
    </row>
    <row r="5" spans="1:6" ht="15">
      <c r="A5" s="2577" t="s">
        <v>2525</v>
      </c>
      <c r="B5" s="3234" t="s">
        <v>2526</v>
      </c>
      <c r="C5" s="3234"/>
      <c r="D5" s="2578"/>
      <c r="E5" s="2579" t="s">
        <v>2527</v>
      </c>
      <c r="F5" s="2580" t="s">
        <v>2528</v>
      </c>
    </row>
    <row r="6" spans="1:6">
      <c r="A6" s="2581" t="str">
        <f>'数据-取费表'!AN6</f>
        <v>收益法-办公</v>
      </c>
      <c r="B6" s="2580">
        <f ca="1">IF(F6="是",'数据-取费表'!AO6,0)</f>
        <v>2982</v>
      </c>
      <c r="C6" s="2571" t="s">
        <v>2523</v>
      </c>
      <c r="D6" s="2574"/>
      <c r="E6" s="2582">
        <f>IF(OR(A6=0,F6="否"),0,'数据-取费表'!K6+'数据-取费表'!S6)</f>
        <v>1316.46</v>
      </c>
      <c r="F6" s="2583" t="s">
        <v>2529</v>
      </c>
    </row>
    <row r="7" spans="1:6">
      <c r="A7" s="2581" t="str">
        <f>'数据-取费表'!AN7</f>
        <v>收益法-酒店配套</v>
      </c>
      <c r="B7" s="2580">
        <f ca="1">IF(F7="是",'数据-取费表'!AO7,0)</f>
        <v>14155</v>
      </c>
      <c r="C7" s="2571" t="s">
        <v>2523</v>
      </c>
      <c r="D7" s="2574"/>
      <c r="E7" s="2582">
        <f>IF(OR(A7=0,F7="否"),0,'数据-取费表'!K7+'数据-取费表'!S7)</f>
        <v>4967.6099999999997</v>
      </c>
      <c r="F7" s="2583" t="s">
        <v>2529</v>
      </c>
    </row>
    <row r="8" spans="1:6">
      <c r="A8" s="2581" t="str">
        <f>'数据-取费表'!AN8</f>
        <v>收益法-地下商业</v>
      </c>
      <c r="B8" s="2580">
        <f ca="1">IF(F8="是",'数据-取费表'!AO8,0)</f>
        <v>9248</v>
      </c>
      <c r="C8" s="2571" t="s">
        <v>2523</v>
      </c>
      <c r="D8" s="2574"/>
      <c r="E8" s="2582">
        <f>IF(OR(A8=0,F8="否"),0,'数据-取费表'!K8+'数据-取费表'!S8)</f>
        <v>4129.8999999999996</v>
      </c>
      <c r="F8" s="2583" t="s">
        <v>2529</v>
      </c>
    </row>
    <row r="9" spans="1:6">
      <c r="A9" s="2581" t="str">
        <f>'数据-取费表'!AN9</f>
        <v>收益法-车位</v>
      </c>
      <c r="B9" s="2580">
        <f ca="1">IF(F9="是",'数据-取费表'!AO9,0)</f>
        <v>6941</v>
      </c>
      <c r="C9" s="2571" t="s">
        <v>2523</v>
      </c>
      <c r="D9" s="2574"/>
      <c r="E9" s="2582">
        <f>IF(OR(A9=0,F9="否"),0,'数据-取费表'!K9+'数据-取费表'!S9)</f>
        <v>16503.55</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251" t="s">
        <v>1076</v>
      </c>
      <c r="B1" s="3252"/>
      <c r="C1" s="3253"/>
      <c r="D1" s="3254">
        <f>SUM(I10,I15,I20,I21,I23)</f>
        <v>1672</v>
      </c>
      <c r="E1" s="3254"/>
      <c r="F1" s="3254"/>
      <c r="G1" s="3254"/>
      <c r="H1" s="3254"/>
      <c r="I1" s="3255"/>
    </row>
    <row r="2" spans="1:9">
      <c r="A2" s="3241" t="s">
        <v>1077</v>
      </c>
      <c r="B2" s="3242" t="s">
        <v>1078</v>
      </c>
      <c r="C2" s="3242"/>
      <c r="D2" s="1303" t="s">
        <v>1079</v>
      </c>
      <c r="E2" s="1303" t="s">
        <v>1080</v>
      </c>
      <c r="F2" s="1303" t="s">
        <v>1081</v>
      </c>
      <c r="G2" s="1303" t="s">
        <v>1082</v>
      </c>
      <c r="H2" s="1303" t="s">
        <v>1083</v>
      </c>
      <c r="I2" s="1304" t="s">
        <v>1084</v>
      </c>
    </row>
    <row r="3" spans="1:9">
      <c r="A3" s="3241"/>
      <c r="B3" s="3242" t="s">
        <v>1085</v>
      </c>
      <c r="C3" s="3242"/>
      <c r="D3" s="1305"/>
      <c r="E3" s="1303"/>
      <c r="F3" s="1306"/>
      <c r="G3" s="1306"/>
      <c r="H3" s="1307"/>
      <c r="I3" s="1308">
        <f>ROUND(D3*E3*F3*G3*H3/10000,0)</f>
        <v>0</v>
      </c>
    </row>
    <row r="4" spans="1:9">
      <c r="A4" s="3241"/>
      <c r="B4" s="3242" t="s">
        <v>1086</v>
      </c>
      <c r="C4" s="3242"/>
      <c r="D4" s="1305"/>
      <c r="E4" s="1303"/>
      <c r="F4" s="1306"/>
      <c r="G4" s="1306"/>
      <c r="H4" s="1307"/>
      <c r="I4" s="1308">
        <f t="shared" ref="I4:I9" si="0">ROUND(D4*E4*F4*G4*H4/10000,0)</f>
        <v>0</v>
      </c>
    </row>
    <row r="5" spans="1:9">
      <c r="A5" s="3241"/>
      <c r="B5" s="3242" t="s">
        <v>1087</v>
      </c>
      <c r="C5" s="3242"/>
      <c r="D5" s="1305"/>
      <c r="E5" s="1303"/>
      <c r="F5" s="1306"/>
      <c r="G5" s="1306"/>
      <c r="H5" s="1307"/>
      <c r="I5" s="1308">
        <f t="shared" si="0"/>
        <v>0</v>
      </c>
    </row>
    <row r="6" spans="1:9">
      <c r="A6" s="3241"/>
      <c r="B6" s="3242" t="s">
        <v>1088</v>
      </c>
      <c r="C6" s="3242"/>
      <c r="D6" s="1305">
        <v>6</v>
      </c>
      <c r="E6" s="1303">
        <v>800</v>
      </c>
      <c r="F6" s="1306">
        <v>0.9</v>
      </c>
      <c r="G6" s="3382">
        <v>0.8</v>
      </c>
      <c r="H6" s="1307">
        <v>365</v>
      </c>
      <c r="I6" s="1308">
        <f t="shared" si="0"/>
        <v>126</v>
      </c>
    </row>
    <row r="7" spans="1:9">
      <c r="A7" s="3241"/>
      <c r="B7" s="3242" t="s">
        <v>1089</v>
      </c>
      <c r="C7" s="3242"/>
      <c r="D7" s="1305"/>
      <c r="E7" s="1303"/>
      <c r="F7" s="1306"/>
      <c r="G7" s="1306"/>
      <c r="H7" s="1307"/>
      <c r="I7" s="1308">
        <f t="shared" si="0"/>
        <v>0</v>
      </c>
    </row>
    <row r="8" spans="1:9">
      <c r="A8" s="3241"/>
      <c r="B8" s="3242" t="s">
        <v>1090</v>
      </c>
      <c r="C8" s="3242"/>
      <c r="D8" s="1305"/>
      <c r="E8" s="1303"/>
      <c r="F8" s="1306"/>
      <c r="G8" s="1306"/>
      <c r="H8" s="1307"/>
      <c r="I8" s="1308">
        <f t="shared" si="0"/>
        <v>0</v>
      </c>
    </row>
    <row r="9" spans="1:9">
      <c r="A9" s="3241"/>
      <c r="B9" s="3242" t="s">
        <v>1091</v>
      </c>
      <c r="C9" s="3242"/>
      <c r="D9" s="1305"/>
      <c r="E9" s="1303"/>
      <c r="F9" s="1306"/>
      <c r="G9" s="1306"/>
      <c r="H9" s="1307"/>
      <c r="I9" s="1308">
        <f t="shared" si="0"/>
        <v>0</v>
      </c>
    </row>
    <row r="10" spans="1:9">
      <c r="A10" s="3241"/>
      <c r="B10" s="3243" t="s">
        <v>1092</v>
      </c>
      <c r="C10" s="3243"/>
      <c r="D10" s="1309"/>
      <c r="E10" s="1309" t="e">
        <f>ROUND(D1*10000/D10/H9,0)</f>
        <v>#DIV/0!</v>
      </c>
      <c r="F10" s="1310"/>
      <c r="G10" s="1310"/>
      <c r="H10" s="1311"/>
      <c r="I10" s="1312">
        <f>SUM(I3:I9)</f>
        <v>126</v>
      </c>
    </row>
    <row r="11" spans="1:9" ht="14.25">
      <c r="A11" s="3241" t="s">
        <v>1093</v>
      </c>
      <c r="B11" s="3242" t="s">
        <v>1094</v>
      </c>
      <c r="C11" s="3242"/>
      <c r="D11" s="1305" t="s">
        <v>1095</v>
      </c>
      <c r="E11" s="1305" t="s">
        <v>1096</v>
      </c>
      <c r="F11" s="1306" t="s">
        <v>1097</v>
      </c>
      <c r="G11" s="1306" t="s">
        <v>1083</v>
      </c>
      <c r="H11" s="1313" t="s">
        <v>1098</v>
      </c>
      <c r="I11" s="1304" t="s">
        <v>1084</v>
      </c>
    </row>
    <row r="12" spans="1:9">
      <c r="A12" s="3241"/>
      <c r="B12" s="3242" t="s">
        <v>1099</v>
      </c>
      <c r="C12" s="3242"/>
      <c r="D12" s="1305"/>
      <c r="E12" s="1305"/>
      <c r="F12" s="1306"/>
      <c r="G12" s="1307"/>
      <c r="H12" s="1314"/>
      <c r="I12" s="1304">
        <f>ROUND(D12*E12*F12*G12/10000,0)</f>
        <v>0</v>
      </c>
    </row>
    <row r="13" spans="1:9">
      <c r="A13" s="3241"/>
      <c r="B13" s="3242" t="s">
        <v>1100</v>
      </c>
      <c r="C13" s="3242"/>
      <c r="D13" s="1305"/>
      <c r="E13" s="1305"/>
      <c r="F13" s="1306"/>
      <c r="G13" s="1307"/>
      <c r="H13" s="1314"/>
      <c r="I13" s="1304">
        <f>ROUND(D13*E13*F13*G13/10000,0)</f>
        <v>0</v>
      </c>
    </row>
    <row r="14" spans="1:9">
      <c r="A14" s="3241"/>
      <c r="B14" s="3242" t="s">
        <v>1101</v>
      </c>
      <c r="C14" s="3242"/>
      <c r="D14" s="1305"/>
      <c r="E14" s="1305"/>
      <c r="F14" s="1306"/>
      <c r="G14" s="1307"/>
      <c r="H14" s="1314"/>
      <c r="I14" s="1304">
        <f>ROUND(D14*E14*F14*G14/10000,0)</f>
        <v>0</v>
      </c>
    </row>
    <row r="15" spans="1:9">
      <c r="A15" s="3241"/>
      <c r="B15" s="3243" t="s">
        <v>1092</v>
      </c>
      <c r="C15" s="3243"/>
      <c r="D15" s="1309"/>
      <c r="E15" s="1309">
        <f>SUM(E12:E14)</f>
        <v>0</v>
      </c>
      <c r="F15" s="1310"/>
      <c r="G15" s="1307"/>
      <c r="H15" s="1314"/>
      <c r="I15" s="1315">
        <f>SUM(I12:I14)</f>
        <v>0</v>
      </c>
    </row>
    <row r="16" spans="1:9" ht="24">
      <c r="A16" s="3241" t="s">
        <v>1102</v>
      </c>
      <c r="B16" s="3242" t="s">
        <v>1103</v>
      </c>
      <c r="C16" s="3242"/>
      <c r="D16" s="1305" t="s">
        <v>1079</v>
      </c>
      <c r="E16" s="1316" t="s">
        <v>1104</v>
      </c>
      <c r="F16" s="1306" t="s">
        <v>1105</v>
      </c>
      <c r="G16" s="1307" t="s">
        <v>1083</v>
      </c>
      <c r="H16" s="1313" t="s">
        <v>1098</v>
      </c>
      <c r="I16" s="1304" t="s">
        <v>1084</v>
      </c>
    </row>
    <row r="17" spans="1:9" ht="14.25">
      <c r="A17" s="3241"/>
      <c r="B17" s="3242" t="s">
        <v>1106</v>
      </c>
      <c r="C17" s="3242"/>
      <c r="D17" s="1305">
        <v>3</v>
      </c>
      <c r="E17" s="1305">
        <v>20000</v>
      </c>
      <c r="F17" s="1306">
        <v>0.7</v>
      </c>
      <c r="G17" s="1307">
        <v>365</v>
      </c>
      <c r="H17" s="1317"/>
      <c r="I17" s="1318">
        <f>ROUND(D17*E17*F17*G17/10000,0)</f>
        <v>1533</v>
      </c>
    </row>
    <row r="18" spans="1:9" ht="14.25">
      <c r="A18" s="3241"/>
      <c r="B18" s="3242" t="s">
        <v>1107</v>
      </c>
      <c r="C18" s="3242"/>
      <c r="D18" s="1305"/>
      <c r="E18" s="1305"/>
      <c r="F18" s="1306"/>
      <c r="G18" s="1307"/>
      <c r="H18" s="1317"/>
      <c r="I18" s="1318">
        <f>ROUND(D18*E18*F18*G18/10000,0)</f>
        <v>0</v>
      </c>
    </row>
    <row r="19" spans="1:9" ht="14.25">
      <c r="A19" s="3241"/>
      <c r="B19" s="3242" t="s">
        <v>1108</v>
      </c>
      <c r="C19" s="3242"/>
      <c r="D19" s="1305"/>
      <c r="E19" s="1305"/>
      <c r="F19" s="1306"/>
      <c r="G19" s="1307"/>
      <c r="H19" s="1317"/>
      <c r="I19" s="1318">
        <f>ROUND(D19*E19*F19*G19/10000,0)</f>
        <v>0</v>
      </c>
    </row>
    <row r="20" spans="1:9">
      <c r="A20" s="3241"/>
      <c r="B20" s="3243" t="s">
        <v>1092</v>
      </c>
      <c r="C20" s="3243"/>
      <c r="D20" s="1309">
        <f>SUM(D17:D19)</f>
        <v>3</v>
      </c>
      <c r="E20" s="1309"/>
      <c r="F20" s="1310"/>
      <c r="G20" s="1307"/>
      <c r="H20" s="1314"/>
      <c r="I20" s="1315">
        <f>SUM(I17:I19)</f>
        <v>1533</v>
      </c>
    </row>
    <row r="21" spans="1:9">
      <c r="A21" s="3241" t="s">
        <v>1109</v>
      </c>
      <c r="B21" s="3244"/>
      <c r="C21" s="3244"/>
      <c r="D21" s="3244"/>
      <c r="E21" s="3244"/>
      <c r="F21" s="3244"/>
      <c r="G21" s="3244"/>
      <c r="H21" s="1767">
        <v>0.1</v>
      </c>
      <c r="I21" s="1312">
        <f>ROUND(I10*H21,0)</f>
        <v>13</v>
      </c>
    </row>
    <row r="22" spans="1:9" ht="14.25">
      <c r="A22" s="3245" t="s">
        <v>1110</v>
      </c>
      <c r="B22" s="3246"/>
      <c r="C22" s="3247"/>
      <c r="D22" s="1319" t="s">
        <v>1111</v>
      </c>
      <c r="E22" s="1319" t="s">
        <v>1112</v>
      </c>
      <c r="F22" s="1320" t="s">
        <v>1113</v>
      </c>
      <c r="G22" s="1320" t="s">
        <v>1114</v>
      </c>
      <c r="H22" s="1313" t="s">
        <v>1115</v>
      </c>
      <c r="I22" s="1304" t="s">
        <v>1116</v>
      </c>
    </row>
    <row r="23" spans="1:9" ht="14.25" thickBot="1">
      <c r="A23" s="3248"/>
      <c r="B23" s="3249"/>
      <c r="C23" s="3250"/>
      <c r="D23" s="1321"/>
      <c r="E23" s="1321"/>
      <c r="F23" s="1321"/>
      <c r="G23" s="1322"/>
      <c r="H23" s="1323"/>
      <c r="I23" s="1324">
        <f>ROUND(E23*D23*F23*(1-G23)/10000,0)</f>
        <v>0</v>
      </c>
    </row>
    <row r="26" spans="1:9">
      <c r="A26" s="1325" t="s">
        <v>1117</v>
      </c>
      <c r="B26" s="1325"/>
      <c r="C26" s="1325"/>
      <c r="D26" s="1325"/>
      <c r="E26" s="3238">
        <f>C27-C30-C31-C32</f>
        <v>1003.1999999999999</v>
      </c>
      <c r="F26" s="3238"/>
      <c r="G26" s="3238"/>
      <c r="H26" s="1739" t="s">
        <v>1340</v>
      </c>
    </row>
    <row r="27" spans="1:9">
      <c r="A27" s="1326">
        <v>1</v>
      </c>
      <c r="B27" s="1327" t="s">
        <v>1118</v>
      </c>
      <c r="C27" s="1327">
        <f>C28+C29</f>
        <v>1672</v>
      </c>
      <c r="D27" s="1327"/>
      <c r="E27" s="3239"/>
      <c r="F27" s="3239"/>
      <c r="G27" s="3239"/>
    </row>
    <row r="28" spans="1:9">
      <c r="A28" s="1328" t="s">
        <v>1119</v>
      </c>
      <c r="B28" s="1327" t="s">
        <v>1120</v>
      </c>
      <c r="C28" s="1327">
        <f>I10+I20</f>
        <v>1659</v>
      </c>
      <c r="D28" s="1327"/>
      <c r="E28" s="3239"/>
      <c r="F28" s="3239"/>
      <c r="G28" s="3239"/>
    </row>
    <row r="29" spans="1:9">
      <c r="A29" s="1328" t="s">
        <v>1121</v>
      </c>
      <c r="B29" s="1327" t="s">
        <v>1122</v>
      </c>
      <c r="C29" s="1327">
        <f>I21</f>
        <v>13</v>
      </c>
      <c r="D29" s="1327"/>
      <c r="E29" s="1327" t="s">
        <v>1123</v>
      </c>
      <c r="F29" s="1327"/>
      <c r="G29" s="1327"/>
    </row>
    <row r="30" spans="1:9">
      <c r="A30" s="1326">
        <v>2</v>
      </c>
      <c r="B30" s="1327" t="s">
        <v>1124</v>
      </c>
      <c r="C30" s="1327">
        <f>C27*D30</f>
        <v>334.40000000000003</v>
      </c>
      <c r="D30" s="1329">
        <v>0.2</v>
      </c>
      <c r="E30" s="1327" t="s">
        <v>1125</v>
      </c>
      <c r="F30" s="1327"/>
      <c r="G30" s="1327"/>
    </row>
    <row r="31" spans="1:9">
      <c r="A31" s="1326">
        <v>3</v>
      </c>
      <c r="B31" s="1327" t="s">
        <v>1126</v>
      </c>
      <c r="C31" s="1327">
        <f>C27*D31</f>
        <v>250.79999999999998</v>
      </c>
      <c r="D31" s="1329">
        <v>0.15</v>
      </c>
      <c r="E31" s="1327" t="s">
        <v>1127</v>
      </c>
      <c r="F31" s="1327"/>
      <c r="G31" s="1327"/>
    </row>
    <row r="32" spans="1:9">
      <c r="A32" s="1326">
        <v>4</v>
      </c>
      <c r="B32" s="1327" t="s">
        <v>1128</v>
      </c>
      <c r="C32" s="1327">
        <f>C27*D32</f>
        <v>83.600000000000009</v>
      </c>
      <c r="D32" s="1329">
        <v>0.05</v>
      </c>
      <c r="E32" s="3240"/>
      <c r="F32" s="3240"/>
      <c r="G32" s="3240"/>
    </row>
    <row r="33" spans="1:7" hidden="1">
      <c r="A33" s="3235" t="s">
        <v>1129</v>
      </c>
      <c r="B33" s="3236"/>
      <c r="C33" s="3236"/>
      <c r="D33" s="3237"/>
      <c r="E33" s="3238"/>
      <c r="F33" s="3238"/>
      <c r="G33" s="3238"/>
    </row>
    <row r="34" spans="1:7" hidden="1">
      <c r="A34" s="1330">
        <v>1</v>
      </c>
      <c r="B34" s="1327" t="s">
        <v>1130</v>
      </c>
      <c r="C34" s="1327"/>
      <c r="D34" s="1327"/>
      <c r="E34" s="3239"/>
      <c r="F34" s="3239"/>
      <c r="G34" s="3239"/>
    </row>
    <row r="35" spans="1:7" hidden="1">
      <c r="A35" s="1330">
        <v>2</v>
      </c>
      <c r="B35" s="1327" t="s">
        <v>1131</v>
      </c>
      <c r="C35" s="1327"/>
      <c r="D35" s="1327"/>
      <c r="E35" s="3239"/>
      <c r="F35" s="3239"/>
      <c r="G35" s="3239"/>
    </row>
    <row r="36" spans="1:7" hidden="1">
      <c r="A36" s="1330">
        <v>3</v>
      </c>
      <c r="B36" s="1327" t="s">
        <v>1132</v>
      </c>
      <c r="C36" s="1327"/>
      <c r="D36" s="1327"/>
      <c r="E36" s="3239"/>
      <c r="F36" s="3239"/>
      <c r="G36" s="3239"/>
    </row>
    <row r="37" spans="1:7" hidden="1">
      <c r="A37" s="1330">
        <v>4</v>
      </c>
      <c r="B37" s="1327" t="s">
        <v>1133</v>
      </c>
      <c r="C37" s="1327"/>
      <c r="D37" s="1327"/>
      <c r="E37" s="3239"/>
      <c r="F37" s="3239"/>
      <c r="G37" s="3239"/>
    </row>
    <row r="38" spans="1:7" hidden="1">
      <c r="A38" s="3235" t="s">
        <v>1134</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1613</v>
      </c>
    </row>
    <row r="6" spans="1:1" ht="18.75">
      <c r="A6" s="1952" t="s">
        <v>1614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估价对象为北京市房地产，为所有。根据《国有土地使用证》[]，估价对象（分摊）出让国有建设用地使用权面积为3781.7平方米，建筑面积为26917.52平方米。</v>
      </c>
    </row>
    <row r="8" spans="1:1" ht="57.75">
      <c r="A8" s="1953" t="s">
        <v>1615</v>
      </c>
    </row>
    <row r="9" spans="1:1" ht="18.75">
      <c r="A9" s="1952" t="s">
        <v>1616</v>
      </c>
    </row>
    <row r="10" spans="1:1" ht="54">
      <c r="A10" s="1950" t="str">
        <f>"估价对象为"&amp;项目基本情况!S2&amp;IF('结果表-酒店配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估价对象为北京市房地产,属开发建设的，该项目尚在开发建设中。根据《国有土地使用证》[]，估价对象（分摊）出让国有建设用地使用权面积为3781.7平方米，规划建筑面积为26917.52平方米。</v>
      </c>
    </row>
    <row r="11" spans="1:1" ht="76.5">
      <c r="A11" s="1953" t="s">
        <v>1617</v>
      </c>
    </row>
    <row r="12" spans="1:1" ht="18.75">
      <c r="A12" s="1951" t="s">
        <v>1618</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2018年2月26日（评估专业人员实地查勘之日）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配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配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"本次评估采用的主估价方法为"&amp;'结果表-酒店配套'!K4&amp;"和"&amp;'结果表-酒店配套'!L4&amp;"。"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2538</v>
      </c>
      <c r="D3" s="399">
        <f>IF(D1="",'数据-汇总表'!E3,SUMIF('数据-汇总表'!$C19:$C33,D1,'数据-汇总表'!$E19:$E33))</f>
        <v>26917.519999999997</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1" t="s">
        <v>2539</v>
      </c>
      <c r="B4" s="402"/>
      <c r="C4" s="3274" t="s">
        <v>2540</v>
      </c>
      <c r="D4" s="3275"/>
      <c r="E4" s="3276" t="s">
        <v>2541</v>
      </c>
      <c r="F4" s="3277"/>
      <c r="G4" s="3274" t="s">
        <v>2542</v>
      </c>
      <c r="H4" s="3275"/>
      <c r="I4" s="3274" t="s">
        <v>2543</v>
      </c>
      <c r="J4" s="3275"/>
      <c r="K4" s="2601" t="s">
        <v>2544</v>
      </c>
      <c r="L4" s="1132"/>
      <c r="M4" s="1133"/>
      <c r="N4" s="1133"/>
      <c r="O4" s="1133"/>
      <c r="P4" s="3278" t="s">
        <v>2545</v>
      </c>
      <c r="Q4" s="3279"/>
      <c r="R4" s="3284" t="s">
        <v>2541</v>
      </c>
      <c r="S4" s="3285"/>
      <c r="T4" s="3284" t="s">
        <v>2542</v>
      </c>
      <c r="U4" s="3285"/>
      <c r="V4" s="3290" t="s">
        <v>2543</v>
      </c>
      <c r="W4" s="3290"/>
      <c r="X4" s="1815"/>
      <c r="Y4" s="3284" t="s">
        <v>2545</v>
      </c>
      <c r="Z4" s="3285"/>
      <c r="AA4" s="3271" t="s">
        <v>2541</v>
      </c>
      <c r="AB4" s="3271" t="s">
        <v>2542</v>
      </c>
      <c r="AC4" s="3271" t="s">
        <v>2543</v>
      </c>
    </row>
    <row r="5" spans="1:29" ht="15">
      <c r="A5" s="404"/>
      <c r="B5" s="405"/>
      <c r="C5" s="3293" t="s">
        <v>2546</v>
      </c>
      <c r="D5" s="3294"/>
      <c r="E5" s="3300" t="s">
        <v>2547</v>
      </c>
      <c r="F5" s="3301"/>
      <c r="G5" s="3293" t="s">
        <v>2548</v>
      </c>
      <c r="H5" s="3294"/>
      <c r="I5" s="3293" t="s">
        <v>2549</v>
      </c>
      <c r="J5" s="3294"/>
      <c r="K5" s="2602"/>
      <c r="L5" s="1132"/>
      <c r="M5" s="1133"/>
      <c r="N5" s="1133"/>
      <c r="O5" s="1133"/>
      <c r="P5" s="3280"/>
      <c r="Q5" s="3281"/>
      <c r="R5" s="3286"/>
      <c r="S5" s="3287"/>
      <c r="T5" s="3286"/>
      <c r="U5" s="3287"/>
      <c r="V5" s="3290"/>
      <c r="W5" s="3290"/>
      <c r="X5" s="1815"/>
      <c r="Y5" s="3286"/>
      <c r="Z5" s="3287"/>
      <c r="AA5" s="3272"/>
      <c r="AB5" s="3272"/>
      <c r="AC5" s="3272"/>
    </row>
    <row r="6" spans="1:29" ht="15.75" thickBot="1">
      <c r="A6" s="406"/>
      <c r="B6" s="407"/>
      <c r="C6" s="3291" t="s">
        <v>2550</v>
      </c>
      <c r="D6" s="3292"/>
      <c r="E6" s="3298" t="s">
        <v>2550</v>
      </c>
      <c r="F6" s="3299"/>
      <c r="G6" s="3291" t="s">
        <v>2550</v>
      </c>
      <c r="H6" s="3292"/>
      <c r="I6" s="3291" t="s">
        <v>2550</v>
      </c>
      <c r="J6" s="3292"/>
      <c r="K6" s="2602" t="s">
        <v>2551</v>
      </c>
      <c r="L6" s="1132"/>
      <c r="M6" s="1133"/>
      <c r="N6" s="1133"/>
      <c r="O6" s="1133"/>
      <c r="P6" s="3282"/>
      <c r="Q6" s="3283"/>
      <c r="R6" s="3286"/>
      <c r="S6" s="3287"/>
      <c r="T6" s="3288"/>
      <c r="U6" s="3289"/>
      <c r="V6" s="3290"/>
      <c r="W6" s="3290"/>
      <c r="X6" s="1815"/>
      <c r="Y6" s="3288"/>
      <c r="Z6" s="3289"/>
      <c r="AA6" s="3273"/>
      <c r="AB6" s="3273"/>
      <c r="AC6" s="3273"/>
    </row>
    <row r="7" spans="1:29" s="117" customFormat="1" ht="15.75" thickBot="1">
      <c r="A7" s="408" t="s">
        <v>2552</v>
      </c>
      <c r="B7" s="409"/>
      <c r="C7" s="410">
        <f>'数据-取费表'!B2</f>
        <v>43157</v>
      </c>
      <c r="D7" s="411">
        <v>100</v>
      </c>
      <c r="E7" s="412"/>
      <c r="F7" s="413">
        <f>SUMIF(58:58,YEAR(E7)&amp;"-"&amp;MONTH(E7),59:59)</f>
        <v>0</v>
      </c>
      <c r="G7" s="412"/>
      <c r="H7" s="411">
        <f>SUMIF(58:58,YEAR(G7)&amp;"-"&amp;MONTH(G7),59:59)</f>
        <v>0</v>
      </c>
      <c r="I7" s="412"/>
      <c r="J7" s="411">
        <f>SUMIF(58:58,YEAR(I7)&amp;"-"&amp;MONTH(I7),59:59)</f>
        <v>0</v>
      </c>
      <c r="K7" s="2603"/>
      <c r="L7" s="1134"/>
      <c r="M7" s="1135"/>
      <c r="N7" s="1135"/>
      <c r="O7" s="1135"/>
      <c r="P7" s="3295" t="s">
        <v>2553</v>
      </c>
      <c r="Q7" s="3297"/>
      <c r="R7" s="770" t="s">
        <v>23</v>
      </c>
      <c r="S7" s="771">
        <f t="shared" ref="S7:S15" si="0">F7</f>
        <v>0</v>
      </c>
      <c r="T7" s="770" t="s">
        <v>23</v>
      </c>
      <c r="U7" s="771">
        <f t="shared" ref="U7:U15" si="1">H7</f>
        <v>0</v>
      </c>
      <c r="V7" s="770" t="s">
        <v>23</v>
      </c>
      <c r="W7" s="771">
        <f t="shared" ref="W7:W15" si="2">J7</f>
        <v>0</v>
      </c>
      <c r="X7" s="772"/>
      <c r="Y7" s="3295" t="s">
        <v>2553</v>
      </c>
      <c r="Z7" s="3296"/>
      <c r="AA7" s="773" t="e">
        <f>D7/F7</f>
        <v>#DIV/0!</v>
      </c>
      <c r="AB7" s="773" t="e">
        <f>D7/H7</f>
        <v>#DIV/0!</v>
      </c>
      <c r="AC7" s="773" t="e">
        <f>D7/J7</f>
        <v>#DIV/0!</v>
      </c>
    </row>
    <row r="8" spans="1:29" s="117" customFormat="1" ht="15.75" thickBot="1">
      <c r="A8" s="408" t="s">
        <v>2554</v>
      </c>
      <c r="B8" s="409"/>
      <c r="C8" s="414" t="s">
        <v>2555</v>
      </c>
      <c r="D8" s="411">
        <v>100</v>
      </c>
      <c r="E8" s="2604"/>
      <c r="F8" s="413">
        <f>SUMIF(61:61,E8,62:62)-SUMIF(61:61,C8,62:62)+100</f>
        <v>0</v>
      </c>
      <c r="G8" s="414"/>
      <c r="H8" s="411">
        <f>SUMIF(61:61,G8,62:62)-SUMIF(61:61,C8,62:62)+100</f>
        <v>0</v>
      </c>
      <c r="I8" s="2604"/>
      <c r="J8" s="411">
        <f>SUMIF(61:61,I8,62:62)-SUMIF(61:61,C8,62:62)+100</f>
        <v>0</v>
      </c>
      <c r="K8" s="2603"/>
      <c r="L8" s="1134"/>
      <c r="M8" s="1135"/>
      <c r="N8" s="1135"/>
      <c r="O8" s="1135"/>
      <c r="P8" s="3295" t="s">
        <v>2556</v>
      </c>
      <c r="Q8" s="3296"/>
      <c r="R8" s="770" t="s">
        <v>23</v>
      </c>
      <c r="S8" s="771">
        <f t="shared" si="0"/>
        <v>0</v>
      </c>
      <c r="T8" s="770" t="s">
        <v>23</v>
      </c>
      <c r="U8" s="771">
        <f t="shared" si="1"/>
        <v>0</v>
      </c>
      <c r="V8" s="770" t="s">
        <v>23</v>
      </c>
      <c r="W8" s="771">
        <f t="shared" si="2"/>
        <v>0</v>
      </c>
      <c r="X8" s="772"/>
      <c r="Y8" s="3295" t="s">
        <v>2556</v>
      </c>
      <c r="Z8" s="3296"/>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3"/>
      <c r="L9" s="1134"/>
      <c r="M9" s="1135"/>
      <c r="N9" s="1135"/>
      <c r="O9" s="1135"/>
      <c r="P9" s="3270" t="s">
        <v>2559</v>
      </c>
      <c r="Q9" s="1797"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70"/>
      <c r="Q10" s="1797"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70"/>
      <c r="Q11" s="1797" t="str">
        <f t="shared" si="6"/>
        <v>容积率</v>
      </c>
      <c r="R11" s="770" t="s">
        <v>21</v>
      </c>
      <c r="S11" s="771" t="e">
        <f t="shared" si="0"/>
        <v>#N/A</v>
      </c>
      <c r="T11" s="770" t="s">
        <v>21</v>
      </c>
      <c r="U11" s="771" t="e">
        <f t="shared" si="1"/>
        <v>#N/A</v>
      </c>
      <c r="V11" s="770" t="s">
        <v>21</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4"/>
      <c r="M12" s="1135"/>
      <c r="N12" s="1135"/>
      <c r="O12" s="1135"/>
      <c r="P12" s="3270"/>
      <c r="Q12" s="1797">
        <f t="shared" si="6"/>
        <v>111</v>
      </c>
      <c r="R12" s="770" t="s">
        <v>21</v>
      </c>
      <c r="S12" s="771">
        <f t="shared" si="0"/>
        <v>100</v>
      </c>
      <c r="T12" s="770" t="s">
        <v>21</v>
      </c>
      <c r="U12" s="771">
        <f t="shared" si="1"/>
        <v>100</v>
      </c>
      <c r="V12" s="770" t="s">
        <v>21</v>
      </c>
      <c r="W12" s="771">
        <f t="shared" si="2"/>
        <v>100</v>
      </c>
      <c r="X12" s="772"/>
      <c r="Y12" s="308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2"/>
      <c r="M13" s="1133"/>
      <c r="N13" s="1133"/>
      <c r="O13" s="1133"/>
      <c r="P13" s="3270"/>
      <c r="Q13" s="1797">
        <f t="shared" si="6"/>
        <v>111</v>
      </c>
      <c r="R13" s="770" t="s">
        <v>21</v>
      </c>
      <c r="S13" s="771">
        <f t="shared" si="0"/>
        <v>100</v>
      </c>
      <c r="T13" s="770" t="s">
        <v>21</v>
      </c>
      <c r="U13" s="771">
        <f t="shared" si="1"/>
        <v>100</v>
      </c>
      <c r="V13" s="770" t="s">
        <v>21</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2"/>
      <c r="M14" s="1133"/>
      <c r="N14" s="1133"/>
      <c r="O14" s="1133"/>
      <c r="P14" s="3270"/>
      <c r="Q14" s="1797">
        <f t="shared" si="6"/>
        <v>111</v>
      </c>
      <c r="R14" s="770" t="s">
        <v>21</v>
      </c>
      <c r="S14" s="771">
        <f t="shared" si="0"/>
        <v>100</v>
      </c>
      <c r="T14" s="770" t="s">
        <v>21</v>
      </c>
      <c r="U14" s="771">
        <f t="shared" si="1"/>
        <v>100</v>
      </c>
      <c r="V14" s="770" t="s">
        <v>21</v>
      </c>
      <c r="W14" s="771">
        <f t="shared" si="2"/>
        <v>100</v>
      </c>
      <c r="X14" s="772"/>
      <c r="Y14" s="3084"/>
      <c r="Z14" s="55">
        <f t="shared" si="7"/>
        <v>111</v>
      </c>
      <c r="AA14" s="773">
        <f t="shared" si="3"/>
        <v>1</v>
      </c>
      <c r="AB14" s="773">
        <f t="shared" si="4"/>
        <v>1</v>
      </c>
      <c r="AC14" s="773">
        <f t="shared" si="5"/>
        <v>1</v>
      </c>
    </row>
    <row r="15" spans="1:29" ht="99.75">
      <c r="A15" s="440" t="s">
        <v>2563</v>
      </c>
      <c r="B15" s="69" t="s">
        <v>2090</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68" t="s">
        <v>2564</v>
      </c>
      <c r="Q15" s="1812" t="str">
        <f t="shared" si="6"/>
        <v>居住社区成熟度</v>
      </c>
      <c r="R15" s="774" t="s">
        <v>21</v>
      </c>
      <c r="S15" s="775">
        <f t="shared" si="0"/>
        <v>100</v>
      </c>
      <c r="T15" s="774" t="s">
        <v>21</v>
      </c>
      <c r="U15" s="775">
        <f t="shared" si="1"/>
        <v>100</v>
      </c>
      <c r="V15" s="774" t="s">
        <v>21</v>
      </c>
      <c r="W15" s="775">
        <f t="shared" si="2"/>
        <v>100</v>
      </c>
      <c r="X15" s="1815"/>
      <c r="Y15" s="3261" t="s">
        <v>2564</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2"/>
      <c r="M16" s="1133"/>
      <c r="N16" s="1133"/>
      <c r="O16" s="1133"/>
      <c r="P16" s="3269"/>
      <c r="Q16" s="1812"/>
      <c r="R16" s="774"/>
      <c r="S16" s="775"/>
      <c r="T16" s="774"/>
      <c r="U16" s="775"/>
      <c r="V16" s="774"/>
      <c r="W16" s="775"/>
      <c r="X16" s="1815"/>
      <c r="Y16" s="3262"/>
      <c r="Z16" s="1816"/>
      <c r="AA16" s="1813">
        <v>1</v>
      </c>
      <c r="AB16" s="1813">
        <v>1</v>
      </c>
      <c r="AC16" s="1813">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69"/>
      <c r="Q17" s="1812" t="str">
        <f>B17</f>
        <v>交通便捷度</v>
      </c>
      <c r="R17" s="774" t="s">
        <v>21</v>
      </c>
      <c r="S17" s="775">
        <f>F17</f>
        <v>100</v>
      </c>
      <c r="T17" s="774" t="s">
        <v>21</v>
      </c>
      <c r="U17" s="775">
        <f>H17</f>
        <v>100</v>
      </c>
      <c r="V17" s="774" t="s">
        <v>21</v>
      </c>
      <c r="W17" s="775">
        <f>J17</f>
        <v>100</v>
      </c>
      <c r="X17" s="1815"/>
      <c r="Y17" s="3262"/>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2"/>
      <c r="M18" s="1133"/>
      <c r="N18" s="1133"/>
      <c r="O18" s="1133"/>
      <c r="P18" s="3269"/>
      <c r="Q18" s="1812"/>
      <c r="R18" s="774"/>
      <c r="S18" s="775"/>
      <c r="T18" s="774"/>
      <c r="U18" s="775"/>
      <c r="V18" s="774"/>
      <c r="W18" s="775"/>
      <c r="X18" s="1815"/>
      <c r="Y18" s="3262"/>
      <c r="Z18" s="1816"/>
      <c r="AA18" s="1813">
        <v>1</v>
      </c>
      <c r="AB18" s="1813">
        <v>1</v>
      </c>
      <c r="AC18" s="1813">
        <v>1</v>
      </c>
    </row>
    <row r="19" spans="1:29" ht="42.75">
      <c r="A19" s="428"/>
      <c r="B19" s="451" t="s">
        <v>2099</v>
      </c>
      <c r="C19" s="2612"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69"/>
      <c r="Q19" s="1812" t="str">
        <f>B19</f>
        <v>公共配套设施</v>
      </c>
      <c r="R19" s="774" t="s">
        <v>21</v>
      </c>
      <c r="S19" s="775">
        <f>F19</f>
        <v>100</v>
      </c>
      <c r="T19" s="774" t="s">
        <v>21</v>
      </c>
      <c r="U19" s="775">
        <f>H19</f>
        <v>100</v>
      </c>
      <c r="V19" s="774" t="s">
        <v>21</v>
      </c>
      <c r="W19" s="775">
        <f>J19</f>
        <v>100</v>
      </c>
      <c r="X19" s="1815"/>
      <c r="Y19" s="3262"/>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2"/>
      <c r="M20" s="1133"/>
      <c r="N20" s="1133"/>
      <c r="O20" s="1133"/>
      <c r="P20" s="3269"/>
      <c r="Q20" s="1812"/>
      <c r="R20" s="774"/>
      <c r="S20" s="775"/>
      <c r="T20" s="774"/>
      <c r="U20" s="775"/>
      <c r="V20" s="774"/>
      <c r="W20" s="775"/>
      <c r="X20" s="1815"/>
      <c r="Y20" s="3262"/>
      <c r="Z20" s="1816"/>
      <c r="AA20" s="1813">
        <v>1</v>
      </c>
      <c r="AB20" s="1813">
        <v>1</v>
      </c>
      <c r="AC20" s="1813">
        <v>1</v>
      </c>
    </row>
    <row r="21" spans="1:29" ht="42.75">
      <c r="A21" s="428"/>
      <c r="B21" s="1386" t="s">
        <v>2102</v>
      </c>
      <c r="C21" s="2612"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69"/>
      <c r="Q21" s="1812" t="str">
        <f>B21</f>
        <v>基础设施水平</v>
      </c>
      <c r="R21" s="774" t="s">
        <v>17</v>
      </c>
      <c r="S21" s="775">
        <f>F21</f>
        <v>100</v>
      </c>
      <c r="T21" s="774" t="s">
        <v>17</v>
      </c>
      <c r="U21" s="775">
        <f>H21</f>
        <v>100</v>
      </c>
      <c r="V21" s="774" t="s">
        <v>17</v>
      </c>
      <c r="W21" s="775">
        <f>J21</f>
        <v>100</v>
      </c>
      <c r="X21" s="1815"/>
      <c r="Y21" s="3262"/>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8"/>
      <c r="G22" s="2616"/>
      <c r="H22" s="448"/>
      <c r="I22" s="447"/>
      <c r="J22" s="448"/>
      <c r="K22" s="2617"/>
      <c r="L22" s="1142"/>
      <c r="M22" s="1133"/>
      <c r="N22" s="1133"/>
      <c r="O22" s="1133"/>
      <c r="P22" s="3269"/>
      <c r="Q22" s="1812"/>
      <c r="R22" s="774"/>
      <c r="S22" s="775"/>
      <c r="T22" s="774"/>
      <c r="U22" s="775"/>
      <c r="V22" s="774"/>
      <c r="W22" s="775"/>
      <c r="X22" s="1815"/>
      <c r="Y22" s="3262"/>
      <c r="Z22" s="1816"/>
      <c r="AA22" s="1813">
        <v>1</v>
      </c>
      <c r="AB22" s="1813">
        <v>1</v>
      </c>
      <c r="AC22" s="1813">
        <v>1</v>
      </c>
    </row>
    <row r="23" spans="1:29" ht="57">
      <c r="A23" s="428"/>
      <c r="B23" s="451" t="s">
        <v>2106</v>
      </c>
      <c r="C23" s="2612"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69"/>
      <c r="Q23" s="1812" t="str">
        <f>B23</f>
        <v>自然及人文环境</v>
      </c>
      <c r="R23" s="774" t="s">
        <v>21</v>
      </c>
      <c r="S23" s="775">
        <f>F23</f>
        <v>100</v>
      </c>
      <c r="T23" s="774" t="s">
        <v>21</v>
      </c>
      <c r="U23" s="775">
        <f>H23</f>
        <v>100</v>
      </c>
      <c r="V23" s="774" t="s">
        <v>21</v>
      </c>
      <c r="W23" s="775">
        <f>J23</f>
        <v>100</v>
      </c>
      <c r="X23" s="1815"/>
      <c r="Y23" s="3262"/>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2"/>
      <c r="M24" s="1133"/>
      <c r="N24" s="1133"/>
      <c r="O24" s="1133"/>
      <c r="P24" s="3269"/>
      <c r="Q24" s="1812"/>
      <c r="R24" s="774"/>
      <c r="S24" s="775"/>
      <c r="T24" s="774"/>
      <c r="U24" s="775"/>
      <c r="V24" s="774"/>
      <c r="W24" s="775"/>
      <c r="X24" s="1815"/>
      <c r="Y24" s="3262"/>
      <c r="Z24" s="1816"/>
      <c r="AA24" s="1813">
        <v>1</v>
      </c>
      <c r="AB24" s="1813">
        <v>1</v>
      </c>
      <c r="AC24" s="1813">
        <v>1</v>
      </c>
    </row>
    <row r="25" spans="1:29" ht="15">
      <c r="A25" s="428"/>
      <c r="B25" s="422" t="s">
        <v>2565</v>
      </c>
      <c r="C25" s="460"/>
      <c r="D25" s="435">
        <v>100</v>
      </c>
      <c r="E25" s="2618"/>
      <c r="F25" s="435">
        <f>SUMIF(86:86,E25,87:87)-SUMIF(86:86,C25,87:87)+100</f>
        <v>100</v>
      </c>
      <c r="G25" s="2619"/>
      <c r="H25" s="435">
        <f>SUMIF(86:86,G25,87:87)-SUMIF(86:86,C25,87:87)+100</f>
        <v>100</v>
      </c>
      <c r="I25" s="2619"/>
      <c r="J25" s="435">
        <f>SUMIF(86:86,I25,87:87)-SUMIF(86:86,C25,87:87)+100</f>
        <v>100</v>
      </c>
      <c r="K25" s="426"/>
      <c r="L25" s="1142"/>
      <c r="M25" s="1133"/>
      <c r="N25" s="1133"/>
      <c r="O25" s="1133"/>
      <c r="P25" s="326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62"/>
      <c r="Z25" s="1816" t="str">
        <f>Q25</f>
        <v>楼层-1</v>
      </c>
      <c r="AA25" s="1813">
        <f t="shared" ref="AA25:AA46" si="15">D25/F25</f>
        <v>1</v>
      </c>
      <c r="AB25" s="1813">
        <f t="shared" ref="AB25:AB46" si="16">D25/H25</f>
        <v>1</v>
      </c>
      <c r="AC25" s="1813">
        <f t="shared" ref="AC25:AC46" si="17">D25/J25</f>
        <v>1</v>
      </c>
    </row>
    <row r="26" spans="1:29" ht="15">
      <c r="A26" s="428"/>
      <c r="B26" s="422" t="s">
        <v>2566</v>
      </c>
      <c r="C26" s="460"/>
      <c r="D26" s="435">
        <v>100</v>
      </c>
      <c r="E26" s="2618"/>
      <c r="F26" s="435">
        <f>SUMIF(88:88,E26,89:89)-SUMIF(88:88,C26,89:89)+100</f>
        <v>100</v>
      </c>
      <c r="G26" s="2619"/>
      <c r="H26" s="435">
        <f>SUMIF(88:88,G26,89:89)-SUMIF(88:88,C26,89:89)+100</f>
        <v>100</v>
      </c>
      <c r="I26" s="2619"/>
      <c r="J26" s="435">
        <f>SUMIF(88:88,I26,89:89)-SUMIF(88:88,C26,89:89)+100</f>
        <v>100</v>
      </c>
      <c r="K26" s="426"/>
      <c r="L26" s="1142"/>
      <c r="M26" s="1133"/>
      <c r="N26" s="1133"/>
      <c r="O26" s="1133"/>
      <c r="P26" s="3269"/>
      <c r="Q26" s="1812" t="str">
        <f t="shared" si="11"/>
        <v>朝向</v>
      </c>
      <c r="R26" s="774" t="s">
        <v>21</v>
      </c>
      <c r="S26" s="775">
        <f t="shared" si="12"/>
        <v>100</v>
      </c>
      <c r="T26" s="774" t="s">
        <v>21</v>
      </c>
      <c r="U26" s="775">
        <f t="shared" si="13"/>
        <v>100</v>
      </c>
      <c r="V26" s="774" t="s">
        <v>21</v>
      </c>
      <c r="W26" s="775">
        <f t="shared" si="14"/>
        <v>100</v>
      </c>
      <c r="X26" s="1815"/>
      <c r="Y26" s="326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6"/>
      <c r="L27" s="1134"/>
      <c r="M27" s="1135"/>
      <c r="N27" s="1135"/>
      <c r="O27" s="1135"/>
      <c r="P27" s="3269"/>
      <c r="Q27" s="1797">
        <f t="shared" si="11"/>
        <v>111</v>
      </c>
      <c r="R27" s="770" t="s">
        <v>21</v>
      </c>
      <c r="S27" s="771">
        <f t="shared" si="12"/>
        <v>100</v>
      </c>
      <c r="T27" s="770" t="s">
        <v>21</v>
      </c>
      <c r="U27" s="771">
        <f t="shared" si="13"/>
        <v>100</v>
      </c>
      <c r="V27" s="770" t="s">
        <v>21</v>
      </c>
      <c r="W27" s="771">
        <f t="shared" si="14"/>
        <v>100</v>
      </c>
      <c r="X27" s="772"/>
      <c r="Y27" s="326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0"/>
      <c r="H28" s="435">
        <f>SUMIF(92:92,G28,93:93)-SUMIF(92:92,C28,93:93)+100</f>
        <v>100</v>
      </c>
      <c r="I28" s="434"/>
      <c r="J28" s="435">
        <f>SUMIF(92:92,I28,93:93)-SUMIF(92:92,C28,93:93)+100</f>
        <v>100</v>
      </c>
      <c r="K28" s="2606"/>
      <c r="L28" s="1142"/>
      <c r="M28" s="1133"/>
      <c r="N28" s="1133"/>
      <c r="O28" s="1133"/>
      <c r="P28" s="3269"/>
      <c r="Q28" s="1812">
        <f t="shared" si="11"/>
        <v>111</v>
      </c>
      <c r="R28" s="774" t="s">
        <v>21</v>
      </c>
      <c r="S28" s="775">
        <f t="shared" si="12"/>
        <v>100</v>
      </c>
      <c r="T28" s="774" t="s">
        <v>21</v>
      </c>
      <c r="U28" s="775">
        <f t="shared" si="13"/>
        <v>100</v>
      </c>
      <c r="V28" s="774" t="s">
        <v>21</v>
      </c>
      <c r="W28" s="775">
        <f t="shared" si="14"/>
        <v>100</v>
      </c>
      <c r="X28" s="1815"/>
      <c r="Y28" s="326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0"/>
      <c r="H29" s="435">
        <f>SUMIF(94:94,G29,95:95)-SUMIF(94:94,C29,95:95)+100</f>
        <v>100</v>
      </c>
      <c r="I29" s="434"/>
      <c r="J29" s="435">
        <f>SUMIF(94:94,I29,95:95)-SUMIF(94:94,C29,95:95)+100</f>
        <v>100</v>
      </c>
      <c r="K29" s="2606"/>
      <c r="L29" s="1142"/>
      <c r="M29" s="1133"/>
      <c r="N29" s="1133"/>
      <c r="O29" s="1133"/>
      <c r="P29" s="3269"/>
      <c r="Q29" s="1812">
        <f t="shared" si="11"/>
        <v>111</v>
      </c>
      <c r="R29" s="774" t="s">
        <v>21</v>
      </c>
      <c r="S29" s="775">
        <f t="shared" si="12"/>
        <v>100</v>
      </c>
      <c r="T29" s="774" t="s">
        <v>21</v>
      </c>
      <c r="U29" s="775">
        <f t="shared" si="13"/>
        <v>100</v>
      </c>
      <c r="V29" s="774" t="s">
        <v>21</v>
      </c>
      <c r="W29" s="775">
        <f t="shared" si="14"/>
        <v>100</v>
      </c>
      <c r="X29" s="1815"/>
      <c r="Y29" s="326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0"/>
      <c r="H30" s="435">
        <f>SUMIF(96:96,G30,97:97)-SUMIF(96:96,C30,97:97)+100</f>
        <v>100</v>
      </c>
      <c r="I30" s="434"/>
      <c r="J30" s="435">
        <f>SUMIF(96:96,I30,97:97)-SUMIF(96:96,C30,97:97)+100</f>
        <v>100</v>
      </c>
      <c r="K30" s="2606"/>
      <c r="L30" s="1142"/>
      <c r="M30" s="1133"/>
      <c r="N30" s="1133"/>
      <c r="O30" s="1133"/>
      <c r="P30" s="3269"/>
      <c r="Q30" s="1812">
        <f t="shared" si="11"/>
        <v>111</v>
      </c>
      <c r="R30" s="774" t="s">
        <v>21</v>
      </c>
      <c r="S30" s="775">
        <f t="shared" si="12"/>
        <v>100</v>
      </c>
      <c r="T30" s="774" t="s">
        <v>21</v>
      </c>
      <c r="U30" s="775">
        <f t="shared" si="13"/>
        <v>100</v>
      </c>
      <c r="V30" s="774" t="s">
        <v>21</v>
      </c>
      <c r="W30" s="775">
        <f t="shared" si="14"/>
        <v>100</v>
      </c>
      <c r="X30" s="1815"/>
      <c r="Y30" s="326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1"/>
      <c r="H31" s="438">
        <f>SUMIF(98:98,G31,99:99)-SUMIF(98:98,C31,99:99)+100</f>
        <v>100</v>
      </c>
      <c r="I31" s="437"/>
      <c r="J31" s="438">
        <f>SUMIF(98:98,I31,99:99)-SUMIF(98:98,C31,99:99)+100</f>
        <v>100</v>
      </c>
      <c r="K31" s="2606"/>
      <c r="L31" s="1142"/>
      <c r="M31" s="1133"/>
      <c r="N31" s="1133"/>
      <c r="O31" s="1133"/>
      <c r="P31" s="3269"/>
      <c r="Q31" s="1812">
        <f t="shared" si="11"/>
        <v>111</v>
      </c>
      <c r="R31" s="774" t="s">
        <v>21</v>
      </c>
      <c r="S31" s="775">
        <f t="shared" si="12"/>
        <v>100</v>
      </c>
      <c r="T31" s="774" t="s">
        <v>21</v>
      </c>
      <c r="U31" s="775">
        <f t="shared" si="13"/>
        <v>100</v>
      </c>
      <c r="V31" s="774" t="s">
        <v>21</v>
      </c>
      <c r="W31" s="775">
        <f t="shared" si="14"/>
        <v>100</v>
      </c>
      <c r="X31" s="1815"/>
      <c r="Y31" s="3262"/>
      <c r="Z31" s="1816">
        <f t="shared" si="18"/>
        <v>111</v>
      </c>
      <c r="AA31" s="1813">
        <f t="shared" si="15"/>
        <v>1</v>
      </c>
      <c r="AB31" s="1813">
        <f t="shared" si="16"/>
        <v>1</v>
      </c>
      <c r="AC31" s="1813">
        <f t="shared" si="17"/>
        <v>1</v>
      </c>
    </row>
    <row r="32" spans="1:29" ht="15">
      <c r="A32" s="440" t="s">
        <v>2567</v>
      </c>
      <c r="B32" s="71" t="s">
        <v>2568</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2"/>
      <c r="M32" s="1133"/>
      <c r="N32" s="1133"/>
      <c r="O32" s="1133"/>
      <c r="P32" s="3263" t="s">
        <v>2569</v>
      </c>
      <c r="Q32" s="1812" t="str">
        <f t="shared" si="11"/>
        <v>建筑类型</v>
      </c>
      <c r="R32" s="774" t="s">
        <v>21</v>
      </c>
      <c r="S32" s="775">
        <f t="shared" si="12"/>
        <v>100</v>
      </c>
      <c r="T32" s="774" t="s">
        <v>21</v>
      </c>
      <c r="U32" s="775">
        <f t="shared" si="13"/>
        <v>100</v>
      </c>
      <c r="V32" s="774" t="s">
        <v>21</v>
      </c>
      <c r="W32" s="775">
        <f t="shared" si="14"/>
        <v>100</v>
      </c>
      <c r="X32" s="1815"/>
      <c r="Y32" s="3266" t="s">
        <v>2569</v>
      </c>
      <c r="Z32" s="1816" t="str">
        <f t="shared" si="18"/>
        <v>建筑类型</v>
      </c>
      <c r="AA32" s="1813">
        <f t="shared" si="15"/>
        <v>1</v>
      </c>
      <c r="AB32" s="1813">
        <f t="shared" si="16"/>
        <v>1</v>
      </c>
      <c r="AC32" s="1813">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0"/>
      <c r="M33" s="1143"/>
      <c r="N33" s="1143"/>
      <c r="O33" s="1143"/>
      <c r="P33" s="3264"/>
      <c r="Q33" s="776" t="str">
        <f t="shared" si="11"/>
        <v>项目建筑规模</v>
      </c>
      <c r="R33" s="777" t="s">
        <v>21</v>
      </c>
      <c r="S33" s="778" t="e">
        <f t="shared" si="12"/>
        <v>#N/A</v>
      </c>
      <c r="T33" s="777" t="s">
        <v>21</v>
      </c>
      <c r="U33" s="778" t="e">
        <f t="shared" si="13"/>
        <v>#N/A</v>
      </c>
      <c r="V33" s="777" t="s">
        <v>21</v>
      </c>
      <c r="W33" s="778" t="e">
        <f t="shared" si="14"/>
        <v>#N/A</v>
      </c>
      <c r="X33" s="779"/>
      <c r="Y33" s="3266"/>
      <c r="Z33" s="780" t="str">
        <f t="shared" si="18"/>
        <v>项目建筑规模</v>
      </c>
      <c r="AA33" s="1813" t="e">
        <f t="shared" si="15"/>
        <v>#N/A</v>
      </c>
      <c r="AB33" s="1813" t="e">
        <f t="shared" si="16"/>
        <v>#N/A</v>
      </c>
      <c r="AC33" s="1813" t="e">
        <f t="shared" si="17"/>
        <v>#N/A</v>
      </c>
    </row>
    <row r="34" spans="1:29" ht="15">
      <c r="A34" s="472"/>
      <c r="B34" s="422" t="s">
        <v>2571</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2"/>
      <c r="M34" s="1133"/>
      <c r="N34" s="1133"/>
      <c r="O34" s="1133"/>
      <c r="P34" s="3264"/>
      <c r="Q34" s="1812" t="str">
        <f t="shared" si="11"/>
        <v>建筑结构</v>
      </c>
      <c r="R34" s="774" t="s">
        <v>21</v>
      </c>
      <c r="S34" s="775">
        <f t="shared" si="12"/>
        <v>100</v>
      </c>
      <c r="T34" s="774" t="s">
        <v>21</v>
      </c>
      <c r="U34" s="775">
        <f t="shared" si="13"/>
        <v>100</v>
      </c>
      <c r="V34" s="774" t="s">
        <v>21</v>
      </c>
      <c r="W34" s="775">
        <f t="shared" si="14"/>
        <v>100</v>
      </c>
      <c r="X34" s="1815"/>
      <c r="Y34" s="3266"/>
      <c r="Z34" s="1816" t="str">
        <f t="shared" si="18"/>
        <v>建筑结构</v>
      </c>
      <c r="AA34" s="1813">
        <f t="shared" si="15"/>
        <v>1</v>
      </c>
      <c r="AB34" s="1813">
        <f t="shared" si="16"/>
        <v>1</v>
      </c>
      <c r="AC34" s="1813">
        <f t="shared" si="17"/>
        <v>1</v>
      </c>
    </row>
    <row r="35" spans="1:29" ht="15">
      <c r="A35" s="472"/>
      <c r="B35" s="422" t="s">
        <v>2572</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2"/>
      <c r="M35" s="1133"/>
      <c r="N35" s="1133"/>
      <c r="O35" s="1133"/>
      <c r="P35" s="3264"/>
      <c r="Q35" s="1812" t="str">
        <f t="shared" si="11"/>
        <v>建筑品质</v>
      </c>
      <c r="R35" s="774" t="s">
        <v>21</v>
      </c>
      <c r="S35" s="775">
        <f t="shared" si="12"/>
        <v>100</v>
      </c>
      <c r="T35" s="774" t="s">
        <v>21</v>
      </c>
      <c r="U35" s="775">
        <f t="shared" si="13"/>
        <v>100</v>
      </c>
      <c r="V35" s="774" t="s">
        <v>21</v>
      </c>
      <c r="W35" s="775">
        <f t="shared" si="14"/>
        <v>100</v>
      </c>
      <c r="X35" s="1815"/>
      <c r="Y35" s="3266"/>
      <c r="Z35" s="1816" t="str">
        <f t="shared" si="18"/>
        <v>建筑品质</v>
      </c>
      <c r="AA35" s="1813">
        <f t="shared" si="15"/>
        <v>1</v>
      </c>
      <c r="AB35" s="1813">
        <f t="shared" si="16"/>
        <v>1</v>
      </c>
      <c r="AC35" s="1813">
        <f t="shared" si="17"/>
        <v>1</v>
      </c>
    </row>
    <row r="36" spans="1:29" ht="15">
      <c r="A36" s="472"/>
      <c r="B36" s="422" t="s">
        <v>2573</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2"/>
      <c r="M36" s="1133"/>
      <c r="N36" s="1133"/>
      <c r="O36" s="1133"/>
      <c r="P36" s="3264"/>
      <c r="Q36" s="1812" t="str">
        <f t="shared" si="11"/>
        <v>公共部分装修</v>
      </c>
      <c r="R36" s="774" t="s">
        <v>21</v>
      </c>
      <c r="S36" s="775">
        <f t="shared" si="12"/>
        <v>100</v>
      </c>
      <c r="T36" s="774" t="s">
        <v>21</v>
      </c>
      <c r="U36" s="775">
        <f t="shared" si="13"/>
        <v>100</v>
      </c>
      <c r="V36" s="774" t="s">
        <v>21</v>
      </c>
      <c r="W36" s="775">
        <f t="shared" si="14"/>
        <v>100</v>
      </c>
      <c r="X36" s="1815"/>
      <c r="Y36" s="3266"/>
      <c r="Z36" s="1816" t="str">
        <f t="shared" si="18"/>
        <v>公共部分装修</v>
      </c>
      <c r="AA36" s="1813">
        <f t="shared" si="15"/>
        <v>1</v>
      </c>
      <c r="AB36" s="1813">
        <f t="shared" si="16"/>
        <v>1</v>
      </c>
      <c r="AC36" s="1813">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64"/>
      <c r="Q37" s="1797" t="str">
        <f t="shared" si="11"/>
        <v>成新度</v>
      </c>
      <c r="R37" s="770" t="s">
        <v>21</v>
      </c>
      <c r="S37" s="771" t="e">
        <f t="shared" si="12"/>
        <v>#N/A</v>
      </c>
      <c r="T37" s="770" t="s">
        <v>21</v>
      </c>
      <c r="U37" s="771" t="e">
        <f t="shared" si="13"/>
        <v>#N/A</v>
      </c>
      <c r="V37" s="770" t="s">
        <v>21</v>
      </c>
      <c r="W37" s="771" t="e">
        <f t="shared" si="14"/>
        <v>#N/A</v>
      </c>
      <c r="X37" s="772"/>
      <c r="Y37" s="3266"/>
      <c r="Z37" s="55" t="str">
        <f t="shared" si="18"/>
        <v>成新度</v>
      </c>
      <c r="AA37" s="773" t="e">
        <f t="shared" si="15"/>
        <v>#N/A</v>
      </c>
      <c r="AB37" s="773" t="e">
        <f t="shared" si="16"/>
        <v>#N/A</v>
      </c>
      <c r="AC37" s="773" t="e">
        <f t="shared" si="17"/>
        <v>#N/A</v>
      </c>
    </row>
    <row r="38" spans="1:29" ht="15">
      <c r="A38" s="472"/>
      <c r="B38" s="422" t="s">
        <v>2575</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2"/>
      <c r="M38" s="1133"/>
      <c r="N38" s="1133"/>
      <c r="O38" s="1133"/>
      <c r="P38" s="3264" t="s">
        <v>2569</v>
      </c>
      <c r="Q38" s="1812" t="str">
        <f t="shared" si="11"/>
        <v>物业管理</v>
      </c>
      <c r="R38" s="774" t="s">
        <v>21</v>
      </c>
      <c r="S38" s="775">
        <f t="shared" si="12"/>
        <v>100</v>
      </c>
      <c r="T38" s="774" t="s">
        <v>21</v>
      </c>
      <c r="U38" s="775">
        <f t="shared" si="13"/>
        <v>100</v>
      </c>
      <c r="V38" s="774" t="s">
        <v>21</v>
      </c>
      <c r="W38" s="775">
        <f t="shared" si="14"/>
        <v>100</v>
      </c>
      <c r="X38" s="1815"/>
      <c r="Y38" s="3266" t="s">
        <v>2569</v>
      </c>
      <c r="Z38" s="1816" t="str">
        <f t="shared" si="18"/>
        <v>物业管理</v>
      </c>
      <c r="AA38" s="1813">
        <f t="shared" si="15"/>
        <v>1</v>
      </c>
      <c r="AB38" s="1813">
        <f t="shared" si="16"/>
        <v>1</v>
      </c>
      <c r="AC38" s="1813">
        <f t="shared" si="17"/>
        <v>1</v>
      </c>
    </row>
    <row r="39" spans="1:29" ht="15">
      <c r="A39" s="472"/>
      <c r="B39" s="422" t="s">
        <v>2576</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2"/>
      <c r="M39" s="1133"/>
      <c r="N39" s="1133"/>
      <c r="O39" s="1133"/>
      <c r="P39" s="3264"/>
      <c r="Q39" s="1812" t="str">
        <f t="shared" si="11"/>
        <v>市政基础设施</v>
      </c>
      <c r="R39" s="774" t="s">
        <v>21</v>
      </c>
      <c r="S39" s="775">
        <f t="shared" si="12"/>
        <v>100</v>
      </c>
      <c r="T39" s="774" t="s">
        <v>21</v>
      </c>
      <c r="U39" s="775">
        <f t="shared" si="13"/>
        <v>100</v>
      </c>
      <c r="V39" s="774" t="s">
        <v>21</v>
      </c>
      <c r="W39" s="775">
        <f t="shared" si="14"/>
        <v>100</v>
      </c>
      <c r="X39" s="1815"/>
      <c r="Y39" s="3266"/>
      <c r="Z39" s="1816" t="str">
        <f t="shared" si="18"/>
        <v>市政基础设施</v>
      </c>
      <c r="AA39" s="1813">
        <f t="shared" si="15"/>
        <v>1</v>
      </c>
      <c r="AB39" s="1813">
        <f t="shared" si="16"/>
        <v>1</v>
      </c>
      <c r="AC39" s="1813">
        <f t="shared" si="17"/>
        <v>1</v>
      </c>
    </row>
    <row r="40" spans="1:29" ht="15">
      <c r="A40" s="472"/>
      <c r="B40" s="422" t="s">
        <v>2577</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2"/>
      <c r="M40" s="1133"/>
      <c r="N40" s="1133"/>
      <c r="O40" s="1133"/>
      <c r="P40" s="3264"/>
      <c r="Q40" s="1812" t="str">
        <f t="shared" si="11"/>
        <v>房型</v>
      </c>
      <c r="R40" s="774" t="s">
        <v>21</v>
      </c>
      <c r="S40" s="775">
        <f t="shared" si="12"/>
        <v>100</v>
      </c>
      <c r="T40" s="774" t="s">
        <v>21</v>
      </c>
      <c r="U40" s="775">
        <f t="shared" si="13"/>
        <v>100</v>
      </c>
      <c r="V40" s="774" t="s">
        <v>21</v>
      </c>
      <c r="W40" s="775">
        <f t="shared" si="14"/>
        <v>100</v>
      </c>
      <c r="X40" s="1815"/>
      <c r="Y40" s="3266"/>
      <c r="Z40" s="1816" t="str">
        <f t="shared" si="18"/>
        <v>房型</v>
      </c>
      <c r="AA40" s="1813">
        <f t="shared" si="15"/>
        <v>1</v>
      </c>
      <c r="AB40" s="1813">
        <f t="shared" si="16"/>
        <v>1</v>
      </c>
      <c r="AC40" s="1813">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0"/>
      <c r="M41" s="1143"/>
      <c r="N41" s="1143"/>
      <c r="O41" s="1143"/>
      <c r="P41" s="3264"/>
      <c r="Q41" s="776" t="str">
        <f t="shared" si="11"/>
        <v>单套/主力户型建筑面积</v>
      </c>
      <c r="R41" s="777" t="s">
        <v>21</v>
      </c>
      <c r="S41" s="778">
        <f t="shared" si="12"/>
        <v>100</v>
      </c>
      <c r="T41" s="777" t="s">
        <v>21</v>
      </c>
      <c r="U41" s="778">
        <f t="shared" si="13"/>
        <v>100</v>
      </c>
      <c r="V41" s="777" t="s">
        <v>21</v>
      </c>
      <c r="W41" s="778">
        <f t="shared" si="14"/>
        <v>100</v>
      </c>
      <c r="X41" s="779"/>
      <c r="Y41" s="3266"/>
      <c r="Z41" s="780" t="str">
        <f t="shared" si="18"/>
        <v>单套/主力户型建筑面积</v>
      </c>
      <c r="AA41" s="1813">
        <f t="shared" si="15"/>
        <v>1</v>
      </c>
      <c r="AB41" s="1813">
        <f t="shared" si="16"/>
        <v>1</v>
      </c>
      <c r="AC41" s="1813">
        <f t="shared" si="17"/>
        <v>1</v>
      </c>
    </row>
    <row r="42" spans="1:29" ht="15">
      <c r="A42" s="472"/>
      <c r="B42" s="422" t="s">
        <v>2579</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2"/>
      <c r="M42" s="1133"/>
      <c r="N42" s="1133"/>
      <c r="O42" s="1133"/>
      <c r="P42" s="3264"/>
      <c r="Q42" s="1812" t="str">
        <f t="shared" si="11"/>
        <v>内部装修</v>
      </c>
      <c r="R42" s="774" t="s">
        <v>21</v>
      </c>
      <c r="S42" s="775">
        <f t="shared" si="12"/>
        <v>100</v>
      </c>
      <c r="T42" s="774" t="s">
        <v>21</v>
      </c>
      <c r="U42" s="775">
        <f t="shared" si="13"/>
        <v>100</v>
      </c>
      <c r="V42" s="774" t="s">
        <v>21</v>
      </c>
      <c r="W42" s="775">
        <f t="shared" si="14"/>
        <v>100</v>
      </c>
      <c r="X42" s="1815"/>
      <c r="Y42" s="3266"/>
      <c r="Z42" s="1816" t="str">
        <f t="shared" si="18"/>
        <v>内部装修</v>
      </c>
      <c r="AA42" s="1813">
        <f t="shared" si="15"/>
        <v>1</v>
      </c>
      <c r="AB42" s="1813">
        <f t="shared" si="16"/>
        <v>1</v>
      </c>
      <c r="AC42" s="1813">
        <f t="shared" si="17"/>
        <v>1</v>
      </c>
    </row>
    <row r="43" spans="1:29" ht="15">
      <c r="A43" s="472"/>
      <c r="B43" s="422" t="s">
        <v>2580</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2"/>
      <c r="M43" s="1133"/>
      <c r="N43" s="1133"/>
      <c r="O43" s="1133"/>
      <c r="P43" s="3264"/>
      <c r="Q43" s="1812" t="str">
        <f t="shared" si="11"/>
        <v>内部装修维护情况</v>
      </c>
      <c r="R43" s="774" t="s">
        <v>21</v>
      </c>
      <c r="S43" s="775">
        <f t="shared" si="12"/>
        <v>100</v>
      </c>
      <c r="T43" s="774" t="s">
        <v>21</v>
      </c>
      <c r="U43" s="775">
        <f t="shared" si="13"/>
        <v>100</v>
      </c>
      <c r="V43" s="774" t="s">
        <v>21</v>
      </c>
      <c r="W43" s="775">
        <f t="shared" si="14"/>
        <v>100</v>
      </c>
      <c r="X43" s="1815"/>
      <c r="Y43" s="326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4"/>
      <c r="M44" s="1135"/>
      <c r="N44" s="1135"/>
      <c r="O44" s="1135"/>
      <c r="P44" s="3264"/>
      <c r="Q44" s="1797">
        <f t="shared" si="11"/>
        <v>111</v>
      </c>
      <c r="R44" s="770" t="s">
        <v>21</v>
      </c>
      <c r="S44" s="771">
        <f t="shared" si="12"/>
        <v>100</v>
      </c>
      <c r="T44" s="770" t="s">
        <v>21</v>
      </c>
      <c r="U44" s="771">
        <f t="shared" si="13"/>
        <v>100</v>
      </c>
      <c r="V44" s="770" t="s">
        <v>21</v>
      </c>
      <c r="W44" s="771">
        <f t="shared" si="14"/>
        <v>100</v>
      </c>
      <c r="X44" s="772"/>
      <c r="Y44" s="326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2"/>
      <c r="M45" s="1133"/>
      <c r="N45" s="1133"/>
      <c r="O45" s="1133"/>
      <c r="P45" s="3264"/>
      <c r="Q45" s="1812">
        <f t="shared" si="11"/>
        <v>111</v>
      </c>
      <c r="R45" s="774" t="s">
        <v>21</v>
      </c>
      <c r="S45" s="775">
        <f t="shared" si="12"/>
        <v>100</v>
      </c>
      <c r="T45" s="774" t="s">
        <v>21</v>
      </c>
      <c r="U45" s="775">
        <f t="shared" si="13"/>
        <v>100</v>
      </c>
      <c r="V45" s="774" t="s">
        <v>21</v>
      </c>
      <c r="W45" s="775">
        <f t="shared" si="14"/>
        <v>100</v>
      </c>
      <c r="X45" s="1815"/>
      <c r="Y45" s="3266"/>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2"/>
      <c r="M46" s="1133"/>
      <c r="N46" s="1133"/>
      <c r="O46" s="1133"/>
      <c r="P46" s="3265"/>
      <c r="Q46" s="1812">
        <f t="shared" si="11"/>
        <v>111</v>
      </c>
      <c r="R46" s="774" t="s">
        <v>20</v>
      </c>
      <c r="S46" s="775">
        <f t="shared" si="12"/>
        <v>100</v>
      </c>
      <c r="T46" s="774" t="s">
        <v>20</v>
      </c>
      <c r="U46" s="775">
        <f t="shared" si="13"/>
        <v>100</v>
      </c>
      <c r="V46" s="774" t="s">
        <v>20</v>
      </c>
      <c r="W46" s="775">
        <f t="shared" si="14"/>
        <v>100</v>
      </c>
      <c r="X46" s="1815"/>
      <c r="Y46" s="3267"/>
      <c r="Z46" s="1816">
        <f t="shared" si="18"/>
        <v>111</v>
      </c>
      <c r="AA46" s="1813">
        <f t="shared" si="15"/>
        <v>1</v>
      </c>
      <c r="AB46" s="1813">
        <f t="shared" si="16"/>
        <v>1</v>
      </c>
      <c r="AC46" s="1813">
        <f t="shared" si="17"/>
        <v>1</v>
      </c>
    </row>
    <row r="47" spans="1:29" ht="15">
      <c r="A47" s="479" t="s">
        <v>2581</v>
      </c>
      <c r="B47" s="480"/>
      <c r="C47" s="1409" t="s">
        <v>19</v>
      </c>
      <c r="D47" s="1410"/>
      <c r="E47" s="1411"/>
      <c r="F47" s="1412"/>
      <c r="G47" s="1413"/>
      <c r="H47" s="1414"/>
      <c r="I47" s="1411"/>
      <c r="J47" s="1414"/>
      <c r="K47" s="2626"/>
      <c r="L47" s="1145"/>
      <c r="M47" s="1146"/>
      <c r="N47" s="1133"/>
      <c r="O47" s="1146"/>
      <c r="P47" s="3259" t="str">
        <f>A47</f>
        <v>成交单价（元/平方米）</v>
      </c>
      <c r="Q47" s="3259"/>
      <c r="R47" s="3260">
        <f>E47</f>
        <v>0</v>
      </c>
      <c r="S47" s="3260"/>
      <c r="T47" s="3260">
        <f>G47</f>
        <v>0</v>
      </c>
      <c r="U47" s="3260"/>
      <c r="V47" s="3260">
        <f>I47</f>
        <v>0</v>
      </c>
      <c r="W47" s="3260"/>
      <c r="X47" s="759"/>
      <c r="Y47" s="781"/>
      <c r="Z47" s="759"/>
      <c r="AA47" s="759"/>
      <c r="AB47" s="759"/>
      <c r="AC47" s="759"/>
    </row>
    <row r="48" spans="1:29" ht="15.75" thickBot="1">
      <c r="A48" s="486" t="s">
        <v>2582</v>
      </c>
      <c r="B48" s="487"/>
      <c r="C48" s="1415" t="e">
        <f>R49</f>
        <v>#DIV/0!</v>
      </c>
      <c r="D48" s="1416"/>
      <c r="E48" s="1417" t="e">
        <f>R48</f>
        <v>#DIV/0!</v>
      </c>
      <c r="F48" s="1417"/>
      <c r="G48" s="1415" t="e">
        <f>T48</f>
        <v>#DIV/0!</v>
      </c>
      <c r="H48" s="1416"/>
      <c r="I48" s="1417" t="e">
        <f>V48</f>
        <v>#DIV/0!</v>
      </c>
      <c r="J48" s="1416"/>
      <c r="K48" s="2627"/>
      <c r="L48" s="1145"/>
      <c r="M48" s="1146"/>
      <c r="N48" s="1146"/>
      <c r="O48" s="1146"/>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2583</v>
      </c>
      <c r="B49" s="493"/>
      <c r="C49" s="1418" t="e">
        <f>R49</f>
        <v>#DIV/0!</v>
      </c>
      <c r="D49" s="1419"/>
      <c r="E49" s="1419"/>
      <c r="F49" s="1419"/>
      <c r="G49" s="1419"/>
      <c r="H49" s="1419"/>
      <c r="I49" s="1419"/>
      <c r="J49" s="1419"/>
      <c r="K49" s="2628"/>
      <c r="L49" s="1145"/>
      <c r="M49" s="1146"/>
      <c r="N49" s="1146"/>
      <c r="O49" s="1146"/>
      <c r="P49" s="3256" t="str">
        <f>A49</f>
        <v>估价对象XX用房的比较价值（楼面单价，元/平方米）</v>
      </c>
      <c r="Q49" s="3257"/>
      <c r="R49" s="3258" t="e">
        <f>IF(F1="售价",ROUND(AVERAGE(R48:V48),0),ROUND(AVERAGE(R48:V48),1))</f>
        <v>#DIV/0!</v>
      </c>
      <c r="S49" s="3258"/>
      <c r="T49" s="3258"/>
      <c r="U49" s="3258"/>
      <c r="V49" s="3258"/>
      <c r="W49" s="32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30"/>
    </row>
    <row r="55" spans="1:29" s="502"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3" t="s">
        <v>2587</v>
      </c>
      <c r="B57" s="759"/>
      <c r="C57" s="764"/>
      <c r="D57" s="764"/>
      <c r="E57" s="764"/>
      <c r="F57" s="765"/>
      <c r="G57" s="765"/>
      <c r="H57" s="764"/>
      <c r="I57" s="764"/>
      <c r="J57" s="764"/>
      <c r="K57" s="1162"/>
      <c r="L57" s="1163"/>
      <c r="M57" s="1161"/>
      <c r="N57" s="1161"/>
      <c r="O57" s="1161"/>
      <c r="P57" s="2631"/>
      <c r="Q57" s="504"/>
    </row>
    <row r="58" spans="1:29" s="508" customFormat="1" ht="15">
      <c r="A58" s="505" t="s">
        <v>2588</v>
      </c>
      <c r="B58" s="506"/>
      <c r="C58" s="1578" t="str">
        <f>YEAR(C7)&amp;"-"&amp;MONTH(C7)</f>
        <v>2018-2</v>
      </c>
      <c r="D58" s="1577">
        <f>EDATE(C58,-1)</f>
        <v>43101</v>
      </c>
      <c r="E58" s="1577">
        <f>EDATE(D58,-1)</f>
        <v>43070</v>
      </c>
      <c r="F58" s="1577">
        <f t="shared" ref="F58:O58" si="19">EDATE(E58,-1)</f>
        <v>43040</v>
      </c>
      <c r="G58" s="1577">
        <f t="shared" si="19"/>
        <v>43009</v>
      </c>
      <c r="H58" s="1577">
        <f t="shared" si="19"/>
        <v>42979</v>
      </c>
      <c r="I58" s="1577">
        <f t="shared" si="19"/>
        <v>42948</v>
      </c>
      <c r="J58" s="1577">
        <f t="shared" si="19"/>
        <v>42917</v>
      </c>
      <c r="K58" s="1577">
        <f t="shared" si="19"/>
        <v>42887</v>
      </c>
      <c r="L58" s="1577">
        <f t="shared" si="19"/>
        <v>42856</v>
      </c>
      <c r="M58" s="1577">
        <f t="shared" si="19"/>
        <v>42826</v>
      </c>
      <c r="N58" s="1577">
        <f t="shared" si="19"/>
        <v>42795</v>
      </c>
      <c r="O58" s="1577">
        <f t="shared" si="19"/>
        <v>42767</v>
      </c>
      <c r="P58" s="1572"/>
    </row>
    <row r="59" spans="1:29" s="117" customFormat="1" ht="15">
      <c r="A59" s="509"/>
      <c r="B59" s="2632"/>
      <c r="C59" s="1575">
        <v>100</v>
      </c>
      <c r="D59" s="511"/>
      <c r="E59" s="512"/>
      <c r="F59" s="512"/>
      <c r="G59" s="512"/>
      <c r="H59" s="512"/>
      <c r="I59" s="512"/>
      <c r="J59" s="512"/>
      <c r="K59" s="512"/>
      <c r="L59" s="512"/>
      <c r="M59" s="513"/>
      <c r="N59" s="512"/>
      <c r="O59" s="513"/>
      <c r="P59" s="2633"/>
    </row>
    <row r="60" spans="1:29" s="117" customFormat="1" ht="15.75" thickBot="1">
      <c r="A60" s="515" t="s">
        <v>2589</v>
      </c>
      <c r="B60" s="516"/>
      <c r="C60" s="517"/>
      <c r="D60" s="518"/>
      <c r="E60" s="518"/>
      <c r="F60" s="518"/>
      <c r="G60" s="518"/>
      <c r="H60" s="518"/>
      <c r="I60" s="518"/>
      <c r="J60" s="518"/>
      <c r="K60" s="518"/>
      <c r="L60" s="518"/>
      <c r="M60" s="519"/>
      <c r="N60" s="518"/>
      <c r="O60" s="519"/>
      <c r="P60" s="2633"/>
      <c r="Q60" s="504"/>
    </row>
    <row r="61" spans="1:29" s="117" customFormat="1" ht="15">
      <c r="A61" s="521" t="s">
        <v>2590</v>
      </c>
      <c r="B61" s="510"/>
      <c r="C61" s="522" t="s">
        <v>2591</v>
      </c>
      <c r="D61" s="523"/>
      <c r="E61" s="523"/>
      <c r="F61" s="523"/>
      <c r="G61" s="523"/>
      <c r="H61" s="523"/>
      <c r="I61" s="523"/>
      <c r="J61" s="523"/>
      <c r="K61" s="523"/>
      <c r="L61" s="524"/>
      <c r="M61" s="525"/>
      <c r="N61" s="1153"/>
      <c r="O61" s="1153"/>
      <c r="P61" s="2634"/>
      <c r="Q61" s="504"/>
    </row>
    <row r="62" spans="1:29" s="117" customFormat="1" ht="15.75" thickBot="1">
      <c r="A62" s="521"/>
      <c r="B62" s="510"/>
      <c r="C62" s="511">
        <v>100</v>
      </c>
      <c r="D62" s="512"/>
      <c r="E62" s="512"/>
      <c r="F62" s="512"/>
      <c r="G62" s="512"/>
      <c r="H62" s="512"/>
      <c r="I62" s="512"/>
      <c r="J62" s="512"/>
      <c r="K62" s="512"/>
      <c r="L62" s="512"/>
      <c r="M62" s="514"/>
      <c r="N62" s="1153"/>
      <c r="O62" s="1153"/>
      <c r="P62" s="2633"/>
      <c r="Q62" s="504"/>
    </row>
    <row r="63" spans="1:29">
      <c r="A63" s="527" t="s">
        <v>2592</v>
      </c>
      <c r="B63" s="528" t="s">
        <v>2558</v>
      </c>
      <c r="C63" s="529">
        <f>C9</f>
        <v>0</v>
      </c>
      <c r="D63" s="530"/>
      <c r="E63" s="530"/>
      <c r="F63" s="530"/>
      <c r="G63" s="530"/>
      <c r="H63" s="530"/>
      <c r="I63" s="530"/>
      <c r="J63" s="530"/>
      <c r="K63" s="531"/>
      <c r="L63" s="532"/>
      <c r="M63" s="533"/>
      <c r="N63" s="1154"/>
      <c r="O63" s="1154"/>
      <c r="P63" s="2635"/>
      <c r="Q63" s="504"/>
    </row>
    <row r="64" spans="1:29" ht="15.75" thickBot="1">
      <c r="A64" s="534"/>
      <c r="B64" s="535"/>
      <c r="C64" s="536">
        <v>100</v>
      </c>
      <c r="D64" s="536"/>
      <c r="E64" s="536"/>
      <c r="F64" s="536"/>
      <c r="G64" s="536"/>
      <c r="H64" s="536"/>
      <c r="I64" s="536"/>
      <c r="J64" s="536"/>
      <c r="K64" s="536"/>
      <c r="L64" s="536"/>
      <c r="M64" s="537"/>
      <c r="N64" s="1155"/>
      <c r="O64" s="1155"/>
      <c r="P64" s="2635"/>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5"/>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5"/>
      <c r="Q67" s="504"/>
    </row>
    <row r="68" spans="1:17" ht="15">
      <c r="A68" s="534"/>
      <c r="B68" s="548"/>
      <c r="C68" s="549"/>
      <c r="D68" s="549"/>
      <c r="E68" s="549"/>
      <c r="F68" s="549"/>
      <c r="G68" s="549"/>
      <c r="H68" s="549"/>
      <c r="I68" s="549"/>
      <c r="J68" s="549"/>
      <c r="K68" s="550"/>
      <c r="L68" s="551"/>
      <c r="M68" s="552"/>
      <c r="N68" s="1154"/>
      <c r="O68" s="1154"/>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5"/>
      <c r="Q69" s="504"/>
    </row>
    <row r="70" spans="1:17" s="471" customFormat="1" ht="15.75" thickTop="1">
      <c r="A70" s="553"/>
      <c r="B70" s="538">
        <f>B12</f>
        <v>111</v>
      </c>
      <c r="C70" s="554"/>
      <c r="D70" s="554"/>
      <c r="E70" s="554"/>
      <c r="F70" s="554"/>
      <c r="G70" s="554"/>
      <c r="H70" s="555"/>
      <c r="I70" s="555"/>
      <c r="J70" s="555"/>
      <c r="K70" s="555"/>
      <c r="L70" s="556"/>
      <c r="M70" s="557"/>
      <c r="N70" s="1156"/>
      <c r="O70" s="1156"/>
      <c r="P70" s="2636"/>
      <c r="Q70" s="559"/>
    </row>
    <row r="71" spans="1:17" s="471" customFormat="1" ht="15.75" thickBot="1">
      <c r="A71" s="553"/>
      <c r="B71" s="543"/>
      <c r="C71" s="560"/>
      <c r="D71" s="536"/>
      <c r="E71" s="536"/>
      <c r="F71" s="536"/>
      <c r="G71" s="536"/>
      <c r="H71" s="536"/>
      <c r="I71" s="536"/>
      <c r="J71" s="536"/>
      <c r="K71" s="536"/>
      <c r="L71" s="536"/>
      <c r="M71" s="537"/>
      <c r="N71" s="1155"/>
      <c r="O71" s="1155"/>
      <c r="P71" s="2636"/>
      <c r="Q71" s="559"/>
    </row>
    <row r="72" spans="1:17" s="471" customFormat="1" ht="15.75" thickTop="1">
      <c r="A72" s="553"/>
      <c r="B72" s="538">
        <f>B13</f>
        <v>111</v>
      </c>
      <c r="C72" s="554"/>
      <c r="D72" s="554"/>
      <c r="E72" s="554"/>
      <c r="F72" s="554"/>
      <c r="G72" s="554"/>
      <c r="H72" s="555"/>
      <c r="I72" s="555"/>
      <c r="J72" s="555"/>
      <c r="K72" s="555"/>
      <c r="L72" s="556"/>
      <c r="M72" s="557"/>
      <c r="N72" s="1156"/>
      <c r="O72" s="1156"/>
      <c r="P72" s="2637"/>
      <c r="Q72" s="561"/>
    </row>
    <row r="73" spans="1:17" s="471" customFormat="1" ht="15.75" thickBot="1">
      <c r="A73" s="553"/>
      <c r="B73" s="543"/>
      <c r="C73" s="560"/>
      <c r="D73" s="560"/>
      <c r="E73" s="560"/>
      <c r="F73" s="560"/>
      <c r="G73" s="560"/>
      <c r="H73" s="562"/>
      <c r="I73" s="562"/>
      <c r="J73" s="562"/>
      <c r="K73" s="562"/>
      <c r="L73" s="562"/>
      <c r="M73" s="563"/>
      <c r="N73" s="1156"/>
      <c r="O73" s="1156"/>
      <c r="P73" s="2636"/>
      <c r="Q73" s="559"/>
    </row>
    <row r="74" spans="1:17" s="471" customFormat="1" ht="15.75" thickTop="1">
      <c r="A74" s="553"/>
      <c r="B74" s="546">
        <f>B14</f>
        <v>111</v>
      </c>
      <c r="C74" s="554"/>
      <c r="D74" s="554"/>
      <c r="E74" s="554"/>
      <c r="F74" s="554"/>
      <c r="G74" s="523"/>
      <c r="H74" s="564"/>
      <c r="I74" s="564"/>
      <c r="J74" s="564"/>
      <c r="K74" s="564"/>
      <c r="L74" s="565"/>
      <c r="M74" s="566"/>
      <c r="N74" s="1156"/>
      <c r="O74" s="1156"/>
      <c r="P74" s="2638"/>
      <c r="Q74" s="559"/>
    </row>
    <row r="75" spans="1:17" s="471" customFormat="1" ht="15.75" thickBot="1">
      <c r="A75" s="568"/>
      <c r="B75" s="569"/>
      <c r="C75" s="570"/>
      <c r="D75" s="570"/>
      <c r="E75" s="570"/>
      <c r="F75" s="570"/>
      <c r="G75" s="570"/>
      <c r="H75" s="571"/>
      <c r="I75" s="571"/>
      <c r="J75" s="571"/>
      <c r="K75" s="571"/>
      <c r="L75" s="571"/>
      <c r="M75" s="572"/>
      <c r="N75" s="1156"/>
      <c r="O75" s="1156"/>
      <c r="P75" s="2636"/>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5"/>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5"/>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5"/>
      <c r="Q81" s="504"/>
    </row>
    <row r="82" spans="1:17" ht="15.75" thickTop="1">
      <c r="A82" s="534"/>
      <c r="B82" s="546" t="s">
        <v>2102</v>
      </c>
      <c r="C82" s="539" t="s">
        <v>2608</v>
      </c>
      <c r="D82" s="539" t="s">
        <v>2609</v>
      </c>
      <c r="E82" s="539" t="s">
        <v>2610</v>
      </c>
      <c r="F82" s="539" t="s">
        <v>2611</v>
      </c>
      <c r="G82" s="539" t="s">
        <v>2612</v>
      </c>
      <c r="H82" s="539"/>
      <c r="I82" s="539"/>
      <c r="J82" s="539"/>
      <c r="K82" s="539"/>
      <c r="L82" s="539"/>
      <c r="M82" s="1384"/>
      <c r="N82" s="1155"/>
      <c r="O82" s="1155"/>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5"/>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5"/>
      <c r="Q85" s="504"/>
    </row>
    <row r="86" spans="1:17" s="117" customFormat="1" ht="15.75" thickTop="1">
      <c r="A86" s="579"/>
      <c r="B86" s="538" t="s">
        <v>2614</v>
      </c>
      <c r="C86" s="554"/>
      <c r="D86" s="554"/>
      <c r="E86" s="554"/>
      <c r="F86" s="554"/>
      <c r="G86" s="554"/>
      <c r="H86" s="554"/>
      <c r="I86" s="554"/>
      <c r="J86" s="554"/>
      <c r="K86" s="554"/>
      <c r="L86" s="580"/>
      <c r="M86" s="581"/>
      <c r="N86" s="1153"/>
      <c r="O86" s="1153"/>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5"/>
      <c r="Q87" s="504"/>
    </row>
    <row r="88" spans="1:17" s="117" customFormat="1" ht="15.75" thickTop="1">
      <c r="A88" s="579"/>
      <c r="B88" s="538" t="s">
        <v>2615</v>
      </c>
      <c r="C88" s="554"/>
      <c r="D88" s="554"/>
      <c r="E88" s="554"/>
      <c r="F88" s="2640"/>
      <c r="G88" s="554"/>
      <c r="H88" s="554"/>
      <c r="I88" s="554"/>
      <c r="J88" s="554"/>
      <c r="K88" s="554"/>
      <c r="L88" s="554"/>
      <c r="M88" s="581"/>
      <c r="N88" s="1153"/>
      <c r="O88" s="1153"/>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5"/>
      <c r="Q89" s="504"/>
    </row>
    <row r="90" spans="1:17" s="471" customFormat="1" ht="15.75" thickTop="1">
      <c r="A90" s="553"/>
      <c r="B90" s="538">
        <f>B27</f>
        <v>111</v>
      </c>
      <c r="C90" s="554"/>
      <c r="D90" s="554"/>
      <c r="E90" s="554"/>
      <c r="F90" s="554"/>
      <c r="G90" s="554"/>
      <c r="H90" s="555"/>
      <c r="I90" s="555"/>
      <c r="J90" s="555"/>
      <c r="K90" s="555"/>
      <c r="L90" s="556"/>
      <c r="M90" s="557"/>
      <c r="N90" s="1156"/>
      <c r="O90" s="1156"/>
      <c r="P90" s="2636"/>
      <c r="Q90" s="559"/>
    </row>
    <row r="91" spans="1:17" s="471" customFormat="1" ht="15.75" thickBot="1">
      <c r="A91" s="553"/>
      <c r="B91" s="543"/>
      <c r="C91" s="560"/>
      <c r="D91" s="560"/>
      <c r="E91" s="560"/>
      <c r="F91" s="560"/>
      <c r="G91" s="560"/>
      <c r="H91" s="562"/>
      <c r="I91" s="562"/>
      <c r="J91" s="562"/>
      <c r="K91" s="562"/>
      <c r="L91" s="562"/>
      <c r="M91" s="563"/>
      <c r="N91" s="1156"/>
      <c r="O91" s="1156"/>
      <c r="P91" s="2636"/>
      <c r="Q91" s="559"/>
    </row>
    <row r="92" spans="1:17" ht="15.75" thickTop="1">
      <c r="A92" s="534"/>
      <c r="B92" s="538">
        <f>B28</f>
        <v>111</v>
      </c>
      <c r="C92" s="554"/>
      <c r="D92" s="554"/>
      <c r="E92" s="554"/>
      <c r="F92" s="554"/>
      <c r="G92" s="583"/>
      <c r="H92" s="583"/>
      <c r="I92" s="583"/>
      <c r="J92" s="583"/>
      <c r="K92" s="584"/>
      <c r="L92" s="585"/>
      <c r="M92" s="586"/>
      <c r="N92" s="1154"/>
      <c r="O92" s="1154"/>
      <c r="P92" s="2635"/>
      <c r="Q92" s="504"/>
    </row>
    <row r="93" spans="1:17" ht="15.75" thickBot="1">
      <c r="A93" s="534"/>
      <c r="B93" s="543"/>
      <c r="C93" s="560"/>
      <c r="D93" s="536"/>
      <c r="E93" s="536"/>
      <c r="F93" s="536"/>
      <c r="G93" s="536"/>
      <c r="H93" s="536"/>
      <c r="I93" s="536"/>
      <c r="J93" s="536"/>
      <c r="K93" s="536"/>
      <c r="L93" s="536"/>
      <c r="M93" s="537"/>
      <c r="N93" s="1155"/>
      <c r="O93" s="1155"/>
      <c r="P93" s="2635"/>
      <c r="Q93" s="504"/>
    </row>
    <row r="94" spans="1:17" ht="15.75" thickTop="1">
      <c r="A94" s="534"/>
      <c r="B94" s="538">
        <f>B29</f>
        <v>111</v>
      </c>
      <c r="C94" s="554"/>
      <c r="D94" s="554"/>
      <c r="E94" s="554"/>
      <c r="F94" s="554"/>
      <c r="G94" s="583"/>
      <c r="H94" s="583"/>
      <c r="I94" s="583"/>
      <c r="J94" s="583"/>
      <c r="K94" s="584"/>
      <c r="L94" s="585"/>
      <c r="M94" s="586"/>
      <c r="N94" s="1154"/>
      <c r="O94" s="1154"/>
      <c r="P94" s="2635"/>
      <c r="Q94" s="504"/>
    </row>
    <row r="95" spans="1:17" ht="15.75" thickBot="1">
      <c r="A95" s="534"/>
      <c r="B95" s="543"/>
      <c r="C95" s="560"/>
      <c r="D95" s="560"/>
      <c r="E95" s="560"/>
      <c r="F95" s="560"/>
      <c r="G95" s="536"/>
      <c r="H95" s="536"/>
      <c r="I95" s="536"/>
      <c r="J95" s="536"/>
      <c r="K95" s="536"/>
      <c r="L95" s="536"/>
      <c r="M95" s="537"/>
      <c r="N95" s="1155"/>
      <c r="O95" s="1155"/>
      <c r="P95" s="2635"/>
      <c r="Q95" s="504"/>
    </row>
    <row r="96" spans="1:17" ht="15.75" thickTop="1">
      <c r="A96" s="534"/>
      <c r="B96" s="538">
        <f>B30</f>
        <v>111</v>
      </c>
      <c r="C96" s="554"/>
      <c r="D96" s="554"/>
      <c r="E96" s="554"/>
      <c r="F96" s="554"/>
      <c r="G96" s="583"/>
      <c r="H96" s="583"/>
      <c r="I96" s="583"/>
      <c r="J96" s="583"/>
      <c r="K96" s="584"/>
      <c r="L96" s="585"/>
      <c r="M96" s="586"/>
      <c r="N96" s="1154"/>
      <c r="O96" s="1154"/>
      <c r="P96" s="2635"/>
      <c r="Q96" s="504"/>
    </row>
    <row r="97" spans="1:17" ht="15.75" thickBot="1">
      <c r="A97" s="534"/>
      <c r="B97" s="543"/>
      <c r="C97" s="570"/>
      <c r="D97" s="570"/>
      <c r="E97" s="570"/>
      <c r="F97" s="570"/>
      <c r="G97" s="536"/>
      <c r="H97" s="536"/>
      <c r="I97" s="536"/>
      <c r="J97" s="536"/>
      <c r="K97" s="536"/>
      <c r="L97" s="536"/>
      <c r="M97" s="537"/>
      <c r="N97" s="1155"/>
      <c r="O97" s="1155"/>
      <c r="P97" s="2635"/>
      <c r="Q97" s="504"/>
    </row>
    <row r="98" spans="1:17" ht="15.75" thickTop="1">
      <c r="A98" s="534"/>
      <c r="B98" s="546">
        <f>B31</f>
        <v>111</v>
      </c>
      <c r="C98" s="587"/>
      <c r="D98" s="587"/>
      <c r="E98" s="587"/>
      <c r="F98" s="587"/>
      <c r="G98" s="587"/>
      <c r="H98" s="587"/>
      <c r="I98" s="587"/>
      <c r="J98" s="587"/>
      <c r="K98" s="588"/>
      <c r="L98" s="589"/>
      <c r="M98" s="590"/>
      <c r="N98" s="1154"/>
      <c r="O98" s="1154"/>
      <c r="P98" s="2635"/>
      <c r="Q98" s="504"/>
    </row>
    <row r="99" spans="1:17" ht="15.75" thickBot="1">
      <c r="A99" s="2641"/>
      <c r="B99" s="569"/>
      <c r="C99" s="591"/>
      <c r="D99" s="591"/>
      <c r="E99" s="591"/>
      <c r="F99" s="591"/>
      <c r="G99" s="591"/>
      <c r="H99" s="591"/>
      <c r="I99" s="591"/>
      <c r="J99" s="591"/>
      <c r="K99" s="591"/>
      <c r="L99" s="591"/>
      <c r="M99" s="592"/>
      <c r="N99" s="1155"/>
      <c r="O99" s="1155"/>
      <c r="P99" s="2635"/>
      <c r="Q99" s="504"/>
    </row>
    <row r="100" spans="1:17">
      <c r="A100" s="527" t="s">
        <v>2567</v>
      </c>
      <c r="B100" s="528" t="s">
        <v>2616</v>
      </c>
      <c r="C100" s="530"/>
      <c r="D100" s="530"/>
      <c r="E100" s="530"/>
      <c r="F100" s="530"/>
      <c r="G100" s="530"/>
      <c r="H100" s="530"/>
      <c r="I100" s="530"/>
      <c r="J100" s="530"/>
      <c r="K100" s="531"/>
      <c r="L100" s="532"/>
      <c r="M100" s="533"/>
      <c r="N100" s="1154"/>
      <c r="O100" s="1154"/>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5"/>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5"/>
      <c r="Q102" s="504"/>
    </row>
    <row r="103" spans="1:17" s="471" customFormat="1">
      <c r="A103" s="593"/>
      <c r="B103" s="594"/>
      <c r="C103" s="595"/>
      <c r="D103" s="595"/>
      <c r="E103" s="595"/>
      <c r="F103" s="595"/>
      <c r="G103" s="595"/>
      <c r="H103" s="595"/>
      <c r="I103" s="595"/>
      <c r="J103" s="596"/>
      <c r="K103" s="596"/>
      <c r="L103" s="597"/>
      <c r="M103" s="598"/>
      <c r="N103" s="1156"/>
      <c r="O103" s="1156"/>
      <c r="P103" s="2636"/>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6"/>
      <c r="Q104" s="559"/>
    </row>
    <row r="105" spans="1:17" ht="15" thickTop="1">
      <c r="A105" s="599"/>
      <c r="B105" s="538" t="s">
        <v>2618</v>
      </c>
      <c r="C105" s="554"/>
      <c r="D105" s="554"/>
      <c r="E105" s="583"/>
      <c r="F105" s="583"/>
      <c r="G105" s="583"/>
      <c r="H105" s="583"/>
      <c r="I105" s="583"/>
      <c r="J105" s="583"/>
      <c r="K105" s="584"/>
      <c r="L105" s="585"/>
      <c r="M105" s="586"/>
      <c r="N105" s="1154"/>
      <c r="O105" s="1154"/>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5"/>
      <c r="Q106" s="504"/>
    </row>
    <row r="107" spans="1:17" ht="15" thickTop="1">
      <c r="A107" s="599"/>
      <c r="B107" s="538" t="s">
        <v>2619</v>
      </c>
      <c r="C107" s="583"/>
      <c r="D107" s="583"/>
      <c r="E107" s="583"/>
      <c r="F107" s="583"/>
      <c r="G107" s="583"/>
      <c r="H107" s="583"/>
      <c r="I107" s="583"/>
      <c r="J107" s="583"/>
      <c r="K107" s="584"/>
      <c r="L107" s="585"/>
      <c r="M107" s="586"/>
      <c r="N107" s="1154"/>
      <c r="O107" s="1154"/>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5"/>
      <c r="Q108" s="504"/>
    </row>
    <row r="109" spans="1:17" ht="15" thickTop="1">
      <c r="A109" s="599"/>
      <c r="B109" s="538" t="s">
        <v>2620</v>
      </c>
      <c r="C109" s="554"/>
      <c r="D109" s="554"/>
      <c r="E109" s="554"/>
      <c r="F109" s="583"/>
      <c r="G109" s="583"/>
      <c r="H109" s="583"/>
      <c r="I109" s="583"/>
      <c r="J109" s="583"/>
      <c r="K109" s="584"/>
      <c r="L109" s="585"/>
      <c r="M109" s="586"/>
      <c r="N109" s="1154"/>
      <c r="O109" s="1154"/>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5"/>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6"/>
      <c r="Q113" s="559"/>
    </row>
    <row r="114" spans="1:17" ht="15" thickTop="1">
      <c r="A114" s="599"/>
      <c r="B114" s="538" t="s">
        <v>2621</v>
      </c>
      <c r="C114" s="554"/>
      <c r="D114" s="554"/>
      <c r="E114" s="583"/>
      <c r="F114" s="583"/>
      <c r="G114" s="583"/>
      <c r="H114" s="583"/>
      <c r="I114" s="583"/>
      <c r="J114" s="583"/>
      <c r="K114" s="584"/>
      <c r="L114" s="585"/>
      <c r="M114" s="586"/>
      <c r="N114" s="1154"/>
      <c r="O114" s="1154"/>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5"/>
      <c r="Q115" s="504"/>
    </row>
    <row r="116" spans="1:17" ht="15" thickTop="1">
      <c r="A116" s="599"/>
      <c r="B116" s="538" t="s">
        <v>2622</v>
      </c>
      <c r="C116" s="554"/>
      <c r="D116" s="554"/>
      <c r="E116" s="554"/>
      <c r="F116" s="554"/>
      <c r="G116" s="554"/>
      <c r="H116" s="583"/>
      <c r="I116" s="583"/>
      <c r="J116" s="583"/>
      <c r="K116" s="584"/>
      <c r="L116" s="585"/>
      <c r="M116" s="586"/>
      <c r="N116" s="1154"/>
      <c r="O116" s="1154"/>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5"/>
      <c r="Q117" s="504"/>
    </row>
    <row r="118" spans="1:17" ht="15" thickTop="1">
      <c r="A118" s="599"/>
      <c r="B118" s="538" t="s">
        <v>2623</v>
      </c>
      <c r="C118" s="583"/>
      <c r="D118" s="583"/>
      <c r="E118" s="583"/>
      <c r="F118" s="583"/>
      <c r="G118" s="583"/>
      <c r="H118" s="583"/>
      <c r="I118" s="583"/>
      <c r="J118" s="583"/>
      <c r="K118" s="584"/>
      <c r="L118" s="585"/>
      <c r="M118" s="586"/>
      <c r="N118" s="1154"/>
      <c r="O118" s="1154"/>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5"/>
      <c r="Q119" s="504"/>
    </row>
    <row r="120" spans="1:17" s="471" customFormat="1" ht="28.5" thickTop="1">
      <c r="A120" s="593"/>
      <c r="B120" s="538" t="s">
        <v>2578</v>
      </c>
      <c r="C120" s="554"/>
      <c r="D120" s="554"/>
      <c r="E120" s="554"/>
      <c r="F120" s="554"/>
      <c r="G120" s="554"/>
      <c r="H120" s="554"/>
      <c r="I120" s="554"/>
      <c r="J120" s="554"/>
      <c r="K120" s="554"/>
      <c r="L120" s="580"/>
      <c r="M120" s="581"/>
      <c r="N120" s="1156"/>
      <c r="O120" s="1156"/>
      <c r="P120" s="2636"/>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6"/>
      <c r="Q121" s="559"/>
    </row>
    <row r="122" spans="1:17" ht="15" thickTop="1">
      <c r="A122" s="599"/>
      <c r="B122" s="538" t="s">
        <v>2624</v>
      </c>
      <c r="C122" s="554"/>
      <c r="D122" s="554"/>
      <c r="E122" s="554"/>
      <c r="F122" s="583"/>
      <c r="G122" s="583"/>
      <c r="H122" s="583"/>
      <c r="I122" s="583"/>
      <c r="J122" s="583"/>
      <c r="K122" s="584"/>
      <c r="L122" s="585"/>
      <c r="M122" s="586"/>
      <c r="N122" s="1154"/>
      <c r="O122" s="1154"/>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5"/>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5"/>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6"/>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6"/>
      <c r="Q127" s="559"/>
    </row>
    <row r="128" spans="1:17" ht="15" thickTop="1">
      <c r="A128" s="599"/>
      <c r="B128" s="538">
        <f>B45</f>
        <v>111</v>
      </c>
      <c r="C128" s="554"/>
      <c r="D128" s="554"/>
      <c r="E128" s="554"/>
      <c r="F128" s="554"/>
      <c r="G128" s="583"/>
      <c r="H128" s="583"/>
      <c r="I128" s="583"/>
      <c r="J128" s="583"/>
      <c r="K128" s="584"/>
      <c r="L128" s="585"/>
      <c r="M128" s="586"/>
      <c r="N128" s="1154"/>
      <c r="O128" s="1154"/>
      <c r="P128" s="2635"/>
      <c r="Q128" s="504"/>
    </row>
    <row r="129" spans="1:17" ht="15.75" thickBot="1">
      <c r="A129" s="534"/>
      <c r="B129" s="543"/>
      <c r="C129" s="560"/>
      <c r="D129" s="560"/>
      <c r="E129" s="560"/>
      <c r="F129" s="560"/>
      <c r="G129" s="536"/>
      <c r="H129" s="536"/>
      <c r="I129" s="536"/>
      <c r="J129" s="536"/>
      <c r="K129" s="536"/>
      <c r="L129" s="536"/>
      <c r="M129" s="537"/>
      <c r="N129" s="1155"/>
      <c r="O129" s="1155"/>
      <c r="P129" s="2635"/>
      <c r="Q129" s="504"/>
    </row>
    <row r="130" spans="1:17" ht="15" thickTop="1">
      <c r="A130" s="599"/>
      <c r="B130" s="546">
        <f>B46</f>
        <v>111</v>
      </c>
      <c r="C130" s="554"/>
      <c r="D130" s="554"/>
      <c r="E130" s="554"/>
      <c r="F130" s="554"/>
      <c r="G130" s="587"/>
      <c r="H130" s="587"/>
      <c r="I130" s="587"/>
      <c r="J130" s="587"/>
      <c r="K130" s="523"/>
      <c r="L130" s="524"/>
      <c r="M130" s="590"/>
      <c r="N130" s="1154"/>
      <c r="O130" s="1154"/>
      <c r="P130" s="2635"/>
      <c r="Q130" s="504"/>
    </row>
    <row r="131" spans="1:17" ht="15.75" thickBot="1">
      <c r="A131" s="2641"/>
      <c r="B131" s="569"/>
      <c r="C131" s="570"/>
      <c r="D131" s="570"/>
      <c r="E131" s="570"/>
      <c r="F131" s="570"/>
      <c r="G131" s="591"/>
      <c r="H131" s="591"/>
      <c r="I131" s="591"/>
      <c r="J131" s="591"/>
      <c r="K131" s="591"/>
      <c r="L131" s="591"/>
      <c r="M131" s="592"/>
      <c r="N131" s="1155"/>
      <c r="O131" s="1155"/>
      <c r="P131" s="2635"/>
      <c r="Q131" s="504"/>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6" t="s">
        <v>2629</v>
      </c>
      <c r="D138" s="146" t="s">
        <v>2630</v>
      </c>
      <c r="E138" s="2650" t="s">
        <v>2631</v>
      </c>
      <c r="F138" s="2651" t="s">
        <v>2632</v>
      </c>
      <c r="G138" s="146" t="s">
        <v>2630</v>
      </c>
      <c r="H138" s="147" t="s">
        <v>2631</v>
      </c>
      <c r="I138" s="2652"/>
      <c r="J138" s="146" t="s">
        <v>2633</v>
      </c>
      <c r="K138" s="147"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5">
        <f>ROUNDUP((J139-1)/2,0)</f>
        <v>10</v>
      </c>
      <c r="K140" s="1097">
        <v>100</v>
      </c>
    </row>
    <row r="141" spans="1:17" ht="15">
      <c r="B141" s="1092">
        <v>4</v>
      </c>
      <c r="C141" s="1093">
        <v>102</v>
      </c>
      <c r="D141" s="1093"/>
      <c r="E141" s="1094"/>
      <c r="F141" s="1095">
        <v>101.5</v>
      </c>
      <c r="G141" s="1093"/>
      <c r="H141" s="1096"/>
      <c r="I141" s="2655" t="s">
        <v>2638</v>
      </c>
      <c r="J141" s="315">
        <v>1</v>
      </c>
      <c r="K141" s="1098">
        <f>ROUND(100+(J141-J140)*K139*100,1)</f>
        <v>96.4</v>
      </c>
    </row>
    <row r="142" spans="1:17" ht="15">
      <c r="B142" s="1092">
        <v>3</v>
      </c>
      <c r="C142" s="1093">
        <v>103</v>
      </c>
      <c r="D142" s="1093"/>
      <c r="E142" s="1094"/>
      <c r="F142" s="1095">
        <v>101</v>
      </c>
      <c r="G142" s="1093"/>
      <c r="H142" s="1096"/>
      <c r="I142" s="2655" t="s">
        <v>2639</v>
      </c>
      <c r="J142" s="315">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t="s">
        <v>27</v>
      </c>
      <c r="C1" s="242"/>
      <c r="D1" s="242"/>
      <c r="E1" s="242"/>
      <c r="F1" s="242"/>
      <c r="G1" s="1381">
        <f>MATCH(B1,'数据-取费表'!A6:A16,0)+5</f>
        <v>6</v>
      </c>
    </row>
    <row r="2" spans="1:9" s="244" customFormat="1" ht="18" customHeight="1">
      <c r="A2" s="245" t="s">
        <v>2331</v>
      </c>
      <c r="B2" s="246">
        <f ca="1">IF(D2="——",C52,C52-E2)</f>
        <v>5720</v>
      </c>
      <c r="C2" s="243" t="s">
        <v>2332</v>
      </c>
      <c r="D2" s="2552" t="s">
        <v>70</v>
      </c>
      <c r="E2" s="1442" t="e">
        <f ca="1">SUMIF(INDIRECT("'"&amp;G2&amp;"'"&amp;"!A:A"),"承租人权益价值",INDIRECT("'"&amp;G2&amp;"'"&amp;"!c:c"))</f>
        <v>#REF!</v>
      </c>
      <c r="F2" s="2553" t="s">
        <v>2332</v>
      </c>
      <c r="G2" s="2554"/>
    </row>
    <row r="3" spans="1:9" s="244" customFormat="1" ht="18" customHeight="1" thickBot="1">
      <c r="A3" s="247" t="s">
        <v>2333</v>
      </c>
      <c r="B3" s="248">
        <f ca="1">ROUND(B2*10000/(IF(B1="",'数据-汇总表'!E3,INDIRECT("'数据-取费表'!k"&amp;$G$1))),0)</f>
        <v>43450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3527</v>
      </c>
      <c r="D5" s="255" t="s">
        <v>2338</v>
      </c>
      <c r="E5" s="256" t="s">
        <v>2339</v>
      </c>
      <c r="F5" s="256" t="s">
        <v>2340</v>
      </c>
      <c r="G5" s="257"/>
    </row>
    <row r="6" spans="1:9" s="258" customFormat="1" ht="13.5" customHeight="1">
      <c r="A6" s="951" t="s">
        <v>2341</v>
      </c>
      <c r="B6" s="259" t="s">
        <v>2342</v>
      </c>
      <c r="C6" s="260">
        <v>3397</v>
      </c>
      <c r="D6" s="261"/>
      <c r="E6" s="262"/>
      <c r="F6" s="262"/>
      <c r="G6" s="263"/>
    </row>
    <row r="7" spans="1:9" s="258" customFormat="1" ht="13.5" customHeight="1">
      <c r="A7" s="951" t="s">
        <v>2343</v>
      </c>
      <c r="B7" s="259" t="s">
        <v>2344</v>
      </c>
      <c r="C7" s="264">
        <f>ROUND(C6*F7,0)</f>
        <v>104</v>
      </c>
      <c r="D7" s="264"/>
      <c r="E7" s="262"/>
      <c r="F7" s="265">
        <f>'数据-取费表'!B48+'数据-取费表'!B49</f>
        <v>3.0499999999999999E-2</v>
      </c>
      <c r="G7" s="263"/>
    </row>
    <row r="8" spans="1:9" s="267" customFormat="1">
      <c r="A8" s="951" t="s">
        <v>2345</v>
      </c>
      <c r="B8" s="259" t="s">
        <v>2346</v>
      </c>
      <c r="C8" s="264">
        <f ca="1">IF(G8="已包含在土地购买价格中","0",IF(B1="",'数据-取费表'!B29,IF(G9="全部缴纳",C9+C10,H9)))</f>
        <v>26</v>
      </c>
      <c r="D8" s="266"/>
      <c r="E8" s="264"/>
      <c r="F8" s="265"/>
      <c r="G8" s="2555" t="s">
        <v>3175</v>
      </c>
    </row>
    <row r="9" spans="1:9" s="258" customFormat="1" ht="13.5" customHeight="1">
      <c r="A9" s="952" t="s">
        <v>800</v>
      </c>
      <c r="B9" s="268" t="s">
        <v>2347</v>
      </c>
      <c r="C9" s="269">
        <f ca="1">ROUND(D9*E9/10000,0)</f>
        <v>0</v>
      </c>
      <c r="D9" s="1034">
        <f ca="1">IF(B1="",'数据-汇总表'!E5,IF(INDIRECT("'数据-取费表'!c"&amp;$G$1)="住宅",INDIRECT("'数据-取费表'!k"&amp;$G$1),0))</f>
        <v>0</v>
      </c>
      <c r="E9" s="269">
        <f>'数据-取费表'!B27</f>
        <v>0</v>
      </c>
      <c r="F9" s="265"/>
      <c r="G9" s="2556" t="s">
        <v>3102</v>
      </c>
      <c r="H9" s="1392">
        <v>26</v>
      </c>
      <c r="I9" s="2557" t="s">
        <v>2348</v>
      </c>
    </row>
    <row r="10" spans="1:9" s="258" customFormat="1" ht="13.5" customHeight="1">
      <c r="A10" s="952" t="s">
        <v>801</v>
      </c>
      <c r="B10" s="268" t="s">
        <v>2349</v>
      </c>
      <c r="C10" s="269">
        <f ca="1">ROUND(D10*E10/10000,0)</f>
        <v>26</v>
      </c>
      <c r="D10" s="1034">
        <f ca="1">IF(B1="",'数据-汇总表'!E6,IF(INDIRECT("'数据-取费表'!c"&amp;$G$1)="住宅",INDIRECT("'数据-取费表'!s"&amp;$G$1),INDIRECT("'数据-取费表'!k"&amp;$G$1)+INDIRECT("'数据-取费表'!s"&amp;$G$1)))</f>
        <v>1316.46</v>
      </c>
      <c r="E10" s="269">
        <f>'数据-取费表'!B28</f>
        <v>200</v>
      </c>
      <c r="F10" s="265"/>
      <c r="G10" s="270"/>
    </row>
    <row r="11" spans="1:9" s="258" customFormat="1" ht="13.5" hidden="1" customHeight="1">
      <c r="A11" s="271" t="s">
        <v>7</v>
      </c>
      <c r="B11" s="259" t="s">
        <v>2350</v>
      </c>
      <c r="C11" s="255"/>
      <c r="D11" s="1036"/>
      <c r="E11" s="262"/>
      <c r="F11" s="262"/>
      <c r="G11" s="263"/>
    </row>
    <row r="12" spans="1:9" s="258" customFormat="1" ht="13.5" hidden="1" customHeight="1">
      <c r="A12" s="271" t="s">
        <v>8</v>
      </c>
      <c r="B12" s="259" t="s">
        <v>2351</v>
      </c>
      <c r="C12" s="255">
        <v>0</v>
      </c>
      <c r="D12" s="1036"/>
      <c r="E12" s="272"/>
      <c r="F12" s="265">
        <v>3.0499999999999999E-2</v>
      </c>
      <c r="G12" s="263"/>
    </row>
    <row r="13" spans="1:9" s="258" customFormat="1" ht="13.5" hidden="1" customHeight="1">
      <c r="A13" s="271" t="s">
        <v>9</v>
      </c>
      <c r="B13" s="259" t="s">
        <v>2352</v>
      </c>
      <c r="C13" s="255"/>
      <c r="D13" s="1036"/>
      <c r="E13" s="262"/>
      <c r="F13" s="262"/>
      <c r="G13" s="263"/>
    </row>
    <row r="14" spans="1:9" s="258" customFormat="1" ht="13.5" hidden="1" customHeight="1">
      <c r="A14" s="271" t="s">
        <v>10</v>
      </c>
      <c r="B14" s="259" t="s">
        <v>2353</v>
      </c>
      <c r="C14" s="255"/>
      <c r="D14" s="1036"/>
      <c r="E14" s="262"/>
      <c r="F14" s="262"/>
      <c r="G14" s="263" t="s">
        <v>2354</v>
      </c>
    </row>
    <row r="15" spans="1:9" s="258" customFormat="1" ht="13.5" hidden="1" customHeight="1">
      <c r="A15" s="271" t="s">
        <v>11</v>
      </c>
      <c r="B15" s="259" t="s">
        <v>2355</v>
      </c>
      <c r="C15" s="264"/>
      <c r="D15" s="1036"/>
      <c r="E15" s="262"/>
      <c r="F15" s="262"/>
      <c r="G15" s="263" t="s">
        <v>2356</v>
      </c>
    </row>
    <row r="16" spans="1:9" s="258" customFormat="1" ht="13.5" hidden="1" customHeight="1">
      <c r="A16" s="271" t="s">
        <v>12</v>
      </c>
      <c r="B16" s="259" t="s">
        <v>2353</v>
      </c>
      <c r="C16" s="264"/>
      <c r="D16" s="1036"/>
      <c r="E16" s="262"/>
      <c r="F16" s="262"/>
      <c r="G16" s="263"/>
    </row>
    <row r="17" spans="1:7" s="258" customFormat="1" ht="13.5" hidden="1" customHeight="1">
      <c r="A17" s="271" t="s">
        <v>13</v>
      </c>
      <c r="B17" s="259" t="s">
        <v>2357</v>
      </c>
      <c r="C17" s="273"/>
      <c r="D17" s="1037"/>
      <c r="E17" s="273"/>
      <c r="F17" s="273"/>
      <c r="G17" s="263" t="s">
        <v>2356</v>
      </c>
    </row>
    <row r="18" spans="1:7" s="258" customFormat="1" ht="13.5" hidden="1" customHeight="1">
      <c r="A18" s="271" t="s">
        <v>14</v>
      </c>
      <c r="B18" s="259" t="s">
        <v>2358</v>
      </c>
      <c r="C18" s="264">
        <v>0</v>
      </c>
      <c r="D18" s="1036"/>
      <c r="E18" s="262"/>
      <c r="F18" s="265">
        <v>3.0499999999999999E-2</v>
      </c>
      <c r="G18" s="263" t="s">
        <v>2359</v>
      </c>
    </row>
    <row r="19" spans="1:7" s="267" customFormat="1" ht="13.5" customHeight="1">
      <c r="A19" s="299" t="s">
        <v>2360</v>
      </c>
      <c r="B19" s="254" t="s">
        <v>2361</v>
      </c>
      <c r="C19" s="255" t="str">
        <f>IF(G19="已包含在土地取得成本中","0",ROUND(D19*E19/10000,0))</f>
        <v>0</v>
      </c>
      <c r="D19" s="1038">
        <f ca="1">D9+D10</f>
        <v>1316.46</v>
      </c>
      <c r="E19" s="255">
        <f>'数据-取费表'!B31</f>
        <v>200</v>
      </c>
      <c r="F19" s="275"/>
      <c r="G19" s="2555" t="s">
        <v>3176</v>
      </c>
    </row>
    <row r="20" spans="1:7" s="258" customFormat="1" ht="13.5" customHeight="1">
      <c r="A20" s="299" t="s">
        <v>2362</v>
      </c>
      <c r="B20" s="254" t="s">
        <v>2363</v>
      </c>
      <c r="C20" s="276">
        <f ca="1">ROUND((C5+C19)*F20,0)</f>
        <v>71</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346</v>
      </c>
      <c r="D22" s="279">
        <f ca="1">C26</f>
        <v>1E-3</v>
      </c>
      <c r="E22" s="280" t="s">
        <v>2367</v>
      </c>
      <c r="F22" s="281">
        <f ca="1">'数据-取费表'!B40</f>
        <v>4.7500000000000001E-2</v>
      </c>
      <c r="G22" s="278" t="str">
        <f>IF('数据-取费表'!B22&lt;=1,"单利计息","复利计息")</f>
        <v>复利计息</v>
      </c>
    </row>
    <row r="23" spans="1:7" s="258" customFormat="1" ht="13.5" customHeight="1">
      <c r="A23" s="953" t="s">
        <v>2371</v>
      </c>
      <c r="B23" s="259" t="s">
        <v>2372</v>
      </c>
      <c r="C23" s="1357">
        <f ca="1">ROUND(IF('数据-取费表'!B22&lt;=1,C5*F22*'数据-取费表'!B23,C5*(POWER((1+F22),'数据-取费表'!B23)-1)),0)</f>
        <v>343</v>
      </c>
      <c r="D23" s="282"/>
      <c r="E23" s="282"/>
      <c r="F23" s="283"/>
      <c r="G23" s="284" t="s">
        <v>2373</v>
      </c>
    </row>
    <row r="24" spans="1:7" s="258" customFormat="1" ht="13.5" customHeight="1">
      <c r="A24" s="953" t="s">
        <v>2374</v>
      </c>
      <c r="B24" s="259" t="s">
        <v>2375</v>
      </c>
      <c r="C24" s="1357">
        <f ca="1">ROUND(IF('数据-取费表'!B22&lt;=1,C19*F22*('数据-取费表'!B19/2+'数据-取费表'!B21),C19*(POWER((1+F22),('数据-取费表'!B19/2+'数据-取费表'!B21))-1)),0)</f>
        <v>0</v>
      </c>
      <c r="D24" s="282"/>
      <c r="E24" s="282"/>
      <c r="F24" s="283"/>
      <c r="G24" s="284" t="s">
        <v>2376</v>
      </c>
    </row>
    <row r="25" spans="1:7" s="258" customFormat="1" ht="24">
      <c r="A25" s="953" t="s">
        <v>2377</v>
      </c>
      <c r="B25" s="259" t="s">
        <v>2378</v>
      </c>
      <c r="C25" s="1357">
        <f ca="1">ROUND(IF('数据-取费表'!B22&lt;=1,C20*F22*'数据-取费表'!B23/2,C20*(POWER((1+F22),'数据-取费表'!B23/2)-1)),0)</f>
        <v>3</v>
      </c>
      <c r="D25" s="282"/>
      <c r="E25" s="285"/>
      <c r="F25" s="283"/>
      <c r="G25" s="286" t="s">
        <v>2379</v>
      </c>
    </row>
    <row r="26" spans="1:7" s="258" customFormat="1">
      <c r="A26" s="953"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720</v>
      </c>
      <c r="D27" s="279">
        <f ca="1">C29</f>
        <v>4.0000000000000001E-3</v>
      </c>
      <c r="E27" s="280" t="s">
        <v>2383</v>
      </c>
      <c r="F27" s="290">
        <f ca="1">IF(B1="",'数据-取费表'!Q16,INDIRECT("'数据-取费表'!q"&amp;$G$1))</f>
        <v>0.2</v>
      </c>
      <c r="G27" s="291" t="s">
        <v>2384</v>
      </c>
    </row>
    <row r="28" spans="1:7" s="258" customFormat="1" ht="13.5" customHeight="1">
      <c r="A28" s="953" t="s">
        <v>791</v>
      </c>
      <c r="B28" s="292" t="s">
        <v>2385</v>
      </c>
      <c r="C28" s="293">
        <f ca="1">ROUND((C5+C19+C20)*F27*'数据-取费表'!B21/'数据-取费表'!B20,0)</f>
        <v>720</v>
      </c>
      <c r="D28" s="279"/>
      <c r="E28" s="280"/>
      <c r="F28" s="290"/>
      <c r="G28" s="291"/>
    </row>
    <row r="29" spans="1:7" s="258" customFormat="1" ht="13.5" customHeight="1">
      <c r="A29" s="953" t="s">
        <v>792</v>
      </c>
      <c r="B29" s="292" t="s">
        <v>2386</v>
      </c>
      <c r="C29" s="282">
        <f ca="1">ROUND(C21*F27*'数据-取费表'!B21/'数据-取费表'!B20,4)</f>
        <v>4.0000000000000001E-3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5060</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582</v>
      </c>
      <c r="D33" s="276"/>
      <c r="E33" s="256"/>
      <c r="F33" s="285"/>
      <c r="G33" s="278"/>
    </row>
    <row r="34" spans="1:7" s="302" customFormat="1" ht="13.5" customHeight="1">
      <c r="A34" s="953" t="s">
        <v>791</v>
      </c>
      <c r="B34" s="259" t="s">
        <v>2394</v>
      </c>
      <c r="C34" s="264">
        <f ca="1">IF(B1="",IF(F34=100%,'数据-取费表'!M16,'数据-取费表'!O16),IF(F34=100%,INDIRECT("'数据-取费表'!m"&amp;$G$1)+INDIRECT("'数据-取费表'!t"&amp;$G$1),INDIRECT("'数据-取费表'!o"&amp;$G$1)+INDIRECT("'数据-取费表'!aq"&amp;$G$1)))</f>
        <v>527</v>
      </c>
      <c r="D34" s="261"/>
      <c r="E34" s="264"/>
      <c r="F34" s="301">
        <f ca="1">IF('数据-取费表'!B24=0,1,IF(B1="",'数据-取费表'!N16,INDIRECT("'数据-取费表'!n"&amp;$G$1)))</f>
        <v>1</v>
      </c>
      <c r="G34" s="263" t="s">
        <v>2395</v>
      </c>
    </row>
    <row r="35" spans="1:7" ht="13.5" customHeight="1">
      <c r="A35" s="953" t="s">
        <v>796</v>
      </c>
      <c r="B35" s="259" t="s">
        <v>2396</v>
      </c>
      <c r="C35" s="264">
        <f ca="1">ROUND(C34*F35,0)</f>
        <v>21</v>
      </c>
      <c r="D35" s="264"/>
      <c r="E35" s="264"/>
      <c r="F35" s="303">
        <f>'数据-取费表'!B33</f>
        <v>0.04</v>
      </c>
      <c r="G35" s="263" t="s">
        <v>2397</v>
      </c>
    </row>
    <row r="36" spans="1:7" ht="24">
      <c r="A36" s="953"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3" t="s">
        <v>798</v>
      </c>
      <c r="B37" s="259" t="s">
        <v>2400</v>
      </c>
      <c r="C37" s="293">
        <f ca="1">ROUND(E37*D37*F34/10000,0)</f>
        <v>26</v>
      </c>
      <c r="D37" s="261">
        <f ca="1">D19</f>
        <v>1316.46</v>
      </c>
      <c r="E37" s="293">
        <f>'数据-取费表'!B35</f>
        <v>200</v>
      </c>
      <c r="F37" s="303"/>
      <c r="G37" s="305" t="s">
        <v>2401</v>
      </c>
    </row>
    <row r="38" spans="1:7" ht="13.5" customHeight="1">
      <c r="A38" s="953" t="s">
        <v>799</v>
      </c>
      <c r="B38" s="259" t="s">
        <v>2402</v>
      </c>
      <c r="C38" s="264">
        <f ca="1">ROUND(C34*F38,0)</f>
        <v>8</v>
      </c>
      <c r="D38" s="264"/>
      <c r="E38" s="264"/>
      <c r="F38" s="303">
        <f>'数据-取费表'!B36</f>
        <v>1.4999999999999999E-2</v>
      </c>
      <c r="G38" s="263" t="s">
        <v>2397</v>
      </c>
    </row>
    <row r="39" spans="1:7" s="258" customFormat="1" ht="13.5" customHeight="1">
      <c r="A39" s="299" t="s">
        <v>2403</v>
      </c>
      <c r="B39" s="254" t="s">
        <v>2404</v>
      </c>
      <c r="C39" s="276">
        <f ca="1">ROUND(C33*F20,0)</f>
        <v>12</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29</v>
      </c>
      <c r="D41" s="279">
        <f ca="1">C44</f>
        <v>1E-3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ROUND(IF('数据-取费表'!B22&lt;=1,C33*F22*'数据-取费表'!B21/2,C33*(POWER((1+F22),'数据-取费表'!B21/2)-1)),0)</f>
        <v>28</v>
      </c>
      <c r="D42" s="282"/>
      <c r="E42" s="282"/>
      <c r="F42" s="283"/>
      <c r="G42" s="3226" t="s">
        <v>2413</v>
      </c>
    </row>
    <row r="43" spans="1:7" ht="13.5" customHeight="1">
      <c r="A43" s="953" t="s">
        <v>792</v>
      </c>
      <c r="B43" s="259" t="s">
        <v>2414</v>
      </c>
      <c r="C43" s="282">
        <f ca="1">ROUND(IF('数据-取费表'!B22&lt;=1,C39*F22*'数据-取费表'!B21/2,C39*(POWER((1+F22),'数据-取费表'!B21/2)-1)),0)</f>
        <v>1</v>
      </c>
      <c r="D43" s="282"/>
      <c r="E43" s="282"/>
      <c r="F43" s="283"/>
      <c r="G43" s="3227"/>
    </row>
    <row r="44" spans="1:7" ht="13.5" customHeight="1">
      <c r="A44" s="953" t="s">
        <v>793</v>
      </c>
      <c r="B44" s="259" t="s">
        <v>2415</v>
      </c>
      <c r="C44" s="282">
        <f ca="1">ROUND(IF('数据-取费表'!B22&lt;=1,C40*F22*'数据-取费表'!B21/2,C40*(POWER((1+F22),'数据-取费表'!B21/2)-1)),4)</f>
        <v>1E-3</v>
      </c>
      <c r="D44" s="282"/>
      <c r="E44" s="282"/>
      <c r="F44" s="283"/>
      <c r="G44" s="3228"/>
    </row>
    <row r="45" spans="1:7" s="258" customFormat="1" ht="13.5" customHeight="1">
      <c r="A45" s="299" t="s">
        <v>2416</v>
      </c>
      <c r="B45" s="288" t="s">
        <v>2382</v>
      </c>
      <c r="C45" s="289">
        <f ca="1">C46</f>
        <v>119</v>
      </c>
      <c r="D45" s="279">
        <f ca="1">C47</f>
        <v>4.0000000000000001E-3</v>
      </c>
      <c r="E45" s="280" t="s">
        <v>2408</v>
      </c>
      <c r="F45" s="290"/>
      <c r="G45" s="291" t="s">
        <v>2417</v>
      </c>
    </row>
    <row r="46" spans="1:7" s="258" customFormat="1" ht="13.5" customHeight="1">
      <c r="A46" s="953" t="s">
        <v>791</v>
      </c>
      <c r="B46" s="292" t="s">
        <v>2418</v>
      </c>
      <c r="C46" s="293">
        <f ca="1">ROUND((C33+C39)*F27,0)</f>
        <v>119</v>
      </c>
      <c r="D46" s="307"/>
      <c r="E46" s="280"/>
      <c r="F46" s="290"/>
      <c r="G46" s="291"/>
    </row>
    <row r="47" spans="1:7" s="258" customFormat="1" ht="13.5" customHeight="1">
      <c r="A47" s="953" t="s">
        <v>792</v>
      </c>
      <c r="B47" s="292" t="s">
        <v>2419</v>
      </c>
      <c r="C47" s="282">
        <f ca="1">ROUND(C40*F27,4)</f>
        <v>4.0000000000000001E-3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805</v>
      </c>
      <c r="D49" s="276"/>
      <c r="E49" s="276"/>
      <c r="F49" s="308"/>
      <c r="G49" s="278" t="s">
        <v>2423</v>
      </c>
    </row>
    <row r="50" spans="1:7" s="302" customFormat="1" ht="24">
      <c r="A50" s="299" t="s">
        <v>2424</v>
      </c>
      <c r="B50" s="254" t="s">
        <v>2425</v>
      </c>
      <c r="C50" s="276"/>
      <c r="D50" s="276"/>
      <c r="E50" s="276"/>
      <c r="F50" s="308">
        <f>IF('数据-取费表'!B24=0,'数据-取费表'!N16,1)</f>
        <v>0.82</v>
      </c>
      <c r="G50" s="291" t="s">
        <v>2426</v>
      </c>
    </row>
    <row r="51" spans="1:7" ht="16.5" customHeight="1">
      <c r="A51" s="299" t="s">
        <v>2427</v>
      </c>
      <c r="B51" s="254" t="s">
        <v>2428</v>
      </c>
      <c r="C51" s="276">
        <f ca="1">ROUND(C49*F50,0)</f>
        <v>660</v>
      </c>
      <c r="D51" s="276"/>
      <c r="E51" s="276"/>
      <c r="F51" s="308"/>
      <c r="G51" s="278" t="s">
        <v>2429</v>
      </c>
    </row>
    <row r="52" spans="1:7" s="252" customFormat="1" ht="16.5" thickBot="1">
      <c r="A52" s="309" t="s">
        <v>2430</v>
      </c>
      <c r="B52" s="310"/>
      <c r="C52" s="311">
        <f ca="1">C31+C51</f>
        <v>5720</v>
      </c>
      <c r="D52" s="310"/>
      <c r="E52" s="310"/>
      <c r="F52" s="310"/>
      <c r="G52" s="312"/>
    </row>
    <row r="55" spans="1:7" ht="15">
      <c r="B55" s="314" t="s">
        <v>2431</v>
      </c>
      <c r="C55" s="315"/>
    </row>
    <row r="56" spans="1:7">
      <c r="B56" s="317" t="s">
        <v>1514</v>
      </c>
      <c r="C56" s="319">
        <f ca="1">1-C57</f>
        <v>0.88500000000000001</v>
      </c>
    </row>
    <row r="57" spans="1:7">
      <c r="B57" s="317" t="s">
        <v>1515</v>
      </c>
      <c r="C57" s="318">
        <f ca="1">ROUND(C51/C52,3)</f>
        <v>0.115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4" t="s">
        <v>2690</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IF(C2="——",ROUND(C50*D3/10000,0),ROUND(C50*D3/10000,0)-D2)</f>
        <v>#DIV/0!</v>
      </c>
      <c r="C2" s="2591"/>
      <c r="D2" s="1367" t="e">
        <f ca="1">SUMIF(INDIRECT("'"&amp;F2&amp;"'"&amp;"!A:A"),"承租人权益价值",INDIRECT("'"&amp;F2&amp;"'"&amp;"!c:c"))</f>
        <v>#REF!</v>
      </c>
      <c r="E2" s="2592" t="s">
        <v>2332</v>
      </c>
      <c r="F2" s="2593"/>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26917.519999999997</v>
      </c>
      <c r="E3" s="2668"/>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2649</v>
      </c>
      <c r="B4" s="402"/>
      <c r="C4" s="3274" t="s">
        <v>2650</v>
      </c>
      <c r="D4" s="3275"/>
      <c r="E4" s="3276" t="s">
        <v>2651</v>
      </c>
      <c r="F4" s="3277"/>
      <c r="G4" s="3274" t="s">
        <v>2652</v>
      </c>
      <c r="H4" s="3275"/>
      <c r="I4" s="3274" t="s">
        <v>2653</v>
      </c>
      <c r="J4" s="3275"/>
      <c r="K4" s="610" t="s">
        <v>2654</v>
      </c>
      <c r="L4" s="1132"/>
      <c r="M4" s="1133"/>
      <c r="N4" s="1133"/>
      <c r="O4" s="1133"/>
      <c r="P4" s="3308" t="s">
        <v>2655</v>
      </c>
      <c r="Q4" s="3309"/>
      <c r="R4" s="3312" t="s">
        <v>2651</v>
      </c>
      <c r="S4" s="3313"/>
      <c r="T4" s="3312" t="s">
        <v>2652</v>
      </c>
      <c r="U4" s="3313"/>
      <c r="V4" s="3314" t="s">
        <v>2653</v>
      </c>
      <c r="W4" s="3314"/>
      <c r="X4" s="2675"/>
      <c r="Y4" s="3312" t="s">
        <v>2655</v>
      </c>
      <c r="Z4" s="3313"/>
      <c r="AA4" s="3316" t="s">
        <v>2651</v>
      </c>
      <c r="AB4" s="3316" t="s">
        <v>2652</v>
      </c>
      <c r="AC4" s="3305" t="s">
        <v>2653</v>
      </c>
    </row>
    <row r="5" spans="1:29" ht="15">
      <c r="A5" s="404"/>
      <c r="B5" s="405"/>
      <c r="C5" s="3293" t="s">
        <v>2546</v>
      </c>
      <c r="D5" s="3294"/>
      <c r="E5" s="3300" t="s">
        <v>2547</v>
      </c>
      <c r="F5" s="3301"/>
      <c r="G5" s="3293" t="s">
        <v>2548</v>
      </c>
      <c r="H5" s="3294"/>
      <c r="I5" s="3293" t="s">
        <v>2549</v>
      </c>
      <c r="J5" s="3294"/>
      <c r="K5" s="610"/>
      <c r="L5" s="1132"/>
      <c r="M5" s="1133"/>
      <c r="N5" s="1133"/>
      <c r="O5" s="1133"/>
      <c r="P5" s="3310"/>
      <c r="Q5" s="3281"/>
      <c r="R5" s="3286"/>
      <c r="S5" s="3287"/>
      <c r="T5" s="3286"/>
      <c r="U5" s="3287"/>
      <c r="V5" s="3290"/>
      <c r="W5" s="3290"/>
      <c r="X5" s="1815"/>
      <c r="Y5" s="3286"/>
      <c r="Z5" s="3287"/>
      <c r="AA5" s="3272"/>
      <c r="AB5" s="3272"/>
      <c r="AC5" s="3306"/>
    </row>
    <row r="6" spans="1:29" ht="15.75" thickBot="1">
      <c r="A6" s="406"/>
      <c r="B6" s="407"/>
      <c r="C6" s="3291" t="s">
        <v>2550</v>
      </c>
      <c r="D6" s="3292"/>
      <c r="E6" s="3298" t="s">
        <v>2550</v>
      </c>
      <c r="F6" s="3299"/>
      <c r="G6" s="3291" t="s">
        <v>2550</v>
      </c>
      <c r="H6" s="3292"/>
      <c r="I6" s="3291" t="s">
        <v>2550</v>
      </c>
      <c r="J6" s="3292"/>
      <c r="K6" s="610" t="s">
        <v>2551</v>
      </c>
      <c r="L6" s="1132"/>
      <c r="M6" s="1133"/>
      <c r="N6" s="1133"/>
      <c r="O6" s="1133"/>
      <c r="P6" s="3311"/>
      <c r="Q6" s="3283"/>
      <c r="R6" s="3286"/>
      <c r="S6" s="3287"/>
      <c r="T6" s="3288"/>
      <c r="U6" s="3289"/>
      <c r="V6" s="3290"/>
      <c r="W6" s="3290"/>
      <c r="X6" s="1815"/>
      <c r="Y6" s="3288"/>
      <c r="Z6" s="3289"/>
      <c r="AA6" s="3273"/>
      <c r="AB6" s="3273"/>
      <c r="AC6" s="3307"/>
    </row>
    <row r="7" spans="1:29" s="117" customFormat="1" ht="15.75" thickBot="1">
      <c r="A7" s="408" t="s">
        <v>2552</v>
      </c>
      <c r="B7" s="409"/>
      <c r="C7" s="410">
        <f>'数据-取费表'!B2</f>
        <v>43157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15" t="s">
        <v>2553</v>
      </c>
      <c r="Q7" s="3297"/>
      <c r="R7" s="770" t="s">
        <v>17</v>
      </c>
      <c r="S7" s="771">
        <f t="shared" ref="S7:S15" si="0">F7</f>
        <v>0</v>
      </c>
      <c r="T7" s="770" t="s">
        <v>17</v>
      </c>
      <c r="U7" s="771">
        <f t="shared" ref="U7:U15" si="1">H7</f>
        <v>0</v>
      </c>
      <c r="V7" s="770" t="s">
        <v>17</v>
      </c>
      <c r="W7" s="771">
        <f t="shared" ref="W7:W15" si="2">J7</f>
        <v>0</v>
      </c>
      <c r="X7" s="772"/>
      <c r="Y7" s="3295" t="s">
        <v>2553</v>
      </c>
      <c r="Z7" s="3296"/>
      <c r="AA7" s="773" t="e">
        <f>D7/F7</f>
        <v>#DIV/0!</v>
      </c>
      <c r="AB7" s="773" t="e">
        <f>D7/H7</f>
        <v>#DIV/0!</v>
      </c>
      <c r="AC7" s="2676"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15" t="s">
        <v>2556</v>
      </c>
      <c r="Q8" s="3296"/>
      <c r="R8" s="770" t="s">
        <v>17</v>
      </c>
      <c r="S8" s="771">
        <f t="shared" si="0"/>
        <v>0</v>
      </c>
      <c r="T8" s="770" t="s">
        <v>17</v>
      </c>
      <c r="U8" s="771">
        <f t="shared" si="1"/>
        <v>0</v>
      </c>
      <c r="V8" s="770" t="s">
        <v>17</v>
      </c>
      <c r="W8" s="771">
        <f t="shared" si="2"/>
        <v>0</v>
      </c>
      <c r="X8" s="772"/>
      <c r="Y8" s="3295" t="s">
        <v>2556</v>
      </c>
      <c r="Z8" s="3296"/>
      <c r="AA8" s="773" t="e">
        <f t="shared" ref="AA8:AA47" si="3">D8/F8</f>
        <v>#DIV/0!</v>
      </c>
      <c r="AB8" s="773" t="e">
        <f t="shared" ref="AB8:AB47" si="4">D8/H8</f>
        <v>#DIV/0!</v>
      </c>
      <c r="AC8" s="2676"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70" t="s">
        <v>2559</v>
      </c>
      <c r="Q9" s="1797"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2676">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70"/>
      <c r="Q10" s="1797"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2676">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70"/>
      <c r="Q11" s="1797"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4"/>
      <c r="M12" s="1135"/>
      <c r="N12" s="1135"/>
      <c r="O12" s="1135"/>
      <c r="P12" s="3270"/>
      <c r="Q12" s="1797">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2"/>
      <c r="M13" s="1133"/>
      <c r="N13" s="1133"/>
      <c r="O13" s="1133"/>
      <c r="P13" s="3270"/>
      <c r="Q13" s="1797">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2"/>
      <c r="M14" s="1133"/>
      <c r="N14" s="1133"/>
      <c r="O14" s="1133"/>
      <c r="P14" s="3270"/>
      <c r="Q14" s="1797">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2676">
        <f t="shared" si="5"/>
        <v>1</v>
      </c>
    </row>
    <row r="15" spans="1:29" ht="71.25">
      <c r="A15" s="440" t="s">
        <v>2563</v>
      </c>
      <c r="B15" s="629" t="s">
        <v>2691</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68" t="s">
        <v>2564</v>
      </c>
      <c r="Q15" s="1812" t="str">
        <f t="shared" si="6"/>
        <v>办公集聚程度</v>
      </c>
      <c r="R15" s="774" t="s">
        <v>17</v>
      </c>
      <c r="S15" s="775">
        <f t="shared" si="0"/>
        <v>100</v>
      </c>
      <c r="T15" s="774" t="s">
        <v>17</v>
      </c>
      <c r="U15" s="775">
        <f t="shared" si="1"/>
        <v>100</v>
      </c>
      <c r="V15" s="774" t="s">
        <v>17</v>
      </c>
      <c r="W15" s="775">
        <f t="shared" si="2"/>
        <v>100</v>
      </c>
      <c r="X15" s="1815"/>
      <c r="Y15" s="3261" t="s">
        <v>2564</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2"/>
      <c r="M16" s="1133"/>
      <c r="N16" s="1133"/>
      <c r="O16" s="1133"/>
      <c r="P16" s="3269"/>
      <c r="Q16" s="1812"/>
      <c r="R16" s="774"/>
      <c r="S16" s="775"/>
      <c r="T16" s="774"/>
      <c r="U16" s="775"/>
      <c r="V16" s="774"/>
      <c r="W16" s="775"/>
      <c r="X16" s="1815"/>
      <c r="Y16" s="3262"/>
      <c r="Z16" s="1816"/>
      <c r="AA16" s="1813">
        <v>1</v>
      </c>
      <c r="AB16" s="1813">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69"/>
      <c r="Q17" s="1812" t="str">
        <f>B17</f>
        <v>交通便捷度</v>
      </c>
      <c r="R17" s="774" t="s">
        <v>17</v>
      </c>
      <c r="S17" s="775">
        <f>F17</f>
        <v>100</v>
      </c>
      <c r="T17" s="774" t="s">
        <v>17</v>
      </c>
      <c r="U17" s="775">
        <f>H17</f>
        <v>100</v>
      </c>
      <c r="V17" s="774" t="s">
        <v>17</v>
      </c>
      <c r="W17" s="775">
        <f>J17</f>
        <v>100</v>
      </c>
      <c r="X17" s="1815"/>
      <c r="Y17" s="3262"/>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2"/>
      <c r="M18" s="1133"/>
      <c r="N18" s="1133"/>
      <c r="O18" s="1133"/>
      <c r="P18" s="3269"/>
      <c r="Q18" s="1812"/>
      <c r="R18" s="774"/>
      <c r="S18" s="775"/>
      <c r="T18" s="774"/>
      <c r="U18" s="775"/>
      <c r="V18" s="774"/>
      <c r="W18" s="775"/>
      <c r="X18" s="1815"/>
      <c r="Y18" s="3262"/>
      <c r="Z18" s="1816"/>
      <c r="AA18" s="1813">
        <v>1</v>
      </c>
      <c r="AB18" s="1813">
        <v>1</v>
      </c>
      <c r="AC18" s="2679">
        <v>1</v>
      </c>
    </row>
    <row r="19" spans="1:29" ht="28.5">
      <c r="A19" s="428"/>
      <c r="B19" s="631" t="s">
        <v>2692</v>
      </c>
      <c r="C19" s="2680"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69"/>
      <c r="Q19" s="1812" t="str">
        <f>B19</f>
        <v>公共配套设施</v>
      </c>
      <c r="R19" s="774" t="s">
        <v>17</v>
      </c>
      <c r="S19" s="775">
        <f>F19</f>
        <v>100</v>
      </c>
      <c r="T19" s="774" t="s">
        <v>17</v>
      </c>
      <c r="U19" s="775">
        <f>H19</f>
        <v>100</v>
      </c>
      <c r="V19" s="774" t="s">
        <v>17</v>
      </c>
      <c r="W19" s="775">
        <f>J19</f>
        <v>100</v>
      </c>
      <c r="X19" s="1815"/>
      <c r="Y19" s="3262"/>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2"/>
      <c r="M20" s="1133"/>
      <c r="N20" s="1133"/>
      <c r="O20" s="1133"/>
      <c r="P20" s="3269"/>
      <c r="Q20" s="1812"/>
      <c r="R20" s="774"/>
      <c r="S20" s="775"/>
      <c r="T20" s="774"/>
      <c r="U20" s="775"/>
      <c r="V20" s="774"/>
      <c r="W20" s="775"/>
      <c r="X20" s="1815"/>
      <c r="Y20" s="3262"/>
      <c r="Z20" s="1816"/>
      <c r="AA20" s="1813">
        <v>1</v>
      </c>
      <c r="AB20" s="1813">
        <v>1</v>
      </c>
      <c r="AC20" s="2679">
        <v>1</v>
      </c>
    </row>
    <row r="21" spans="1:29" ht="28.5">
      <c r="A21" s="428"/>
      <c r="B21" s="633" t="s">
        <v>2693</v>
      </c>
      <c r="C21" s="2680"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69"/>
      <c r="Q21" s="1812" t="str">
        <f>B21</f>
        <v>基础设施水平</v>
      </c>
      <c r="R21" s="774" t="s">
        <v>17</v>
      </c>
      <c r="S21" s="775">
        <f>F21</f>
        <v>100</v>
      </c>
      <c r="T21" s="774" t="s">
        <v>17</v>
      </c>
      <c r="U21" s="775">
        <f>H21</f>
        <v>100</v>
      </c>
      <c r="V21" s="774" t="s">
        <v>17</v>
      </c>
      <c r="W21" s="775">
        <f>J21</f>
        <v>100</v>
      </c>
      <c r="X21" s="1815"/>
      <c r="Y21" s="3262"/>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5"/>
      <c r="L22" s="1142"/>
      <c r="M22" s="1133"/>
      <c r="N22" s="1133"/>
      <c r="O22" s="1133"/>
      <c r="P22" s="3269"/>
      <c r="Q22" s="1812"/>
      <c r="R22" s="774"/>
      <c r="S22" s="775"/>
      <c r="T22" s="774"/>
      <c r="U22" s="775"/>
      <c r="V22" s="774"/>
      <c r="W22" s="775"/>
      <c r="X22" s="1815"/>
      <c r="Y22" s="3262"/>
      <c r="Z22" s="1816"/>
      <c r="AA22" s="1813">
        <v>1</v>
      </c>
      <c r="AB22" s="1813">
        <v>1</v>
      </c>
      <c r="AC22" s="2679">
        <v>1</v>
      </c>
    </row>
    <row r="23" spans="1:29" ht="42.75">
      <c r="A23" s="428"/>
      <c r="B23" s="631" t="s">
        <v>2694</v>
      </c>
      <c r="C23" s="2680"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69"/>
      <c r="Q23" s="1812" t="str">
        <f>B23</f>
        <v>环境质量</v>
      </c>
      <c r="R23" s="774" t="s">
        <v>17</v>
      </c>
      <c r="S23" s="775">
        <f>F23</f>
        <v>100</v>
      </c>
      <c r="T23" s="774" t="s">
        <v>17</v>
      </c>
      <c r="U23" s="775">
        <f>H23</f>
        <v>100</v>
      </c>
      <c r="V23" s="774" t="s">
        <v>17</v>
      </c>
      <c r="W23" s="775">
        <f>J23</f>
        <v>100</v>
      </c>
      <c r="X23" s="1815"/>
      <c r="Y23" s="3262"/>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2"/>
      <c r="M24" s="1133"/>
      <c r="N24" s="1133"/>
      <c r="O24" s="1133"/>
      <c r="P24" s="3269"/>
      <c r="Q24" s="1812"/>
      <c r="R24" s="774"/>
      <c r="S24" s="775"/>
      <c r="T24" s="774"/>
      <c r="U24" s="775"/>
      <c r="V24" s="774"/>
      <c r="W24" s="775"/>
      <c r="X24" s="1815"/>
      <c r="Y24" s="3262"/>
      <c r="Z24" s="1816"/>
      <c r="AA24" s="1813">
        <v>1</v>
      </c>
      <c r="AB24" s="1813">
        <v>1</v>
      </c>
      <c r="AC24" s="2679">
        <v>1</v>
      </c>
    </row>
    <row r="25" spans="1:29" ht="27">
      <c r="A25" s="404"/>
      <c r="B25" s="631" t="s">
        <v>2695</v>
      </c>
      <c r="C25" s="2620"/>
      <c r="D25" s="435">
        <v>100</v>
      </c>
      <c r="E25" s="434"/>
      <c r="F25" s="435">
        <f>SUMIF(87:87,E26,88:88)-SUMIF(87:87,C26,88:88)+100</f>
        <v>100</v>
      </c>
      <c r="G25" s="2620"/>
      <c r="H25" s="435">
        <f>SUMIF(87:87,G26,88:88)-SUMIF(87:87,C26,88:88)+100</f>
        <v>100</v>
      </c>
      <c r="I25" s="434"/>
      <c r="J25" s="435">
        <f>SUMIF(87:87,I26,88:88)-SUMIF(87:87,C26,88:88)+100</f>
        <v>100</v>
      </c>
      <c r="K25" s="614"/>
      <c r="L25" s="1142"/>
      <c r="M25" s="1133"/>
      <c r="N25" s="1133"/>
      <c r="O25" s="1133"/>
      <c r="P25" s="3269"/>
      <c r="Q25" s="1812" t="str">
        <f>B25</f>
        <v>毗邻道路的类型与等级</v>
      </c>
      <c r="R25" s="774" t="s">
        <v>17</v>
      </c>
      <c r="S25" s="775">
        <f>F25</f>
        <v>100</v>
      </c>
      <c r="T25" s="774" t="s">
        <v>17</v>
      </c>
      <c r="U25" s="775">
        <f>H25</f>
        <v>100</v>
      </c>
      <c r="V25" s="774" t="s">
        <v>17</v>
      </c>
      <c r="W25" s="775">
        <f>J25</f>
        <v>100</v>
      </c>
      <c r="X25" s="1815"/>
      <c r="Y25" s="3262"/>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2"/>
      <c r="M26" s="1133"/>
      <c r="N26" s="1133"/>
      <c r="O26" s="1133"/>
      <c r="P26" s="3269"/>
      <c r="Q26" s="1812"/>
      <c r="R26" s="774"/>
      <c r="S26" s="775"/>
      <c r="T26" s="774"/>
      <c r="U26" s="775"/>
      <c r="V26" s="774"/>
      <c r="W26" s="775"/>
      <c r="X26" s="1815"/>
      <c r="Y26" s="3262"/>
      <c r="Z26" s="1816"/>
      <c r="AA26" s="1813">
        <v>1</v>
      </c>
      <c r="AB26" s="1813">
        <v>1</v>
      </c>
      <c r="AC26" s="2679">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69"/>
      <c r="Q27" s="1812" t="str">
        <f t="shared" ref="Q27:Q47" si="11">B27</f>
        <v>楼层</v>
      </c>
      <c r="R27" s="774" t="s">
        <v>17</v>
      </c>
      <c r="S27" s="775">
        <f>F27</f>
        <v>100</v>
      </c>
      <c r="T27" s="774" t="s">
        <v>17</v>
      </c>
      <c r="U27" s="775">
        <f>H27</f>
        <v>100</v>
      </c>
      <c r="V27" s="774" t="s">
        <v>17</v>
      </c>
      <c r="W27" s="775">
        <f>J27</f>
        <v>100</v>
      </c>
      <c r="X27" s="1815"/>
      <c r="Y27" s="3262"/>
      <c r="Z27" s="1816" t="str">
        <f>Q27</f>
        <v>楼层</v>
      </c>
      <c r="AA27" s="1813">
        <f t="shared" si="3"/>
        <v>1</v>
      </c>
      <c r="AB27" s="1813">
        <f t="shared" si="4"/>
        <v>1</v>
      </c>
      <c r="AC27" s="2679">
        <f t="shared" si="5"/>
        <v>1</v>
      </c>
    </row>
    <row r="28" spans="1:29" s="117" customFormat="1" ht="15">
      <c r="A28" s="431"/>
      <c r="B28" s="631" t="s">
        <v>2696</v>
      </c>
      <c r="C28" s="2682"/>
      <c r="D28" s="462">
        <v>100</v>
      </c>
      <c r="E28" s="2670"/>
      <c r="F28" s="462">
        <f>SUMIF(91:91,E28,92:92)-SUMIF(91:91,C28,92:92)+100</f>
        <v>100</v>
      </c>
      <c r="G28" s="2682"/>
      <c r="H28" s="462">
        <f>SUMIF(91:91,G28,92:92)-SUMIF(91:91,C28,92:92)+100</f>
        <v>100</v>
      </c>
      <c r="I28" s="2670"/>
      <c r="J28" s="462">
        <f>SUMIF(91:91,I28,92:92)-SUMIF(91:91,C28,92:92)+100</f>
        <v>100</v>
      </c>
      <c r="K28" s="612"/>
      <c r="L28" s="1134"/>
      <c r="M28" s="1135"/>
      <c r="N28" s="1135"/>
      <c r="O28" s="1135"/>
      <c r="P28" s="3269"/>
      <c r="Q28" s="1797" t="str">
        <f t="shared" si="11"/>
        <v>朝向</v>
      </c>
      <c r="R28" s="770" t="s">
        <v>17</v>
      </c>
      <c r="S28" s="771">
        <f>F28</f>
        <v>100</v>
      </c>
      <c r="T28" s="770" t="s">
        <v>17</v>
      </c>
      <c r="U28" s="771">
        <f>H28</f>
        <v>100</v>
      </c>
      <c r="V28" s="770" t="s">
        <v>17</v>
      </c>
      <c r="W28" s="771">
        <f>J28</f>
        <v>100</v>
      </c>
      <c r="X28" s="772"/>
      <c r="Y28" s="3262"/>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2"/>
      <c r="M29" s="1133"/>
      <c r="N29" s="1133"/>
      <c r="O29" s="1133"/>
      <c r="P29" s="3269"/>
      <c r="Q29" s="1812">
        <f t="shared" si="11"/>
        <v>111</v>
      </c>
      <c r="R29" s="774" t="s">
        <v>17</v>
      </c>
      <c r="S29" s="775">
        <f t="shared" ref="S29:S47" si="12">F29</f>
        <v>100</v>
      </c>
      <c r="T29" s="774" t="s">
        <v>17</v>
      </c>
      <c r="U29" s="775">
        <f t="shared" ref="U29:U47" si="13">H29</f>
        <v>100</v>
      </c>
      <c r="V29" s="774" t="s">
        <v>17</v>
      </c>
      <c r="W29" s="775">
        <f t="shared" ref="W29:W47" si="14">J29</f>
        <v>100</v>
      </c>
      <c r="X29" s="1815"/>
      <c r="Y29" s="3262"/>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2"/>
      <c r="M30" s="1133"/>
      <c r="N30" s="1133"/>
      <c r="O30" s="1133"/>
      <c r="P30" s="3269"/>
      <c r="Q30" s="1812">
        <f t="shared" si="11"/>
        <v>111</v>
      </c>
      <c r="R30" s="774" t="s">
        <v>17</v>
      </c>
      <c r="S30" s="775">
        <f t="shared" si="12"/>
        <v>100</v>
      </c>
      <c r="T30" s="774" t="s">
        <v>17</v>
      </c>
      <c r="U30" s="775">
        <f t="shared" si="13"/>
        <v>100</v>
      </c>
      <c r="V30" s="774" t="s">
        <v>17</v>
      </c>
      <c r="W30" s="775">
        <f t="shared" si="14"/>
        <v>100</v>
      </c>
      <c r="X30" s="1815"/>
      <c r="Y30" s="3262"/>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2"/>
      <c r="M31" s="1133"/>
      <c r="N31" s="1133"/>
      <c r="O31" s="1133"/>
      <c r="P31" s="3269"/>
      <c r="Q31" s="1812">
        <f t="shared" si="11"/>
        <v>111</v>
      </c>
      <c r="R31" s="774" t="s">
        <v>17</v>
      </c>
      <c r="S31" s="775">
        <f t="shared" si="12"/>
        <v>100</v>
      </c>
      <c r="T31" s="774" t="s">
        <v>17</v>
      </c>
      <c r="U31" s="775">
        <f t="shared" si="13"/>
        <v>100</v>
      </c>
      <c r="V31" s="774" t="s">
        <v>17</v>
      </c>
      <c r="W31" s="775">
        <f t="shared" si="14"/>
        <v>100</v>
      </c>
      <c r="X31" s="1815"/>
      <c r="Y31" s="3262"/>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2"/>
      <c r="M32" s="1133"/>
      <c r="N32" s="1133"/>
      <c r="O32" s="1133"/>
      <c r="P32" s="3269"/>
      <c r="Q32" s="1812">
        <f t="shared" si="11"/>
        <v>111</v>
      </c>
      <c r="R32" s="774" t="s">
        <v>17</v>
      </c>
      <c r="S32" s="775">
        <f t="shared" si="12"/>
        <v>100</v>
      </c>
      <c r="T32" s="774" t="s">
        <v>17</v>
      </c>
      <c r="U32" s="775">
        <f t="shared" si="13"/>
        <v>100</v>
      </c>
      <c r="V32" s="774" t="s">
        <v>17</v>
      </c>
      <c r="W32" s="775">
        <f t="shared" si="14"/>
        <v>100</v>
      </c>
      <c r="X32" s="1815"/>
      <c r="Y32" s="3262"/>
      <c r="Z32" s="1816">
        <f t="shared" si="15"/>
        <v>111</v>
      </c>
      <c r="AA32" s="1813">
        <f t="shared" si="3"/>
        <v>1</v>
      </c>
      <c r="AB32" s="1813">
        <f t="shared" si="4"/>
        <v>1</v>
      </c>
      <c r="AC32" s="2679">
        <f t="shared" si="5"/>
        <v>1</v>
      </c>
    </row>
    <row r="33" spans="1:29" ht="15">
      <c r="A33" s="440" t="s">
        <v>2567</v>
      </c>
      <c r="B33" s="71" t="s">
        <v>2697</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2"/>
      <c r="M33" s="1133"/>
      <c r="N33" s="1133"/>
      <c r="O33" s="1133"/>
      <c r="P33" s="3263" t="s">
        <v>2569</v>
      </c>
      <c r="Q33" s="1812" t="str">
        <f t="shared" si="11"/>
        <v>建筑类型</v>
      </c>
      <c r="R33" s="774" t="s">
        <v>17</v>
      </c>
      <c r="S33" s="775">
        <f t="shared" si="12"/>
        <v>100</v>
      </c>
      <c r="T33" s="774" t="s">
        <v>17</v>
      </c>
      <c r="U33" s="775">
        <f t="shared" si="13"/>
        <v>100</v>
      </c>
      <c r="V33" s="774" t="s">
        <v>17</v>
      </c>
      <c r="W33" s="775">
        <f t="shared" si="14"/>
        <v>100</v>
      </c>
      <c r="X33" s="1815"/>
      <c r="Y33" s="3266" t="s">
        <v>2569</v>
      </c>
      <c r="Z33" s="1816" t="str">
        <f t="shared" si="15"/>
        <v>建筑类型</v>
      </c>
      <c r="AA33" s="1813">
        <f t="shared" si="3"/>
        <v>1</v>
      </c>
      <c r="AB33" s="1813">
        <f t="shared" si="4"/>
        <v>1</v>
      </c>
      <c r="AC33" s="2679">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64"/>
      <c r="Q34" s="776" t="str">
        <f t="shared" si="11"/>
        <v>项目建筑规模</v>
      </c>
      <c r="R34" s="777" t="s">
        <v>17</v>
      </c>
      <c r="S34" s="778" t="e">
        <f t="shared" si="12"/>
        <v>#N/A</v>
      </c>
      <c r="T34" s="777" t="s">
        <v>17</v>
      </c>
      <c r="U34" s="778" t="e">
        <f t="shared" si="13"/>
        <v>#N/A</v>
      </c>
      <c r="V34" s="777" t="s">
        <v>17</v>
      </c>
      <c r="W34" s="778" t="e">
        <f t="shared" si="14"/>
        <v>#N/A</v>
      </c>
      <c r="X34" s="779"/>
      <c r="Y34" s="3266"/>
      <c r="Z34" s="780" t="str">
        <f t="shared" si="15"/>
        <v>项目建筑规模</v>
      </c>
      <c r="AA34" s="1813" t="e">
        <f t="shared" si="3"/>
        <v>#N/A</v>
      </c>
      <c r="AB34" s="1813" t="e">
        <f t="shared" si="4"/>
        <v>#N/A</v>
      </c>
      <c r="AC34" s="2679"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64"/>
      <c r="Q35" s="1812" t="str">
        <f t="shared" si="11"/>
        <v>建筑结构</v>
      </c>
      <c r="R35" s="774" t="s">
        <v>17</v>
      </c>
      <c r="S35" s="775">
        <f t="shared" si="12"/>
        <v>100</v>
      </c>
      <c r="T35" s="774" t="s">
        <v>17</v>
      </c>
      <c r="U35" s="775">
        <f t="shared" si="13"/>
        <v>100</v>
      </c>
      <c r="V35" s="774" t="s">
        <v>17</v>
      </c>
      <c r="W35" s="775">
        <f t="shared" si="14"/>
        <v>100</v>
      </c>
      <c r="X35" s="1815"/>
      <c r="Y35" s="3266"/>
      <c r="Z35" s="1816" t="str">
        <f t="shared" si="15"/>
        <v>建筑结构</v>
      </c>
      <c r="AA35" s="1813">
        <f t="shared" si="3"/>
        <v>1</v>
      </c>
      <c r="AB35" s="1813">
        <f t="shared" si="4"/>
        <v>1</v>
      </c>
      <c r="AC35" s="2679">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64"/>
      <c r="Q36" s="1812" t="str">
        <f t="shared" si="11"/>
        <v>公共部分装修</v>
      </c>
      <c r="R36" s="774" t="s">
        <v>17</v>
      </c>
      <c r="S36" s="775">
        <f t="shared" si="12"/>
        <v>100</v>
      </c>
      <c r="T36" s="774" t="s">
        <v>17</v>
      </c>
      <c r="U36" s="775">
        <f t="shared" si="13"/>
        <v>100</v>
      </c>
      <c r="V36" s="774" t="s">
        <v>17</v>
      </c>
      <c r="W36" s="775">
        <f t="shared" si="14"/>
        <v>100</v>
      </c>
      <c r="X36" s="1815"/>
      <c r="Y36" s="3266"/>
      <c r="Z36" s="1816" t="str">
        <f t="shared" si="15"/>
        <v>公共部分装修</v>
      </c>
      <c r="AA36" s="1813">
        <f t="shared" si="3"/>
        <v>1</v>
      </c>
      <c r="AB36" s="1813">
        <f t="shared" si="4"/>
        <v>1</v>
      </c>
      <c r="AC36" s="2679">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64"/>
      <c r="Q37" s="1812" t="str">
        <f t="shared" si="11"/>
        <v>成新度</v>
      </c>
      <c r="R37" s="774" t="s">
        <v>17</v>
      </c>
      <c r="S37" s="775" t="e">
        <f t="shared" si="12"/>
        <v>#N/A</v>
      </c>
      <c r="T37" s="774" t="s">
        <v>17</v>
      </c>
      <c r="U37" s="775" t="e">
        <f t="shared" si="13"/>
        <v>#N/A</v>
      </c>
      <c r="V37" s="774" t="s">
        <v>17</v>
      </c>
      <c r="W37" s="775" t="e">
        <f t="shared" si="14"/>
        <v>#N/A</v>
      </c>
      <c r="X37" s="1815"/>
      <c r="Y37" s="3266"/>
      <c r="Z37" s="1816" t="str">
        <f t="shared" si="15"/>
        <v>成新度</v>
      </c>
      <c r="AA37" s="1813" t="e">
        <f t="shared" si="3"/>
        <v>#N/A</v>
      </c>
      <c r="AB37" s="1813" t="e">
        <f t="shared" si="4"/>
        <v>#N/A</v>
      </c>
      <c r="AC37" s="2679"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64"/>
      <c r="Q38" s="1797" t="str">
        <f t="shared" si="11"/>
        <v>写字楼等级</v>
      </c>
      <c r="R38" s="770" t="s">
        <v>17</v>
      </c>
      <c r="S38" s="771">
        <f t="shared" si="12"/>
        <v>100</v>
      </c>
      <c r="T38" s="770" t="s">
        <v>17</v>
      </c>
      <c r="U38" s="771">
        <f t="shared" si="13"/>
        <v>100</v>
      </c>
      <c r="V38" s="770" t="s">
        <v>17</v>
      </c>
      <c r="W38" s="771">
        <f t="shared" si="14"/>
        <v>100</v>
      </c>
      <c r="X38" s="772"/>
      <c r="Y38" s="3266"/>
      <c r="Z38" s="55" t="str">
        <f t="shared" si="15"/>
        <v>写字楼等级</v>
      </c>
      <c r="AA38" s="773">
        <f t="shared" si="3"/>
        <v>1</v>
      </c>
      <c r="AB38" s="773">
        <f t="shared" si="4"/>
        <v>1</v>
      </c>
      <c r="AC38" s="2676">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4" t="s">
        <v>2569</v>
      </c>
      <c r="Q39" s="1812" t="str">
        <f t="shared" si="11"/>
        <v>物业管理</v>
      </c>
      <c r="R39" s="774" t="s">
        <v>17</v>
      </c>
      <c r="S39" s="775">
        <f t="shared" si="12"/>
        <v>100</v>
      </c>
      <c r="T39" s="774" t="s">
        <v>17</v>
      </c>
      <c r="U39" s="775">
        <f t="shared" si="13"/>
        <v>100</v>
      </c>
      <c r="V39" s="774" t="s">
        <v>17</v>
      </c>
      <c r="W39" s="775">
        <f t="shared" si="14"/>
        <v>100</v>
      </c>
      <c r="X39" s="1815"/>
      <c r="Y39" s="3266" t="s">
        <v>2569</v>
      </c>
      <c r="Z39" s="1816" t="str">
        <f t="shared" si="15"/>
        <v>物业管理</v>
      </c>
      <c r="AA39" s="1813">
        <f t="shared" si="3"/>
        <v>1</v>
      </c>
      <c r="AB39" s="1813">
        <f t="shared" si="4"/>
        <v>1</v>
      </c>
      <c r="AC39" s="2679">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4"/>
      <c r="Q40" s="1812" t="str">
        <f t="shared" si="11"/>
        <v>市政基础设施</v>
      </c>
      <c r="R40" s="774" t="s">
        <v>17</v>
      </c>
      <c r="S40" s="775">
        <f t="shared" si="12"/>
        <v>100</v>
      </c>
      <c r="T40" s="774" t="s">
        <v>17</v>
      </c>
      <c r="U40" s="775">
        <f t="shared" si="13"/>
        <v>100</v>
      </c>
      <c r="V40" s="774" t="s">
        <v>17</v>
      </c>
      <c r="W40" s="775">
        <f t="shared" si="14"/>
        <v>100</v>
      </c>
      <c r="X40" s="1815"/>
      <c r="Y40" s="3266"/>
      <c r="Z40" s="1816" t="str">
        <f t="shared" si="15"/>
        <v>市政基础设施</v>
      </c>
      <c r="AA40" s="1813">
        <f t="shared" si="3"/>
        <v>1</v>
      </c>
      <c r="AB40" s="1813">
        <f t="shared" si="4"/>
        <v>1</v>
      </c>
      <c r="AC40" s="2679">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4"/>
      <c r="Q41" s="1812" t="str">
        <f t="shared" si="11"/>
        <v>层高</v>
      </c>
      <c r="R41" s="774" t="s">
        <v>17</v>
      </c>
      <c r="S41" s="775">
        <f t="shared" si="12"/>
        <v>100</v>
      </c>
      <c r="T41" s="774" t="s">
        <v>17</v>
      </c>
      <c r="U41" s="775">
        <f t="shared" si="13"/>
        <v>100</v>
      </c>
      <c r="V41" s="774" t="s">
        <v>17</v>
      </c>
      <c r="W41" s="775">
        <f t="shared" si="14"/>
        <v>100</v>
      </c>
      <c r="X41" s="1815"/>
      <c r="Y41" s="3266"/>
      <c r="Z41" s="1816" t="str">
        <f t="shared" si="15"/>
        <v>层高</v>
      </c>
      <c r="AA41" s="1813">
        <f t="shared" si="3"/>
        <v>1</v>
      </c>
      <c r="AB41" s="1813">
        <f t="shared" si="4"/>
        <v>1</v>
      </c>
      <c r="AC41" s="2679">
        <f t="shared" si="5"/>
        <v>1</v>
      </c>
    </row>
    <row r="42" spans="1:29" s="471" customFormat="1" ht="15">
      <c r="A42" s="468"/>
      <c r="B42" s="181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4"/>
      <c r="Q42" s="776" t="str">
        <f t="shared" si="11"/>
        <v>单套建筑面积</v>
      </c>
      <c r="R42" s="777" t="s">
        <v>17</v>
      </c>
      <c r="S42" s="778">
        <f t="shared" si="12"/>
        <v>100</v>
      </c>
      <c r="T42" s="777" t="s">
        <v>17</v>
      </c>
      <c r="U42" s="778">
        <f t="shared" si="13"/>
        <v>100</v>
      </c>
      <c r="V42" s="777" t="s">
        <v>17</v>
      </c>
      <c r="W42" s="778">
        <f t="shared" si="14"/>
        <v>100</v>
      </c>
      <c r="X42" s="779"/>
      <c r="Y42" s="3266"/>
      <c r="Z42" s="780" t="str">
        <f t="shared" si="15"/>
        <v>单套建筑面积</v>
      </c>
      <c r="AA42" s="1813">
        <f t="shared" si="3"/>
        <v>1</v>
      </c>
      <c r="AB42" s="1813">
        <f t="shared" si="4"/>
        <v>1</v>
      </c>
      <c r="AC42" s="2679">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64"/>
      <c r="Q43" s="1812" t="str">
        <f t="shared" si="11"/>
        <v>内部装修</v>
      </c>
      <c r="R43" s="774" t="s">
        <v>17</v>
      </c>
      <c r="S43" s="775">
        <f t="shared" si="12"/>
        <v>100</v>
      </c>
      <c r="T43" s="774" t="s">
        <v>17</v>
      </c>
      <c r="U43" s="775">
        <f t="shared" si="13"/>
        <v>100</v>
      </c>
      <c r="V43" s="774" t="s">
        <v>17</v>
      </c>
      <c r="W43" s="775">
        <f t="shared" si="14"/>
        <v>100</v>
      </c>
      <c r="X43" s="1815"/>
      <c r="Y43" s="3266"/>
      <c r="Z43" s="1816" t="str">
        <f t="shared" si="15"/>
        <v>内部装修</v>
      </c>
      <c r="AA43" s="1813">
        <f t="shared" si="3"/>
        <v>1</v>
      </c>
      <c r="AB43" s="1813">
        <f t="shared" si="4"/>
        <v>1</v>
      </c>
      <c r="AC43" s="2679">
        <f t="shared" si="5"/>
        <v>1</v>
      </c>
    </row>
    <row r="44" spans="1:29" ht="15">
      <c r="A44" s="472"/>
      <c r="B44" s="422" t="s">
        <v>2580</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2"/>
      <c r="M44" s="1133"/>
      <c r="N44" s="1133"/>
      <c r="O44" s="1133"/>
      <c r="P44" s="3264"/>
      <c r="Q44" s="1812" t="str">
        <f t="shared" si="11"/>
        <v>内部装修维护情况</v>
      </c>
      <c r="R44" s="774" t="s">
        <v>17</v>
      </c>
      <c r="S44" s="775">
        <f t="shared" si="12"/>
        <v>100</v>
      </c>
      <c r="T44" s="774" t="s">
        <v>17</v>
      </c>
      <c r="U44" s="775">
        <f t="shared" si="13"/>
        <v>100</v>
      </c>
      <c r="V44" s="774" t="s">
        <v>17</v>
      </c>
      <c r="W44" s="775">
        <f t="shared" si="14"/>
        <v>100</v>
      </c>
      <c r="X44" s="1815"/>
      <c r="Y44" s="3266"/>
      <c r="Z44" s="1816" t="str">
        <f t="shared" si="15"/>
        <v>内部装修维护情况</v>
      </c>
      <c r="AA44" s="1813">
        <f t="shared" si="3"/>
        <v>1</v>
      </c>
      <c r="AB44" s="1813">
        <f t="shared" si="4"/>
        <v>1</v>
      </c>
      <c r="AC44" s="2679">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4"/>
      <c r="Q45" s="1797">
        <f t="shared" si="11"/>
        <v>111</v>
      </c>
      <c r="R45" s="770" t="s">
        <v>17</v>
      </c>
      <c r="S45" s="771">
        <f t="shared" si="12"/>
        <v>100</v>
      </c>
      <c r="T45" s="770" t="s">
        <v>17</v>
      </c>
      <c r="U45" s="771">
        <f t="shared" si="13"/>
        <v>100</v>
      </c>
      <c r="V45" s="770" t="s">
        <v>17</v>
      </c>
      <c r="W45" s="771">
        <f t="shared" si="14"/>
        <v>100</v>
      </c>
      <c r="X45" s="772"/>
      <c r="Y45" s="3266"/>
      <c r="Z45" s="55">
        <f t="shared" si="15"/>
        <v>111</v>
      </c>
      <c r="AA45" s="773">
        <f t="shared" si="3"/>
        <v>1</v>
      </c>
      <c r="AB45" s="773">
        <f t="shared" si="4"/>
        <v>1</v>
      </c>
      <c r="AC45" s="2676">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4"/>
      <c r="Q46" s="1812">
        <f t="shared" si="11"/>
        <v>111</v>
      </c>
      <c r="R46" s="774" t="s">
        <v>17</v>
      </c>
      <c r="S46" s="775">
        <f t="shared" si="12"/>
        <v>100</v>
      </c>
      <c r="T46" s="774" t="s">
        <v>17</v>
      </c>
      <c r="U46" s="775">
        <f t="shared" si="13"/>
        <v>100</v>
      </c>
      <c r="V46" s="774" t="s">
        <v>17</v>
      </c>
      <c r="W46" s="775">
        <f t="shared" si="14"/>
        <v>100</v>
      </c>
      <c r="X46" s="1815"/>
      <c r="Y46" s="3266"/>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5"/>
      <c r="Q47" s="1812">
        <f t="shared" si="11"/>
        <v>111</v>
      </c>
      <c r="R47" s="774" t="s">
        <v>17</v>
      </c>
      <c r="S47" s="775">
        <f t="shared" si="12"/>
        <v>100</v>
      </c>
      <c r="T47" s="774" t="s">
        <v>17</v>
      </c>
      <c r="U47" s="775">
        <f t="shared" si="13"/>
        <v>100</v>
      </c>
      <c r="V47" s="774" t="s">
        <v>17</v>
      </c>
      <c r="W47" s="775">
        <f t="shared" si="14"/>
        <v>100</v>
      </c>
      <c r="X47" s="1815"/>
      <c r="Y47" s="3267"/>
      <c r="Z47" s="1816">
        <f t="shared" si="15"/>
        <v>111</v>
      </c>
      <c r="AA47" s="1813">
        <f t="shared" si="3"/>
        <v>1</v>
      </c>
      <c r="AB47" s="1813">
        <f t="shared" si="4"/>
        <v>1</v>
      </c>
      <c r="AC47" s="2679">
        <f t="shared" si="5"/>
        <v>1</v>
      </c>
    </row>
    <row r="48" spans="1:29" ht="15">
      <c r="A48" s="479" t="s">
        <v>2581</v>
      </c>
      <c r="B48" s="480"/>
      <c r="C48" s="1409" t="s">
        <v>1</v>
      </c>
      <c r="D48" s="1410"/>
      <c r="E48" s="1411"/>
      <c r="F48" s="1412"/>
      <c r="G48" s="1413"/>
      <c r="H48" s="1414"/>
      <c r="I48" s="1411"/>
      <c r="J48" s="485"/>
      <c r="K48" s="783"/>
      <c r="L48" s="1145"/>
      <c r="M48" s="1133"/>
      <c r="N48" s="1133"/>
      <c r="O48" s="1133"/>
      <c r="P48" s="3270" t="str">
        <f>A48</f>
        <v>成交单价（元/平方米）</v>
      </c>
      <c r="Q48" s="3259"/>
      <c r="R48" s="3260">
        <f>E48</f>
        <v>0</v>
      </c>
      <c r="S48" s="3260"/>
      <c r="T48" s="3260">
        <f>G48</f>
        <v>0</v>
      </c>
      <c r="U48" s="3260"/>
      <c r="V48" s="3260">
        <f>I48</f>
        <v>0</v>
      </c>
      <c r="W48" s="3260"/>
      <c r="X48" s="446"/>
      <c r="Y48" s="781"/>
      <c r="Z48" s="446"/>
      <c r="AA48" s="446"/>
      <c r="AB48" s="446"/>
      <c r="AC48" s="630"/>
    </row>
    <row r="49" spans="1:29" ht="15.75" thickBot="1">
      <c r="A49" s="486" t="s">
        <v>2673</v>
      </c>
      <c r="B49" s="487"/>
      <c r="C49" s="1415" t="e">
        <f>R50</f>
        <v>#DIV/0!</v>
      </c>
      <c r="D49" s="1416"/>
      <c r="E49" s="1417" t="e">
        <f>R49</f>
        <v>#DIV/0!</v>
      </c>
      <c r="F49" s="1417"/>
      <c r="G49" s="1415" t="e">
        <f>T49</f>
        <v>#DIV/0!</v>
      </c>
      <c r="H49" s="1416"/>
      <c r="I49" s="1417" t="e">
        <f>V49</f>
        <v>#DIV/0!</v>
      </c>
      <c r="J49" s="489"/>
      <c r="K49" s="784"/>
      <c r="L49" s="1145"/>
      <c r="M49" s="1133"/>
      <c r="N49" s="1133"/>
      <c r="O49" s="1133"/>
      <c r="P49" s="3270"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2674</v>
      </c>
      <c r="B50" s="493"/>
      <c r="C50" s="1419" t="e">
        <f>R50</f>
        <v>#DIV/0!</v>
      </c>
      <c r="D50" s="1419"/>
      <c r="E50" s="1419"/>
      <c r="F50" s="1419"/>
      <c r="G50" s="1419"/>
      <c r="H50" s="1419"/>
      <c r="I50" s="1419"/>
      <c r="J50" s="494"/>
      <c r="K50" s="785"/>
      <c r="L50" s="1145"/>
      <c r="M50" s="1133"/>
      <c r="N50" s="1133"/>
      <c r="O50" s="1133"/>
      <c r="P50" s="3302" t="str">
        <f>A50</f>
        <v>估价对象XX用房的比较价值（楼面单价，元/平方米）</v>
      </c>
      <c r="Q50" s="3303"/>
      <c r="R50" s="3304" t="e">
        <f>IF(F1="售价",ROUND(AVERAGE(R49:V49),0),ROUND(AVERAGE(R49:V49),1))</f>
        <v>#DIV/0!</v>
      </c>
      <c r="S50" s="3304"/>
      <c r="T50" s="3304"/>
      <c r="U50" s="3304"/>
      <c r="V50" s="3304"/>
      <c r="W50" s="3304"/>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5"/>
    </row>
    <row r="56" spans="1:29" s="502"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3" t="s">
        <v>2678</v>
      </c>
      <c r="B58" s="759"/>
      <c r="C58" s="764"/>
      <c r="D58" s="764"/>
      <c r="E58" s="764"/>
      <c r="F58" s="765"/>
      <c r="G58" s="765"/>
      <c r="H58" s="764"/>
      <c r="I58" s="764"/>
      <c r="J58" s="764"/>
      <c r="K58" s="766"/>
      <c r="L58" s="1163"/>
      <c r="M58" s="1161"/>
      <c r="N58" s="1161"/>
      <c r="O58" s="1161"/>
      <c r="P58" s="2686"/>
      <c r="Q58" s="504"/>
    </row>
    <row r="59" spans="1:29" s="508" customFormat="1" ht="15">
      <c r="A59" s="505" t="s">
        <v>2552</v>
      </c>
      <c r="B59" s="506"/>
      <c r="C59" s="1576" t="str">
        <f>YEAR(C7)&amp;"-"&amp;MONTH(C7)</f>
        <v>2018-2</v>
      </c>
      <c r="D59" s="1577">
        <f>EDATE(C59,-1)</f>
        <v>43101</v>
      </c>
      <c r="E59" s="1577">
        <f>EDATE(D59,-1)</f>
        <v>43070</v>
      </c>
      <c r="F59" s="1577">
        <f t="shared" ref="F59:O59" si="16">EDATE(E59,-1)</f>
        <v>43040</v>
      </c>
      <c r="G59" s="1577">
        <f t="shared" si="16"/>
        <v>43009</v>
      </c>
      <c r="H59" s="1577">
        <f t="shared" si="16"/>
        <v>42979</v>
      </c>
      <c r="I59" s="1577">
        <f t="shared" si="16"/>
        <v>42948</v>
      </c>
      <c r="J59" s="1577">
        <f t="shared" si="16"/>
        <v>42917</v>
      </c>
      <c r="K59" s="1577">
        <f t="shared" si="16"/>
        <v>42887</v>
      </c>
      <c r="L59" s="1577">
        <f t="shared" si="16"/>
        <v>42856</v>
      </c>
      <c r="M59" s="1577">
        <f t="shared" si="16"/>
        <v>42826</v>
      </c>
      <c r="N59" s="1577">
        <f t="shared" si="16"/>
        <v>42795</v>
      </c>
      <c r="O59" s="1577">
        <f t="shared" si="16"/>
        <v>42767</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2589</v>
      </c>
      <c r="B61" s="516"/>
      <c r="C61" s="517"/>
      <c r="D61" s="518"/>
      <c r="E61" s="518"/>
      <c r="F61" s="518"/>
      <c r="G61" s="518"/>
      <c r="H61" s="518"/>
      <c r="I61" s="518"/>
      <c r="J61" s="518"/>
      <c r="K61" s="518"/>
      <c r="L61" s="518"/>
      <c r="M61" s="519"/>
      <c r="N61" s="518"/>
      <c r="O61" s="519"/>
      <c r="P61" s="2687"/>
      <c r="Q61" s="504"/>
    </row>
    <row r="62" spans="1:29" s="117" customFormat="1" ht="15">
      <c r="A62" s="521" t="s">
        <v>2554</v>
      </c>
      <c r="B62" s="510"/>
      <c r="C62" s="522" t="s">
        <v>2656</v>
      </c>
      <c r="D62" s="523"/>
      <c r="E62" s="523"/>
      <c r="F62" s="523"/>
      <c r="G62" s="523"/>
      <c r="H62" s="523"/>
      <c r="I62" s="523"/>
      <c r="J62" s="523"/>
      <c r="K62" s="523"/>
      <c r="L62" s="524"/>
      <c r="M62" s="525"/>
      <c r="N62" s="1153"/>
      <c r="O62" s="1153"/>
      <c r="P62" s="2688"/>
      <c r="Q62" s="504"/>
    </row>
    <row r="63" spans="1:29" s="117" customFormat="1" ht="15.75" thickBot="1">
      <c r="A63" s="521"/>
      <c r="B63" s="510"/>
      <c r="C63" s="511">
        <v>100</v>
      </c>
      <c r="D63" s="512"/>
      <c r="E63" s="512"/>
      <c r="F63" s="512"/>
      <c r="G63" s="512"/>
      <c r="H63" s="512"/>
      <c r="I63" s="512"/>
      <c r="J63" s="512"/>
      <c r="K63" s="512"/>
      <c r="L63" s="512"/>
      <c r="M63" s="514"/>
      <c r="N63" s="1153"/>
      <c r="O63" s="1153"/>
      <c r="P63" s="2687"/>
      <c r="Q63" s="504"/>
    </row>
    <row r="64" spans="1:29">
      <c r="A64" s="527" t="s">
        <v>2592</v>
      </c>
      <c r="B64" s="528" t="s">
        <v>2558</v>
      </c>
      <c r="C64" s="529">
        <f>C9</f>
        <v>0</v>
      </c>
      <c r="D64" s="530"/>
      <c r="E64" s="530"/>
      <c r="F64" s="530"/>
      <c r="G64" s="530"/>
      <c r="H64" s="530"/>
      <c r="I64" s="530"/>
      <c r="J64" s="530"/>
      <c r="K64" s="531"/>
      <c r="L64" s="532"/>
      <c r="M64" s="533"/>
      <c r="N64" s="1154"/>
      <c r="O64" s="1154"/>
      <c r="P64" s="2689"/>
      <c r="Q64" s="504"/>
    </row>
    <row r="65" spans="1:17" ht="15.75" thickBot="1">
      <c r="A65" s="534"/>
      <c r="B65" s="535"/>
      <c r="C65" s="536">
        <v>100</v>
      </c>
      <c r="D65" s="536"/>
      <c r="E65" s="536"/>
      <c r="F65" s="536"/>
      <c r="G65" s="536"/>
      <c r="H65" s="536"/>
      <c r="I65" s="536"/>
      <c r="J65" s="536"/>
      <c r="K65" s="536"/>
      <c r="L65" s="536"/>
      <c r="M65" s="537"/>
      <c r="N65" s="1155"/>
      <c r="O65" s="1155"/>
      <c r="P65" s="2689"/>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9"/>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9"/>
      <c r="Q68" s="504"/>
    </row>
    <row r="69" spans="1:17" ht="15">
      <c r="A69" s="534"/>
      <c r="B69" s="548"/>
      <c r="C69" s="549"/>
      <c r="D69" s="549"/>
      <c r="E69" s="549"/>
      <c r="F69" s="549"/>
      <c r="G69" s="549"/>
      <c r="H69" s="549"/>
      <c r="I69" s="549"/>
      <c r="J69" s="549"/>
      <c r="K69" s="550"/>
      <c r="L69" s="551"/>
      <c r="M69" s="552"/>
      <c r="N69" s="1154"/>
      <c r="O69" s="1154"/>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9"/>
      <c r="Q70" s="504"/>
    </row>
    <row r="71" spans="1:17" s="471" customFormat="1" ht="15.75" thickTop="1">
      <c r="A71" s="553"/>
      <c r="B71" s="538">
        <f>B12</f>
        <v>111</v>
      </c>
      <c r="C71" s="554"/>
      <c r="D71" s="554"/>
      <c r="E71" s="554"/>
      <c r="F71" s="554"/>
      <c r="G71" s="554"/>
      <c r="H71" s="555"/>
      <c r="I71" s="555"/>
      <c r="J71" s="555"/>
      <c r="K71" s="555"/>
      <c r="L71" s="556"/>
      <c r="M71" s="557"/>
      <c r="N71" s="1156"/>
      <c r="O71" s="1156"/>
      <c r="P71" s="2690"/>
      <c r="Q71" s="559"/>
    </row>
    <row r="72" spans="1:17" s="471" customFormat="1" ht="15.75" thickBot="1">
      <c r="A72" s="553"/>
      <c r="B72" s="543"/>
      <c r="C72" s="560"/>
      <c r="D72" s="536"/>
      <c r="E72" s="536"/>
      <c r="F72" s="536"/>
      <c r="G72" s="536"/>
      <c r="H72" s="536"/>
      <c r="I72" s="536"/>
      <c r="J72" s="536"/>
      <c r="K72" s="536"/>
      <c r="L72" s="536"/>
      <c r="M72" s="537"/>
      <c r="N72" s="1155"/>
      <c r="O72" s="1155"/>
      <c r="P72" s="2690"/>
      <c r="Q72" s="559"/>
    </row>
    <row r="73" spans="1:17" s="471" customFormat="1" ht="15.75" thickTop="1">
      <c r="A73" s="553"/>
      <c r="B73" s="538">
        <f>B13</f>
        <v>111</v>
      </c>
      <c r="C73" s="554"/>
      <c r="D73" s="554"/>
      <c r="E73" s="554"/>
      <c r="F73" s="554"/>
      <c r="G73" s="554"/>
      <c r="H73" s="555"/>
      <c r="I73" s="555"/>
      <c r="J73" s="555"/>
      <c r="K73" s="555"/>
      <c r="L73" s="556"/>
      <c r="M73" s="557"/>
      <c r="N73" s="1156"/>
      <c r="O73" s="1156"/>
      <c r="P73" s="2691"/>
      <c r="Q73" s="561"/>
    </row>
    <row r="74" spans="1:17" s="471" customFormat="1" ht="15.75" thickBot="1">
      <c r="A74" s="553"/>
      <c r="B74" s="543"/>
      <c r="C74" s="560"/>
      <c r="D74" s="560"/>
      <c r="E74" s="560"/>
      <c r="F74" s="560"/>
      <c r="G74" s="560"/>
      <c r="H74" s="562"/>
      <c r="I74" s="562"/>
      <c r="J74" s="562"/>
      <c r="K74" s="562"/>
      <c r="L74" s="562"/>
      <c r="M74" s="563"/>
      <c r="N74" s="1156"/>
      <c r="O74" s="1156"/>
      <c r="P74" s="2690"/>
      <c r="Q74" s="559"/>
    </row>
    <row r="75" spans="1:17" s="471" customFormat="1" ht="15.75" thickTop="1">
      <c r="A75" s="553"/>
      <c r="B75" s="546">
        <f>B14</f>
        <v>111</v>
      </c>
      <c r="C75" s="523"/>
      <c r="D75" s="523"/>
      <c r="E75" s="523"/>
      <c r="F75" s="523"/>
      <c r="G75" s="523"/>
      <c r="H75" s="564"/>
      <c r="I75" s="564"/>
      <c r="J75" s="564"/>
      <c r="K75" s="564"/>
      <c r="L75" s="565"/>
      <c r="M75" s="566"/>
      <c r="N75" s="1156"/>
      <c r="O75" s="1156"/>
      <c r="P75" s="2692"/>
      <c r="Q75" s="559"/>
    </row>
    <row r="76" spans="1:17" s="471" customFormat="1" ht="15.75" thickBot="1">
      <c r="A76" s="568"/>
      <c r="B76" s="569"/>
      <c r="C76" s="570"/>
      <c r="D76" s="570"/>
      <c r="E76" s="570"/>
      <c r="F76" s="570"/>
      <c r="G76" s="570"/>
      <c r="H76" s="571"/>
      <c r="I76" s="571"/>
      <c r="J76" s="571"/>
      <c r="K76" s="571"/>
      <c r="L76" s="571"/>
      <c r="M76" s="572"/>
      <c r="N76" s="1156"/>
      <c r="O76" s="1156"/>
      <c r="P76" s="2690"/>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9"/>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9"/>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9"/>
      <c r="Q82" s="504"/>
    </row>
    <row r="83" spans="1:17" ht="15.75" thickTop="1">
      <c r="A83" s="534"/>
      <c r="B83" s="546" t="s">
        <v>2693</v>
      </c>
      <c r="C83" s="660" t="s">
        <v>2679</v>
      </c>
      <c r="D83" s="660" t="s">
        <v>2680</v>
      </c>
      <c r="E83" s="660" t="s">
        <v>2681</v>
      </c>
      <c r="F83" s="660" t="s">
        <v>2682</v>
      </c>
      <c r="G83" s="660" t="s">
        <v>2683</v>
      </c>
      <c r="H83" s="539"/>
      <c r="I83" s="539"/>
      <c r="J83" s="539"/>
      <c r="K83" s="539"/>
      <c r="L83" s="539"/>
      <c r="M83" s="1384"/>
      <c r="N83" s="1155"/>
      <c r="O83" s="1155"/>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9"/>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9"/>
      <c r="Q86" s="504"/>
    </row>
    <row r="87" spans="1:17" s="117" customFormat="1" ht="27.75" thickTop="1">
      <c r="A87" s="579"/>
      <c r="B87" s="538" t="s">
        <v>2703</v>
      </c>
      <c r="C87" s="554"/>
      <c r="D87" s="554"/>
      <c r="E87" s="554"/>
      <c r="F87" s="554"/>
      <c r="G87" s="554"/>
      <c r="H87" s="554"/>
      <c r="I87" s="554"/>
      <c r="J87" s="554"/>
      <c r="K87" s="554"/>
      <c r="L87" s="580"/>
      <c r="M87" s="581"/>
      <c r="N87" s="1153"/>
      <c r="O87" s="1153"/>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9"/>
      <c r="Q88" s="504"/>
    </row>
    <row r="89" spans="1:17" s="117" customFormat="1" ht="15.75" thickTop="1">
      <c r="A89" s="579"/>
      <c r="B89" s="538" t="str">
        <f>B27</f>
        <v>楼层</v>
      </c>
      <c r="C89" s="554"/>
      <c r="D89" s="554"/>
      <c r="E89" s="554"/>
      <c r="F89" s="2640"/>
      <c r="G89" s="554"/>
      <c r="H89" s="554"/>
      <c r="I89" s="554"/>
      <c r="J89" s="554"/>
      <c r="K89" s="554"/>
      <c r="L89" s="554"/>
      <c r="M89" s="581"/>
      <c r="N89" s="1153"/>
      <c r="O89" s="1153"/>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9"/>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90"/>
      <c r="Q92" s="559"/>
    </row>
    <row r="93" spans="1:17" ht="15.75" thickTop="1">
      <c r="A93" s="534"/>
      <c r="B93" s="538">
        <f>B29</f>
        <v>111</v>
      </c>
      <c r="C93" s="554"/>
      <c r="D93" s="554"/>
      <c r="E93" s="554"/>
      <c r="F93" s="554"/>
      <c r="G93" s="554"/>
      <c r="H93" s="554"/>
      <c r="I93" s="554"/>
      <c r="J93" s="554"/>
      <c r="K93" s="554"/>
      <c r="L93" s="580"/>
      <c r="M93" s="581"/>
      <c r="N93" s="1154"/>
      <c r="O93" s="1154"/>
      <c r="P93" s="2689"/>
      <c r="Q93" s="504"/>
    </row>
    <row r="94" spans="1:17" ht="15.75" thickBot="1">
      <c r="A94" s="534"/>
      <c r="B94" s="543"/>
      <c r="C94" s="560"/>
      <c r="D94" s="536"/>
      <c r="E94" s="536"/>
      <c r="F94" s="536"/>
      <c r="G94" s="536"/>
      <c r="H94" s="536"/>
      <c r="I94" s="536"/>
      <c r="J94" s="536"/>
      <c r="K94" s="536"/>
      <c r="L94" s="536"/>
      <c r="M94" s="537"/>
      <c r="N94" s="1155"/>
      <c r="O94" s="1155"/>
      <c r="P94" s="2689"/>
      <c r="Q94" s="504"/>
    </row>
    <row r="95" spans="1:17" ht="15.75" thickTop="1">
      <c r="A95" s="534"/>
      <c r="B95" s="538">
        <f>B30</f>
        <v>111</v>
      </c>
      <c r="C95" s="554"/>
      <c r="D95" s="554"/>
      <c r="E95" s="554"/>
      <c r="F95" s="554"/>
      <c r="G95" s="583"/>
      <c r="H95" s="583"/>
      <c r="I95" s="583"/>
      <c r="J95" s="583"/>
      <c r="K95" s="584"/>
      <c r="L95" s="585"/>
      <c r="M95" s="586"/>
      <c r="N95" s="1154"/>
      <c r="O95" s="1154"/>
      <c r="P95" s="2689"/>
      <c r="Q95" s="504"/>
    </row>
    <row r="96" spans="1:17" ht="15.75" thickBot="1">
      <c r="A96" s="534"/>
      <c r="B96" s="543"/>
      <c r="C96" s="560"/>
      <c r="D96" s="560"/>
      <c r="E96" s="560"/>
      <c r="F96" s="560"/>
      <c r="G96" s="536"/>
      <c r="H96" s="536"/>
      <c r="I96" s="536"/>
      <c r="J96" s="536"/>
      <c r="K96" s="536"/>
      <c r="L96" s="536"/>
      <c r="M96" s="537"/>
      <c r="N96" s="1155"/>
      <c r="O96" s="1155"/>
      <c r="P96" s="2689"/>
      <c r="Q96" s="504"/>
    </row>
    <row r="97" spans="1:17" ht="15.75" thickTop="1">
      <c r="A97" s="534"/>
      <c r="B97" s="538">
        <f>B31</f>
        <v>111</v>
      </c>
      <c r="C97" s="554"/>
      <c r="D97" s="554"/>
      <c r="E97" s="554"/>
      <c r="F97" s="554"/>
      <c r="G97" s="583"/>
      <c r="H97" s="583"/>
      <c r="I97" s="583"/>
      <c r="J97" s="583"/>
      <c r="K97" s="584"/>
      <c r="L97" s="585"/>
      <c r="M97" s="586"/>
      <c r="N97" s="1154"/>
      <c r="O97" s="1154"/>
      <c r="P97" s="2689"/>
      <c r="Q97" s="504"/>
    </row>
    <row r="98" spans="1:17" ht="15.75" thickBot="1">
      <c r="A98" s="534"/>
      <c r="B98" s="543"/>
      <c r="C98" s="560"/>
      <c r="D98" s="536"/>
      <c r="E98" s="536"/>
      <c r="F98" s="536"/>
      <c r="G98" s="536"/>
      <c r="H98" s="536"/>
      <c r="I98" s="536"/>
      <c r="J98" s="536"/>
      <c r="K98" s="536"/>
      <c r="L98" s="536"/>
      <c r="M98" s="537"/>
      <c r="N98" s="1155"/>
      <c r="O98" s="1155"/>
      <c r="P98" s="2689"/>
      <c r="Q98" s="504"/>
    </row>
    <row r="99" spans="1:17" ht="15.75" thickTop="1">
      <c r="A99" s="534"/>
      <c r="B99" s="546">
        <f>B32</f>
        <v>111</v>
      </c>
      <c r="C99" s="523"/>
      <c r="D99" s="523"/>
      <c r="E99" s="523"/>
      <c r="F99" s="523"/>
      <c r="G99" s="587"/>
      <c r="H99" s="587"/>
      <c r="I99" s="587"/>
      <c r="J99" s="587"/>
      <c r="K99" s="588"/>
      <c r="L99" s="589"/>
      <c r="M99" s="590"/>
      <c r="N99" s="1154"/>
      <c r="O99" s="1154"/>
      <c r="P99" s="2689"/>
      <c r="Q99" s="504"/>
    </row>
    <row r="100" spans="1:17" ht="15.75" thickBot="1">
      <c r="A100" s="2641"/>
      <c r="B100" s="569"/>
      <c r="C100" s="570"/>
      <c r="D100" s="570"/>
      <c r="E100" s="570"/>
      <c r="F100" s="570"/>
      <c r="G100" s="591"/>
      <c r="H100" s="591"/>
      <c r="I100" s="591"/>
      <c r="J100" s="591"/>
      <c r="K100" s="591"/>
      <c r="L100" s="591"/>
      <c r="M100" s="592"/>
      <c r="N100" s="1155"/>
      <c r="O100" s="1155"/>
      <c r="P100" s="2689"/>
      <c r="Q100" s="504"/>
    </row>
    <row r="101" spans="1:17">
      <c r="A101" s="527" t="s">
        <v>2567</v>
      </c>
      <c r="B101" s="528" t="s">
        <v>2616</v>
      </c>
      <c r="C101" s="530"/>
      <c r="D101" s="530"/>
      <c r="E101" s="530"/>
      <c r="F101" s="530"/>
      <c r="G101" s="530"/>
      <c r="H101" s="530"/>
      <c r="I101" s="530"/>
      <c r="J101" s="530"/>
      <c r="K101" s="531"/>
      <c r="L101" s="532"/>
      <c r="M101" s="533"/>
      <c r="N101" s="1154"/>
      <c r="O101" s="1154"/>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9"/>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9"/>
      <c r="Q103" s="504"/>
    </row>
    <row r="104" spans="1:17" s="471" customFormat="1">
      <c r="A104" s="593"/>
      <c r="B104" s="594"/>
      <c r="C104" s="595"/>
      <c r="D104" s="595"/>
      <c r="E104" s="595"/>
      <c r="F104" s="595"/>
      <c r="G104" s="595"/>
      <c r="H104" s="595"/>
      <c r="I104" s="595"/>
      <c r="J104" s="596"/>
      <c r="K104" s="596"/>
      <c r="L104" s="597"/>
      <c r="M104" s="598"/>
      <c r="N104" s="1156"/>
      <c r="O104" s="1156"/>
      <c r="P104" s="2690"/>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90"/>
      <c r="Q105" s="559"/>
    </row>
    <row r="106" spans="1:17" ht="15" thickTop="1">
      <c r="A106" s="599"/>
      <c r="B106" s="538" t="s">
        <v>2618</v>
      </c>
      <c r="C106" s="554"/>
      <c r="D106" s="554"/>
      <c r="E106" s="583"/>
      <c r="F106" s="583"/>
      <c r="G106" s="583"/>
      <c r="H106" s="583"/>
      <c r="I106" s="583"/>
      <c r="J106" s="583"/>
      <c r="K106" s="584"/>
      <c r="L106" s="585"/>
      <c r="M106" s="586"/>
      <c r="N106" s="1154"/>
      <c r="O106" s="1154"/>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9"/>
      <c r="Q107" s="504"/>
    </row>
    <row r="108" spans="1:17" ht="15" thickTop="1">
      <c r="A108" s="599"/>
      <c r="B108" s="538" t="s">
        <v>2620</v>
      </c>
      <c r="C108" s="554"/>
      <c r="D108" s="554"/>
      <c r="E108" s="554"/>
      <c r="F108" s="583"/>
      <c r="G108" s="583"/>
      <c r="H108" s="583"/>
      <c r="I108" s="583"/>
      <c r="J108" s="583"/>
      <c r="K108" s="584"/>
      <c r="L108" s="585"/>
      <c r="M108" s="586"/>
      <c r="N108" s="1154"/>
      <c r="O108" s="1154"/>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9"/>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9"/>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9"/>
      <c r="Q112" s="504"/>
    </row>
    <row r="113" spans="1:17" s="471" customFormat="1" ht="15" thickTop="1">
      <c r="A113" s="593"/>
      <c r="B113" s="538" t="s">
        <v>2704</v>
      </c>
      <c r="C113" s="554"/>
      <c r="D113" s="554"/>
      <c r="E113" s="554"/>
      <c r="F113" s="554"/>
      <c r="G113" s="554"/>
      <c r="H113" s="583"/>
      <c r="I113" s="583"/>
      <c r="J113" s="583"/>
      <c r="K113" s="584"/>
      <c r="L113" s="585"/>
      <c r="M113" s="586"/>
      <c r="N113" s="1156"/>
      <c r="O113" s="1156"/>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90"/>
      <c r="Q114" s="559"/>
    </row>
    <row r="115" spans="1:17" ht="15" thickTop="1">
      <c r="A115" s="599"/>
      <c r="B115" s="538" t="s">
        <v>2621</v>
      </c>
      <c r="C115" s="554"/>
      <c r="D115" s="554"/>
      <c r="E115" s="583"/>
      <c r="F115" s="583"/>
      <c r="G115" s="583"/>
      <c r="H115" s="583"/>
      <c r="I115" s="583"/>
      <c r="J115" s="583"/>
      <c r="K115" s="584"/>
      <c r="L115" s="585"/>
      <c r="M115" s="586"/>
      <c r="N115" s="1154"/>
      <c r="O115" s="1154"/>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9"/>
      <c r="Q116" s="504"/>
    </row>
    <row r="117" spans="1:17" ht="15" thickTop="1">
      <c r="A117" s="599"/>
      <c r="B117" s="538" t="s">
        <v>2622</v>
      </c>
      <c r="C117" s="554"/>
      <c r="D117" s="554"/>
      <c r="E117" s="554"/>
      <c r="F117" s="554"/>
      <c r="G117" s="554"/>
      <c r="H117" s="583"/>
      <c r="I117" s="583"/>
      <c r="J117" s="583"/>
      <c r="K117" s="584"/>
      <c r="L117" s="585"/>
      <c r="M117" s="586"/>
      <c r="N117" s="1154"/>
      <c r="O117" s="1154"/>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9"/>
      <c r="Q118" s="504"/>
    </row>
    <row r="119" spans="1:17" ht="15" thickTop="1">
      <c r="A119" s="599"/>
      <c r="B119" s="636" t="s">
        <v>2705</v>
      </c>
      <c r="C119" s="583"/>
      <c r="D119" s="583"/>
      <c r="E119" s="583"/>
      <c r="F119" s="583"/>
      <c r="G119" s="583"/>
      <c r="H119" s="583"/>
      <c r="I119" s="583"/>
      <c r="J119" s="583"/>
      <c r="K119" s="583"/>
      <c r="L119" s="2694"/>
      <c r="M119" s="2695"/>
      <c r="N119" s="1155"/>
      <c r="O119" s="1155"/>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9"/>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90"/>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90"/>
      <c r="Q122" s="559"/>
    </row>
    <row r="123" spans="1:17" ht="15" thickTop="1">
      <c r="A123" s="599"/>
      <c r="B123" s="538" t="s">
        <v>2624</v>
      </c>
      <c r="C123" s="554"/>
      <c r="D123" s="554"/>
      <c r="E123" s="554"/>
      <c r="F123" s="583"/>
      <c r="G123" s="583"/>
      <c r="H123" s="583"/>
      <c r="I123" s="583"/>
      <c r="J123" s="583"/>
      <c r="K123" s="584"/>
      <c r="L123" s="585"/>
      <c r="M123" s="586"/>
      <c r="N123" s="1154"/>
      <c r="O123" s="1154"/>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9"/>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9"/>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90"/>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90"/>
      <c r="Q128" s="559"/>
    </row>
    <row r="129" spans="1:17" ht="15" thickTop="1">
      <c r="A129" s="599"/>
      <c r="B129" s="538">
        <f>B46</f>
        <v>111</v>
      </c>
      <c r="C129" s="554"/>
      <c r="D129" s="554"/>
      <c r="E129" s="554"/>
      <c r="F129" s="554"/>
      <c r="G129" s="583"/>
      <c r="H129" s="583"/>
      <c r="I129" s="583"/>
      <c r="J129" s="583"/>
      <c r="K129" s="584"/>
      <c r="L129" s="585"/>
      <c r="M129" s="586"/>
      <c r="N129" s="1154"/>
      <c r="O129" s="1154"/>
      <c r="P129" s="2689"/>
      <c r="Q129" s="504"/>
    </row>
    <row r="130" spans="1:17" ht="15.75" thickBot="1">
      <c r="A130" s="534"/>
      <c r="B130" s="543"/>
      <c r="C130" s="560"/>
      <c r="D130" s="560"/>
      <c r="E130" s="560"/>
      <c r="F130" s="560"/>
      <c r="G130" s="536"/>
      <c r="H130" s="536"/>
      <c r="I130" s="536"/>
      <c r="J130" s="536"/>
      <c r="K130" s="536"/>
      <c r="L130" s="536"/>
      <c r="M130" s="537"/>
      <c r="N130" s="1155"/>
      <c r="O130" s="1155"/>
      <c r="P130" s="2689"/>
      <c r="Q130" s="504"/>
    </row>
    <row r="131" spans="1:17" ht="15" thickTop="1">
      <c r="A131" s="599"/>
      <c r="B131" s="546">
        <f>B47</f>
        <v>111</v>
      </c>
      <c r="C131" s="523"/>
      <c r="D131" s="523"/>
      <c r="E131" s="523"/>
      <c r="F131" s="523"/>
      <c r="G131" s="587"/>
      <c r="H131" s="587"/>
      <c r="I131" s="587"/>
      <c r="J131" s="587"/>
      <c r="K131" s="523"/>
      <c r="L131" s="524"/>
      <c r="M131" s="590"/>
      <c r="N131" s="1154"/>
      <c r="O131" s="1154"/>
      <c r="P131" s="2689"/>
      <c r="Q131" s="504"/>
    </row>
    <row r="132" spans="1:17" ht="15.75" thickBot="1">
      <c r="A132" s="2641"/>
      <c r="B132" s="569"/>
      <c r="C132" s="570"/>
      <c r="D132" s="570"/>
      <c r="E132" s="570"/>
      <c r="F132" s="570"/>
      <c r="G132" s="591"/>
      <c r="H132" s="591"/>
      <c r="I132" s="591"/>
      <c r="J132" s="591"/>
      <c r="K132" s="591"/>
      <c r="L132" s="591"/>
      <c r="M132" s="592"/>
      <c r="N132" s="1155"/>
      <c r="O132" s="1155"/>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26917.519999999997</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74" t="s">
        <v>2650</v>
      </c>
      <c r="D4" s="3275"/>
      <c r="E4" s="3276" t="s">
        <v>2651</v>
      </c>
      <c r="F4" s="3277"/>
      <c r="G4" s="3274" t="s">
        <v>2652</v>
      </c>
      <c r="H4" s="3275"/>
      <c r="I4" s="3274" t="s">
        <v>2653</v>
      </c>
      <c r="J4" s="3275"/>
      <c r="K4" s="610" t="s">
        <v>2654</v>
      </c>
      <c r="L4" s="1132"/>
      <c r="M4" s="1133"/>
      <c r="N4" s="1133"/>
      <c r="O4" s="1133"/>
      <c r="P4" s="3278" t="s">
        <v>2655</v>
      </c>
      <c r="Q4" s="3279"/>
      <c r="R4" s="3284" t="s">
        <v>2651</v>
      </c>
      <c r="S4" s="3285"/>
      <c r="T4" s="3284" t="s">
        <v>2652</v>
      </c>
      <c r="U4" s="3285"/>
      <c r="V4" s="3290" t="s">
        <v>2653</v>
      </c>
      <c r="W4" s="3290"/>
      <c r="X4" s="1815"/>
      <c r="Y4" s="3284" t="s">
        <v>2655</v>
      </c>
      <c r="Z4" s="3285"/>
      <c r="AA4" s="3271" t="s">
        <v>2651</v>
      </c>
      <c r="AB4" s="3272" t="s">
        <v>2652</v>
      </c>
      <c r="AC4" s="3271" t="s">
        <v>2653</v>
      </c>
    </row>
    <row r="5" spans="1:29" ht="15">
      <c r="A5" s="404"/>
      <c r="B5" s="405"/>
      <c r="C5" s="3293" t="s">
        <v>2546</v>
      </c>
      <c r="D5" s="3294"/>
      <c r="E5" s="3300" t="s">
        <v>2547</v>
      </c>
      <c r="F5" s="3301"/>
      <c r="G5" s="3293" t="s">
        <v>2548</v>
      </c>
      <c r="H5" s="3294"/>
      <c r="I5" s="3293" t="s">
        <v>2549</v>
      </c>
      <c r="J5" s="3294"/>
      <c r="K5" s="610"/>
      <c r="L5" s="1132"/>
      <c r="M5" s="1133"/>
      <c r="N5" s="1133"/>
      <c r="O5" s="1133"/>
      <c r="P5" s="3280"/>
      <c r="Q5" s="3281"/>
      <c r="R5" s="3286"/>
      <c r="S5" s="3287"/>
      <c r="T5" s="3286"/>
      <c r="U5" s="3287"/>
      <c r="V5" s="3290"/>
      <c r="W5" s="3290"/>
      <c r="X5" s="1815"/>
      <c r="Y5" s="3286"/>
      <c r="Z5" s="3287"/>
      <c r="AA5" s="3272"/>
      <c r="AB5" s="3272"/>
      <c r="AC5" s="3272"/>
    </row>
    <row r="6" spans="1:29" ht="15.75" thickBot="1">
      <c r="A6" s="406"/>
      <c r="B6" s="407"/>
      <c r="C6" s="3291" t="s">
        <v>2550</v>
      </c>
      <c r="D6" s="3292"/>
      <c r="E6" s="3298" t="s">
        <v>2550</v>
      </c>
      <c r="F6" s="3299"/>
      <c r="G6" s="3291" t="s">
        <v>2550</v>
      </c>
      <c r="H6" s="3292"/>
      <c r="I6" s="3291" t="s">
        <v>2550</v>
      </c>
      <c r="J6" s="3292"/>
      <c r="K6" s="610" t="s">
        <v>2551</v>
      </c>
      <c r="L6" s="1132"/>
      <c r="M6" s="1133"/>
      <c r="N6" s="1133"/>
      <c r="O6" s="1133"/>
      <c r="P6" s="3282"/>
      <c r="Q6" s="3283"/>
      <c r="R6" s="3286"/>
      <c r="S6" s="3287"/>
      <c r="T6" s="3288"/>
      <c r="U6" s="3289"/>
      <c r="V6" s="3290"/>
      <c r="W6" s="3290"/>
      <c r="X6" s="1815"/>
      <c r="Y6" s="3288"/>
      <c r="Z6" s="3289"/>
      <c r="AA6" s="3273"/>
      <c r="AB6" s="3273"/>
      <c r="AC6" s="3273"/>
    </row>
    <row r="7" spans="1:29" s="117" customFormat="1" ht="15.75" thickBot="1">
      <c r="A7" s="408" t="s">
        <v>2552</v>
      </c>
      <c r="B7" s="409"/>
      <c r="C7" s="410">
        <f>'数据-取费表'!B2</f>
        <v>43157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95" t="s">
        <v>2553</v>
      </c>
      <c r="Q7" s="3297"/>
      <c r="R7" s="770" t="s">
        <v>17</v>
      </c>
      <c r="S7" s="771">
        <f t="shared" ref="S7:S15" si="0">F7</f>
        <v>0</v>
      </c>
      <c r="T7" s="770" t="s">
        <v>17</v>
      </c>
      <c r="U7" s="771">
        <f t="shared" ref="U7:U15" si="1">H7</f>
        <v>0</v>
      </c>
      <c r="V7" s="770" t="s">
        <v>17</v>
      </c>
      <c r="W7" s="771">
        <f t="shared" ref="W7:W15" si="2">J7</f>
        <v>0</v>
      </c>
      <c r="X7" s="772"/>
      <c r="Y7" s="3295" t="s">
        <v>2553</v>
      </c>
      <c r="Z7" s="3296"/>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95" t="s">
        <v>2556</v>
      </c>
      <c r="Q8" s="3296"/>
      <c r="R8" s="770" t="s">
        <v>17</v>
      </c>
      <c r="S8" s="771">
        <f t="shared" si="0"/>
        <v>0</v>
      </c>
      <c r="T8" s="770" t="s">
        <v>17</v>
      </c>
      <c r="U8" s="771">
        <f t="shared" si="1"/>
        <v>0</v>
      </c>
      <c r="V8" s="770" t="s">
        <v>17</v>
      </c>
      <c r="W8" s="771">
        <f t="shared" si="2"/>
        <v>0</v>
      </c>
      <c r="X8" s="772"/>
      <c r="Y8" s="3295" t="s">
        <v>2556</v>
      </c>
      <c r="Z8" s="3296"/>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59" t="s">
        <v>2559</v>
      </c>
      <c r="Q9" s="1797"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59"/>
      <c r="Q10" s="1797"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59"/>
      <c r="Q11" s="1797"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4"/>
      <c r="M12" s="1135"/>
      <c r="N12" s="1135"/>
      <c r="O12" s="1136"/>
      <c r="P12" s="3259"/>
      <c r="Q12" s="1797">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2"/>
      <c r="M13" s="1133"/>
      <c r="N13" s="1133"/>
      <c r="O13" s="1141"/>
      <c r="P13" s="3259"/>
      <c r="Q13" s="1797">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2"/>
      <c r="M14" s="1133"/>
      <c r="N14" s="1133"/>
      <c r="O14" s="1141"/>
      <c r="P14" s="3259"/>
      <c r="Q14" s="1797">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57">
      <c r="A15" s="440" t="s">
        <v>2563</v>
      </c>
      <c r="B15" s="69" t="s">
        <v>2707</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61" t="s">
        <v>2564</v>
      </c>
      <c r="Q15" s="1812" t="str">
        <f t="shared" si="6"/>
        <v>产业集聚程度</v>
      </c>
      <c r="R15" s="774" t="s">
        <v>17</v>
      </c>
      <c r="S15" s="775">
        <f t="shared" si="0"/>
        <v>100</v>
      </c>
      <c r="T15" s="774" t="s">
        <v>17</v>
      </c>
      <c r="U15" s="775">
        <f t="shared" si="1"/>
        <v>100</v>
      </c>
      <c r="V15" s="774" t="s">
        <v>17</v>
      </c>
      <c r="W15" s="775">
        <f t="shared" si="2"/>
        <v>100</v>
      </c>
      <c r="X15" s="1815"/>
      <c r="Y15" s="3261" t="s">
        <v>2564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62"/>
      <c r="Q16" s="1812"/>
      <c r="R16" s="774"/>
      <c r="S16" s="775"/>
      <c r="T16" s="774"/>
      <c r="U16" s="775"/>
      <c r="V16" s="774"/>
      <c r="W16" s="775"/>
      <c r="X16" s="1815"/>
      <c r="Y16" s="3262"/>
      <c r="Z16" s="1816"/>
      <c r="AA16" s="1813">
        <v>1</v>
      </c>
      <c r="AB16" s="1813">
        <v>1</v>
      </c>
      <c r="AC16" s="1813">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62"/>
      <c r="Q17" s="1812" t="str">
        <f>B17</f>
        <v>交通便捷度</v>
      </c>
      <c r="R17" s="774" t="s">
        <v>17</v>
      </c>
      <c r="S17" s="775">
        <f>F17</f>
        <v>100</v>
      </c>
      <c r="T17" s="774" t="s">
        <v>17</v>
      </c>
      <c r="U17" s="775">
        <f>H17</f>
        <v>100</v>
      </c>
      <c r="V17" s="774" t="s">
        <v>17</v>
      </c>
      <c r="W17" s="775">
        <f>J17</f>
        <v>100</v>
      </c>
      <c r="X17" s="1815"/>
      <c r="Y17" s="3262"/>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2"/>
      <c r="M18" s="1133"/>
      <c r="N18" s="1133"/>
      <c r="O18" s="1141"/>
      <c r="P18" s="3262"/>
      <c r="Q18" s="1812"/>
      <c r="R18" s="774"/>
      <c r="S18" s="775"/>
      <c r="T18" s="774"/>
      <c r="U18" s="775"/>
      <c r="V18" s="774"/>
      <c r="W18" s="775"/>
      <c r="X18" s="1815"/>
      <c r="Y18" s="3262"/>
      <c r="Z18" s="1816"/>
      <c r="AA18" s="1813">
        <v>1</v>
      </c>
      <c r="AB18" s="1813">
        <v>1</v>
      </c>
      <c r="AC18" s="1813">
        <v>1</v>
      </c>
    </row>
    <row r="19" spans="1:29" ht="42.75">
      <c r="A19" s="428"/>
      <c r="B19" s="451" t="s">
        <v>2692</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62"/>
      <c r="Q19" s="1812" t="str">
        <f>B19</f>
        <v>公共配套设施</v>
      </c>
      <c r="R19" s="774" t="s">
        <v>17</v>
      </c>
      <c r="S19" s="775">
        <f>F19</f>
        <v>100</v>
      </c>
      <c r="T19" s="774" t="s">
        <v>17</v>
      </c>
      <c r="U19" s="775">
        <f>H19</f>
        <v>100</v>
      </c>
      <c r="V19" s="774" t="s">
        <v>17</v>
      </c>
      <c r="W19" s="775">
        <f>J19</f>
        <v>100</v>
      </c>
      <c r="X19" s="1815"/>
      <c r="Y19" s="3262"/>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2"/>
      <c r="M20" s="1133"/>
      <c r="N20" s="1133"/>
      <c r="O20" s="1141"/>
      <c r="P20" s="3262"/>
      <c r="Q20" s="1812"/>
      <c r="R20" s="774"/>
      <c r="S20" s="775"/>
      <c r="T20" s="774"/>
      <c r="U20" s="775"/>
      <c r="V20" s="774"/>
      <c r="W20" s="775"/>
      <c r="X20" s="1815"/>
      <c r="Y20" s="3262"/>
      <c r="Z20" s="1816"/>
      <c r="AA20" s="1813">
        <v>1</v>
      </c>
      <c r="AB20" s="1813">
        <v>1</v>
      </c>
      <c r="AC20" s="1813">
        <v>1</v>
      </c>
    </row>
    <row r="21" spans="1:29" ht="28.5">
      <c r="A21" s="428"/>
      <c r="B21" s="1386" t="s">
        <v>2693</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62"/>
      <c r="Q21" s="1812" t="str">
        <f>B21</f>
        <v>基础设施水平</v>
      </c>
      <c r="R21" s="774" t="s">
        <v>17</v>
      </c>
      <c r="S21" s="775">
        <f>F21</f>
        <v>100</v>
      </c>
      <c r="T21" s="774" t="s">
        <v>17</v>
      </c>
      <c r="U21" s="775">
        <f>H21</f>
        <v>100</v>
      </c>
      <c r="V21" s="774" t="s">
        <v>17</v>
      </c>
      <c r="W21" s="775">
        <f>J21</f>
        <v>100</v>
      </c>
      <c r="X21" s="1815"/>
      <c r="Y21" s="3262"/>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2"/>
      <c r="M22" s="1133"/>
      <c r="N22" s="1133"/>
      <c r="O22" s="1141"/>
      <c r="P22" s="3262"/>
      <c r="Q22" s="1812"/>
      <c r="R22" s="774"/>
      <c r="S22" s="775"/>
      <c r="T22" s="774"/>
      <c r="U22" s="775"/>
      <c r="V22" s="774"/>
      <c r="W22" s="775"/>
      <c r="X22" s="1815"/>
      <c r="Y22" s="3262"/>
      <c r="Z22" s="1816"/>
      <c r="AA22" s="1813">
        <v>1</v>
      </c>
      <c r="AB22" s="1813">
        <v>1</v>
      </c>
      <c r="AC22" s="1813">
        <v>1</v>
      </c>
    </row>
    <row r="23" spans="1:29" ht="71.25">
      <c r="A23" s="428"/>
      <c r="B23" s="451" t="s">
        <v>2694</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62"/>
      <c r="Q23" s="1812" t="str">
        <f>B23</f>
        <v>环境质量</v>
      </c>
      <c r="R23" s="774" t="s">
        <v>17</v>
      </c>
      <c r="S23" s="775">
        <f>F23</f>
        <v>100</v>
      </c>
      <c r="T23" s="774" t="s">
        <v>17</v>
      </c>
      <c r="U23" s="775">
        <f>H23</f>
        <v>100</v>
      </c>
      <c r="V23" s="774" t="s">
        <v>17</v>
      </c>
      <c r="W23" s="775">
        <f>J23</f>
        <v>100</v>
      </c>
      <c r="X23" s="1815"/>
      <c r="Y23" s="3262"/>
      <c r="Z23" s="1816" t="str">
        <f>Q23</f>
        <v>环境质量</v>
      </c>
      <c r="AA23" s="1813">
        <f t="shared" si="3"/>
        <v>1</v>
      </c>
      <c r="AB23" s="1813">
        <f t="shared" si="4"/>
        <v>1</v>
      </c>
      <c r="AC23" s="1813">
        <f t="shared" si="5"/>
        <v>1</v>
      </c>
    </row>
    <row r="24" spans="1:29" ht="15">
      <c r="A24" s="428"/>
      <c r="B24" s="1386"/>
      <c r="C24" s="447"/>
      <c r="D24" s="448"/>
      <c r="E24" s="2610"/>
      <c r="F24" s="449"/>
      <c r="G24" s="2609"/>
      <c r="H24" s="448"/>
      <c r="I24" s="2610"/>
      <c r="J24" s="448"/>
      <c r="K24" s="615"/>
      <c r="L24" s="1142"/>
      <c r="M24" s="1133"/>
      <c r="N24" s="1133"/>
      <c r="O24" s="1141"/>
      <c r="P24" s="3262"/>
      <c r="Q24" s="1812"/>
      <c r="R24" s="774"/>
      <c r="S24" s="775"/>
      <c r="T24" s="774"/>
      <c r="U24" s="775"/>
      <c r="V24" s="774"/>
      <c r="W24" s="775"/>
      <c r="X24" s="1815"/>
      <c r="Y24" s="3262"/>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62"/>
      <c r="Q25" s="1812">
        <f>B25</f>
        <v>111</v>
      </c>
      <c r="R25" s="774" t="s">
        <v>17</v>
      </c>
      <c r="S25" s="775">
        <f>F25</f>
        <v>100</v>
      </c>
      <c r="T25" s="774" t="s">
        <v>17</v>
      </c>
      <c r="U25" s="775">
        <f>H25</f>
        <v>100</v>
      </c>
      <c r="V25" s="774" t="s">
        <v>17</v>
      </c>
      <c r="W25" s="775">
        <f>J25</f>
        <v>100</v>
      </c>
      <c r="X25" s="1815"/>
      <c r="Y25" s="3262"/>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62"/>
      <c r="Q26" s="1812">
        <f t="shared" ref="Q26:Q40" si="11">B26</f>
        <v>111</v>
      </c>
      <c r="R26" s="774" t="s">
        <v>17</v>
      </c>
      <c r="S26" s="775">
        <f>F26</f>
        <v>100</v>
      </c>
      <c r="T26" s="774" t="s">
        <v>17</v>
      </c>
      <c r="U26" s="775">
        <f>H26</f>
        <v>100</v>
      </c>
      <c r="V26" s="774" t="s">
        <v>17</v>
      </c>
      <c r="W26" s="775">
        <f>J26</f>
        <v>100</v>
      </c>
      <c r="X26" s="1815"/>
      <c r="Y26" s="3262"/>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62"/>
      <c r="Q27" s="1797">
        <f t="shared" si="11"/>
        <v>111</v>
      </c>
      <c r="R27" s="770" t="s">
        <v>17</v>
      </c>
      <c r="S27" s="771">
        <f>F27</f>
        <v>100</v>
      </c>
      <c r="T27" s="770" t="s">
        <v>17</v>
      </c>
      <c r="U27" s="771">
        <f>H27</f>
        <v>100</v>
      </c>
      <c r="V27" s="770" t="s">
        <v>17</v>
      </c>
      <c r="W27" s="771">
        <f>J27</f>
        <v>100</v>
      </c>
      <c r="X27" s="772"/>
      <c r="Y27" s="3262"/>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62"/>
      <c r="Q28" s="1812">
        <f t="shared" si="11"/>
        <v>111</v>
      </c>
      <c r="R28" s="774" t="s">
        <v>17</v>
      </c>
      <c r="S28" s="775">
        <f t="shared" ref="S28:S40" si="12">F28</f>
        <v>100</v>
      </c>
      <c r="T28" s="774" t="s">
        <v>17</v>
      </c>
      <c r="U28" s="775">
        <f t="shared" ref="U28:U40" si="13">H28</f>
        <v>100</v>
      </c>
      <c r="V28" s="774" t="s">
        <v>17</v>
      </c>
      <c r="W28" s="775">
        <f t="shared" ref="W28:W40" si="14">J28</f>
        <v>100</v>
      </c>
      <c r="X28" s="1815"/>
      <c r="Y28" s="3262"/>
      <c r="Z28" s="1816">
        <f t="shared" ref="Z28:Z40" si="15">Q28</f>
        <v>111</v>
      </c>
      <c r="AA28" s="1813">
        <f t="shared" si="3"/>
        <v>1</v>
      </c>
      <c r="AB28" s="1813">
        <f t="shared" si="4"/>
        <v>1</v>
      </c>
      <c r="AC28" s="1813">
        <f t="shared" si="5"/>
        <v>1</v>
      </c>
    </row>
    <row r="29" spans="1:29" ht="15">
      <c r="A29" s="466" t="s">
        <v>2567</v>
      </c>
      <c r="B29" s="71" t="s">
        <v>2697</v>
      </c>
      <c r="C29" s="2684"/>
      <c r="D29" s="467">
        <v>100</v>
      </c>
      <c r="E29" s="2684"/>
      <c r="F29" s="461">
        <f>SUMIF(88:88,E29,89:89)-SUMIF(88:88,C29,89:89)+100</f>
        <v>100</v>
      </c>
      <c r="G29" s="2684"/>
      <c r="H29" s="435">
        <f>SUMIF(88:88,G29,89:89)-SUMIF(88:88,C29,89:89)+100</f>
        <v>100</v>
      </c>
      <c r="I29" s="2684"/>
      <c r="J29" s="467">
        <f>SUMIF(88:88,I29,89:89)-SUMIF(88:88,C29,89:89)+100</f>
        <v>100</v>
      </c>
      <c r="K29" s="612"/>
      <c r="L29" s="1142"/>
      <c r="M29" s="1133"/>
      <c r="N29" s="1133"/>
      <c r="O29" s="1141"/>
      <c r="P29" s="3317" t="s">
        <v>2569</v>
      </c>
      <c r="Q29" s="1812" t="str">
        <f t="shared" si="11"/>
        <v>建筑类型</v>
      </c>
      <c r="R29" s="774" t="s">
        <v>17</v>
      </c>
      <c r="S29" s="775">
        <f t="shared" si="12"/>
        <v>100</v>
      </c>
      <c r="T29" s="774" t="s">
        <v>17</v>
      </c>
      <c r="U29" s="775">
        <f t="shared" si="13"/>
        <v>100</v>
      </c>
      <c r="V29" s="774" t="s">
        <v>17</v>
      </c>
      <c r="W29" s="775">
        <f t="shared" si="14"/>
        <v>100</v>
      </c>
      <c r="X29" s="1815"/>
      <c r="Y29" s="3266" t="s">
        <v>2569</v>
      </c>
      <c r="Z29" s="1816" t="str">
        <f t="shared" si="15"/>
        <v>建筑类型</v>
      </c>
      <c r="AA29" s="1813">
        <f t="shared" si="3"/>
        <v>1</v>
      </c>
      <c r="AB29" s="1813">
        <f t="shared" si="4"/>
        <v>1</v>
      </c>
      <c r="AC29" s="1813">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66"/>
      <c r="Q30" s="776" t="str">
        <f t="shared" si="11"/>
        <v>项目建筑规模</v>
      </c>
      <c r="R30" s="777" t="s">
        <v>17</v>
      </c>
      <c r="S30" s="778" t="e">
        <f t="shared" si="12"/>
        <v>#N/A</v>
      </c>
      <c r="T30" s="777" t="s">
        <v>17</v>
      </c>
      <c r="U30" s="778" t="e">
        <f t="shared" si="13"/>
        <v>#N/A</v>
      </c>
      <c r="V30" s="777" t="s">
        <v>17</v>
      </c>
      <c r="W30" s="778" t="e">
        <f t="shared" si="14"/>
        <v>#N/A</v>
      </c>
      <c r="X30" s="779"/>
      <c r="Y30" s="3266"/>
      <c r="Z30" s="780" t="str">
        <f t="shared" si="15"/>
        <v>项目建筑规模</v>
      </c>
      <c r="AA30" s="1813" t="e">
        <f t="shared" si="3"/>
        <v>#N/A</v>
      </c>
      <c r="AB30" s="1813" t="e">
        <f t="shared" si="4"/>
        <v>#N/A</v>
      </c>
      <c r="AC30" s="1813"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66"/>
      <c r="Q31" s="1812" t="str">
        <f t="shared" si="11"/>
        <v>建筑结构</v>
      </c>
      <c r="R31" s="774" t="s">
        <v>17</v>
      </c>
      <c r="S31" s="775">
        <f t="shared" si="12"/>
        <v>100</v>
      </c>
      <c r="T31" s="774" t="s">
        <v>17</v>
      </c>
      <c r="U31" s="775">
        <f t="shared" si="13"/>
        <v>100</v>
      </c>
      <c r="V31" s="774" t="s">
        <v>17</v>
      </c>
      <c r="W31" s="775">
        <f t="shared" si="14"/>
        <v>100</v>
      </c>
      <c r="X31" s="1815"/>
      <c r="Y31" s="3266"/>
      <c r="Z31" s="1816" t="str">
        <f t="shared" si="15"/>
        <v>建筑结构</v>
      </c>
      <c r="AA31" s="1813">
        <f t="shared" si="3"/>
        <v>1</v>
      </c>
      <c r="AB31" s="1813">
        <f t="shared" si="4"/>
        <v>1</v>
      </c>
      <c r="AC31" s="1813">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66"/>
      <c r="Q32" s="1812" t="str">
        <f t="shared" si="11"/>
        <v>公共部分装修</v>
      </c>
      <c r="R32" s="774" t="s">
        <v>17</v>
      </c>
      <c r="S32" s="775">
        <f t="shared" si="12"/>
        <v>100</v>
      </c>
      <c r="T32" s="774" t="s">
        <v>17</v>
      </c>
      <c r="U32" s="775">
        <f t="shared" si="13"/>
        <v>100</v>
      </c>
      <c r="V32" s="774" t="s">
        <v>17</v>
      </c>
      <c r="W32" s="775">
        <f t="shared" si="14"/>
        <v>100</v>
      </c>
      <c r="X32" s="1815"/>
      <c r="Y32" s="3266"/>
      <c r="Z32" s="1816" t="str">
        <f t="shared" si="15"/>
        <v>公共部分装修</v>
      </c>
      <c r="AA32" s="1813">
        <f t="shared" si="3"/>
        <v>1</v>
      </c>
      <c r="AB32" s="1813">
        <f t="shared" si="4"/>
        <v>1</v>
      </c>
      <c r="AC32" s="1813">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66"/>
      <c r="Q33" s="1812" t="str">
        <f t="shared" si="11"/>
        <v>成新度</v>
      </c>
      <c r="R33" s="774" t="s">
        <v>17</v>
      </c>
      <c r="S33" s="775" t="e">
        <f t="shared" si="12"/>
        <v>#N/A</v>
      </c>
      <c r="T33" s="774" t="s">
        <v>17</v>
      </c>
      <c r="U33" s="775" t="e">
        <f t="shared" si="13"/>
        <v>#N/A</v>
      </c>
      <c r="V33" s="774" t="s">
        <v>17</v>
      </c>
      <c r="W33" s="775" t="e">
        <f t="shared" si="14"/>
        <v>#N/A</v>
      </c>
      <c r="X33" s="1815"/>
      <c r="Y33" s="3266"/>
      <c r="Z33" s="1816" t="str">
        <f t="shared" si="15"/>
        <v>成新度</v>
      </c>
      <c r="AA33" s="1813" t="e">
        <f t="shared" si="3"/>
        <v>#N/A</v>
      </c>
      <c r="AB33" s="1813" t="e">
        <f t="shared" si="4"/>
        <v>#N/A</v>
      </c>
      <c r="AC33" s="1813"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66"/>
      <c r="Q34" s="1797" t="str">
        <f t="shared" si="11"/>
        <v>物业管理</v>
      </c>
      <c r="R34" s="770" t="s">
        <v>17</v>
      </c>
      <c r="S34" s="771">
        <f t="shared" si="12"/>
        <v>100</v>
      </c>
      <c r="T34" s="770" t="s">
        <v>17</v>
      </c>
      <c r="U34" s="771">
        <f t="shared" si="13"/>
        <v>100</v>
      </c>
      <c r="V34" s="770" t="s">
        <v>17</v>
      </c>
      <c r="W34" s="771">
        <f t="shared" si="14"/>
        <v>100</v>
      </c>
      <c r="X34" s="772"/>
      <c r="Y34" s="3266"/>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66" t="s">
        <v>2569</v>
      </c>
      <c r="Q35" s="1812" t="str">
        <f t="shared" si="11"/>
        <v>市政基础设施</v>
      </c>
      <c r="R35" s="774" t="s">
        <v>17</v>
      </c>
      <c r="S35" s="775">
        <f t="shared" si="12"/>
        <v>100</v>
      </c>
      <c r="T35" s="774" t="s">
        <v>17</v>
      </c>
      <c r="U35" s="775">
        <f t="shared" si="13"/>
        <v>100</v>
      </c>
      <c r="V35" s="774" t="s">
        <v>17</v>
      </c>
      <c r="W35" s="775">
        <f t="shared" si="14"/>
        <v>100</v>
      </c>
      <c r="X35" s="1815"/>
      <c r="Y35" s="3266" t="s">
        <v>2569</v>
      </c>
      <c r="Z35" s="1816" t="str">
        <f t="shared" si="15"/>
        <v>市政基础设施</v>
      </c>
      <c r="AA35" s="1813">
        <f t="shared" si="3"/>
        <v>1</v>
      </c>
      <c r="AB35" s="1813">
        <f t="shared" si="4"/>
        <v>1</v>
      </c>
      <c r="AC35" s="1813">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66"/>
      <c r="Q36" s="1812" t="str">
        <f t="shared" si="11"/>
        <v>内部装修</v>
      </c>
      <c r="R36" s="774" t="s">
        <v>17</v>
      </c>
      <c r="S36" s="775">
        <f t="shared" si="12"/>
        <v>100</v>
      </c>
      <c r="T36" s="774" t="s">
        <v>17</v>
      </c>
      <c r="U36" s="775">
        <f t="shared" si="13"/>
        <v>100</v>
      </c>
      <c r="V36" s="774" t="s">
        <v>17</v>
      </c>
      <c r="W36" s="775">
        <f t="shared" si="14"/>
        <v>100</v>
      </c>
      <c r="X36" s="1815"/>
      <c r="Y36" s="3266"/>
      <c r="Z36" s="1816" t="str">
        <f t="shared" si="15"/>
        <v>内部装修</v>
      </c>
      <c r="AA36" s="1813">
        <f t="shared" si="3"/>
        <v>1</v>
      </c>
      <c r="AB36" s="1813">
        <f t="shared" si="4"/>
        <v>1</v>
      </c>
      <c r="AC36" s="1813">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66"/>
      <c r="Q37" s="1812" t="str">
        <f t="shared" si="11"/>
        <v>内部装修状况</v>
      </c>
      <c r="R37" s="774" t="s">
        <v>17</v>
      </c>
      <c r="S37" s="775">
        <f t="shared" si="12"/>
        <v>100</v>
      </c>
      <c r="T37" s="774" t="s">
        <v>17</v>
      </c>
      <c r="U37" s="775">
        <f t="shared" si="13"/>
        <v>100</v>
      </c>
      <c r="V37" s="774" t="s">
        <v>17</v>
      </c>
      <c r="W37" s="775">
        <f t="shared" si="14"/>
        <v>100</v>
      </c>
      <c r="X37" s="1815"/>
      <c r="Y37" s="326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66"/>
      <c r="Q38" s="776">
        <f t="shared" si="11"/>
        <v>111</v>
      </c>
      <c r="R38" s="777" t="s">
        <v>17</v>
      </c>
      <c r="S38" s="778">
        <f t="shared" si="12"/>
        <v>100</v>
      </c>
      <c r="T38" s="777" t="s">
        <v>17</v>
      </c>
      <c r="U38" s="778">
        <f t="shared" si="13"/>
        <v>100</v>
      </c>
      <c r="V38" s="777" t="s">
        <v>17</v>
      </c>
      <c r="W38" s="778">
        <f t="shared" si="14"/>
        <v>100</v>
      </c>
      <c r="X38" s="779"/>
      <c r="Y38" s="3266"/>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66"/>
      <c r="Q39" s="1812">
        <f t="shared" si="11"/>
        <v>111</v>
      </c>
      <c r="R39" s="774" t="s">
        <v>17</v>
      </c>
      <c r="S39" s="775">
        <f t="shared" si="12"/>
        <v>100</v>
      </c>
      <c r="T39" s="774" t="s">
        <v>17</v>
      </c>
      <c r="U39" s="775">
        <f t="shared" si="13"/>
        <v>100</v>
      </c>
      <c r="V39" s="774" t="s">
        <v>17</v>
      </c>
      <c r="W39" s="775">
        <f t="shared" si="14"/>
        <v>100</v>
      </c>
      <c r="X39" s="1815"/>
      <c r="Y39" s="3266"/>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7"/>
      <c r="Q40" s="1812">
        <f t="shared" si="11"/>
        <v>111</v>
      </c>
      <c r="R40" s="774" t="s">
        <v>17</v>
      </c>
      <c r="S40" s="775">
        <f t="shared" si="12"/>
        <v>100</v>
      </c>
      <c r="T40" s="774" t="s">
        <v>17</v>
      </c>
      <c r="U40" s="775">
        <f t="shared" si="13"/>
        <v>100</v>
      </c>
      <c r="V40" s="774" t="s">
        <v>17</v>
      </c>
      <c r="W40" s="775">
        <f t="shared" si="14"/>
        <v>100</v>
      </c>
      <c r="X40" s="1815"/>
      <c r="Y40" s="3267"/>
      <c r="Z40" s="1816">
        <f t="shared" si="15"/>
        <v>111</v>
      </c>
      <c r="AA40" s="1813">
        <f t="shared" si="3"/>
        <v>1</v>
      </c>
      <c r="AB40" s="1813">
        <f t="shared" si="4"/>
        <v>1</v>
      </c>
      <c r="AC40" s="1813">
        <f t="shared" si="5"/>
        <v>1</v>
      </c>
    </row>
    <row r="41" spans="1:29" ht="15">
      <c r="A41" s="479" t="s">
        <v>2581</v>
      </c>
      <c r="B41" s="480"/>
      <c r="C41" s="1409" t="s">
        <v>1</v>
      </c>
      <c r="D41" s="1410"/>
      <c r="E41" s="1411"/>
      <c r="F41" s="1412"/>
      <c r="G41" s="1413"/>
      <c r="H41" s="1414"/>
      <c r="I41" s="1411"/>
      <c r="J41" s="1414"/>
      <c r="K41" s="783"/>
      <c r="L41" s="1145"/>
      <c r="M41" s="1146"/>
      <c r="N41" s="1133"/>
      <c r="O41" s="1146"/>
      <c r="P41" s="3259" t="str">
        <f>A41</f>
        <v>成交单价（元/平方米）</v>
      </c>
      <c r="Q41" s="3259"/>
      <c r="R41" s="3260">
        <f>E41</f>
        <v>0</v>
      </c>
      <c r="S41" s="3260"/>
      <c r="T41" s="3260">
        <f>G41</f>
        <v>0</v>
      </c>
      <c r="U41" s="3260"/>
      <c r="V41" s="3260">
        <f>I41</f>
        <v>0</v>
      </c>
      <c r="W41" s="3260"/>
      <c r="X41" s="759"/>
      <c r="Y41" s="781"/>
      <c r="Z41" s="759"/>
      <c r="AA41" s="759"/>
      <c r="AB41" s="759"/>
      <c r="AC41" s="759"/>
    </row>
    <row r="42" spans="1:29" ht="15.75" thickBot="1">
      <c r="A42" s="486" t="s">
        <v>2673</v>
      </c>
      <c r="B42" s="487"/>
      <c r="C42" s="1415" t="e">
        <f>R43</f>
        <v>#DIV/0!</v>
      </c>
      <c r="D42" s="1416"/>
      <c r="E42" s="1417" t="e">
        <f>R42</f>
        <v>#DIV/0!</v>
      </c>
      <c r="F42" s="1417"/>
      <c r="G42" s="1415" t="e">
        <f>T42</f>
        <v>#DIV/0!</v>
      </c>
      <c r="H42" s="1416"/>
      <c r="I42" s="1417" t="e">
        <f>V42</f>
        <v>#DIV/0!</v>
      </c>
      <c r="J42" s="1416"/>
      <c r="K42" s="784"/>
      <c r="L42" s="1145"/>
      <c r="M42" s="1146"/>
      <c r="N42" s="1133"/>
      <c r="O42" s="1146"/>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2674</v>
      </c>
      <c r="B43" s="493"/>
      <c r="C43" s="1419" t="e">
        <f>R43</f>
        <v>#DIV/0!</v>
      </c>
      <c r="D43" s="1419"/>
      <c r="E43" s="1419"/>
      <c r="F43" s="1419"/>
      <c r="G43" s="1419"/>
      <c r="H43" s="1419"/>
      <c r="I43" s="1419"/>
      <c r="J43" s="1419"/>
      <c r="K43" s="785"/>
      <c r="L43" s="1145"/>
      <c r="M43" s="1146"/>
      <c r="N43" s="1146"/>
      <c r="O43" s="1146"/>
      <c r="P43" s="3256" t="str">
        <f>A43</f>
        <v>估价对象XX用房的比较价值（楼面单价，元/平方米）</v>
      </c>
      <c r="Q43" s="3257"/>
      <c r="R43" s="3258" t="e">
        <f>IF(F1="售价",ROUND(AVERAGE(R42:V42),0),ROUND(AVERAGE(R42:V42),1))</f>
        <v>#DIV/0!</v>
      </c>
      <c r="S43" s="3258"/>
      <c r="T43" s="3258"/>
      <c r="U43" s="3258"/>
      <c r="V43" s="3258"/>
      <c r="W43" s="3258"/>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2678</v>
      </c>
      <c r="B51" s="759"/>
      <c r="C51" s="764"/>
      <c r="D51" s="764"/>
      <c r="E51" s="764"/>
      <c r="F51" s="765"/>
      <c r="G51" s="765"/>
      <c r="H51" s="764"/>
      <c r="I51" s="764"/>
      <c r="J51" s="764"/>
      <c r="K51" s="1162"/>
      <c r="L51" s="1163"/>
      <c r="M51" s="1161"/>
      <c r="N51" s="1161"/>
      <c r="O51" s="1161"/>
      <c r="P51" s="503"/>
      <c r="Q51" s="504"/>
    </row>
    <row r="52" spans="1:17" s="508" customFormat="1" ht="15">
      <c r="A52" s="505" t="s">
        <v>2552</v>
      </c>
      <c r="B52" s="506"/>
      <c r="C52" s="1576" t="str">
        <f>YEAR(C7)&amp;"-"&amp;MONTH(C7)</f>
        <v>2018-2</v>
      </c>
      <c r="D52" s="1577">
        <f>EDATE(C52,-1)</f>
        <v>43101</v>
      </c>
      <c r="E52" s="1577">
        <f t="shared" ref="E52:O52" si="16">EDATE(D52,-1)</f>
        <v>43070</v>
      </c>
      <c r="F52" s="1577">
        <f t="shared" si="16"/>
        <v>43040</v>
      </c>
      <c r="G52" s="1577">
        <f t="shared" si="16"/>
        <v>43009</v>
      </c>
      <c r="H52" s="1577">
        <f t="shared" si="16"/>
        <v>42979</v>
      </c>
      <c r="I52" s="1577">
        <f t="shared" si="16"/>
        <v>42948</v>
      </c>
      <c r="J52" s="1577">
        <f t="shared" si="16"/>
        <v>42917</v>
      </c>
      <c r="K52" s="1577">
        <f t="shared" si="16"/>
        <v>42887</v>
      </c>
      <c r="L52" s="1577">
        <f t="shared" si="16"/>
        <v>42856</v>
      </c>
      <c r="M52" s="1577">
        <f t="shared" si="16"/>
        <v>42826</v>
      </c>
      <c r="N52" s="1577">
        <f t="shared" si="16"/>
        <v>42795</v>
      </c>
      <c r="O52" s="1577">
        <f t="shared" si="16"/>
        <v>42767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2592</v>
      </c>
      <c r="B57" s="528" t="s">
        <v>2558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1"/>
      <c r="B87" s="569"/>
      <c r="C87" s="570"/>
      <c r="D87" s="570"/>
      <c r="E87" s="570"/>
      <c r="F87" s="570"/>
      <c r="G87" s="591"/>
      <c r="H87" s="591"/>
      <c r="I87" s="591"/>
      <c r="J87" s="591"/>
      <c r="K87" s="591"/>
      <c r="L87" s="591"/>
      <c r="M87" s="592"/>
      <c r="N87" s="1155"/>
      <c r="O87" s="1155"/>
      <c r="P87" s="45"/>
      <c r="Q87" s="504"/>
    </row>
    <row r="88" spans="1:17">
      <c r="A88" s="527" t="s">
        <v>2567</v>
      </c>
      <c r="B88" s="528" t="s">
        <v>2616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1"/>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E2" sqref="E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27</v>
      </c>
      <c r="D1" s="1822" t="s">
        <v>70</v>
      </c>
      <c r="E1" s="1823" t="s">
        <v>1387</v>
      </c>
      <c r="F1" s="1285">
        <f ca="1">J53</f>
        <v>23.7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2982</v>
      </c>
      <c r="C2" s="1847" t="s">
        <v>1517</v>
      </c>
      <c r="D2" s="1847"/>
      <c r="E2" s="1848"/>
      <c r="F2" s="1849"/>
      <c r="G2" s="1850"/>
      <c r="H2" s="1842"/>
      <c r="I2" s="1842"/>
      <c r="J2" s="1842"/>
      <c r="K2" s="1843"/>
      <c r="L2" s="1842"/>
      <c r="M2" s="1842"/>
    </row>
    <row r="3" spans="1:37" ht="18" customHeight="1" thickBot="1">
      <c r="A3" s="1851" t="s">
        <v>1518</v>
      </c>
      <c r="B3" s="1852">
        <f ca="1">IF(ISERROR(B2*10000/F43),0,ROUND(B2*10000/F43,0))</f>
        <v>22652</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216</v>
      </c>
      <c r="D5" s="1824" t="s">
        <v>1402</v>
      </c>
      <c r="E5" s="1295"/>
      <c r="F5" s="1296"/>
      <c r="G5" s="1853"/>
      <c r="H5" s="344">
        <v>1</v>
      </c>
      <c r="I5" s="345" t="s">
        <v>1401</v>
      </c>
      <c r="J5" s="1294">
        <f ca="1">J6+J10+J12</f>
        <v>0</v>
      </c>
      <c r="K5" s="1824" t="s">
        <v>1402</v>
      </c>
      <c r="L5" s="1295"/>
      <c r="M5" s="1296"/>
    </row>
    <row r="6" spans="1:37" ht="18" customHeight="1">
      <c r="A6" s="1293" t="s">
        <v>1035</v>
      </c>
      <c r="B6" s="3231" t="s">
        <v>1403</v>
      </c>
      <c r="C6" s="1298">
        <f ca="1">ROUND(F6*F8*F7*(1-F9)/10000,0)</f>
        <v>216</v>
      </c>
      <c r="D6" s="164" t="s">
        <v>3038</v>
      </c>
      <c r="E6" s="347" t="s">
        <v>1405</v>
      </c>
      <c r="F6" s="348">
        <f ca="1">INDIRECT("'数据-取费表'!u"&amp;$G$1)</f>
        <v>5</v>
      </c>
      <c r="G6" s="1853"/>
      <c r="H6" s="1293" t="s">
        <v>1035</v>
      </c>
      <c r="I6" s="3231" t="s">
        <v>1403</v>
      </c>
      <c r="J6" s="346">
        <f ca="1">ROUND(M6*M8*M7*(1-M9)/10000,0)</f>
        <v>0</v>
      </c>
      <c r="K6" s="164" t="s">
        <v>3037</v>
      </c>
      <c r="L6" s="347" t="s">
        <v>1405</v>
      </c>
      <c r="M6" s="348">
        <f ca="1">INDIRECT("'数据-取费表'!z"&amp;$G$1)</f>
        <v>0</v>
      </c>
    </row>
    <row r="7" spans="1:37" ht="18" customHeight="1">
      <c r="A7" s="1297"/>
      <c r="B7" s="3232"/>
      <c r="C7" s="1299"/>
      <c r="D7" s="352"/>
      <c r="E7" s="2939" t="s">
        <v>1406</v>
      </c>
      <c r="F7" s="348">
        <f ca="1">IF(INDIRECT("'数据-取费表'!ah"&amp;$G$1)="",INDIRECT("'数据-取费表'!k"&amp;$G$1),INDIRECT("'数据-取费表'!ah"&amp;$G$1))</f>
        <v>1316.46</v>
      </c>
      <c r="G7" s="1853"/>
      <c r="H7" s="349"/>
      <c r="I7" s="3232"/>
      <c r="J7" s="351"/>
      <c r="K7" s="352"/>
      <c r="L7" s="347" t="s">
        <v>1406</v>
      </c>
      <c r="M7" s="348">
        <f ca="1">F7</f>
        <v>1316.46</v>
      </c>
    </row>
    <row r="8" spans="1:37" ht="18" customHeight="1">
      <c r="A8" s="349"/>
      <c r="B8" s="3232"/>
      <c r="C8" s="351"/>
      <c r="D8" s="352"/>
      <c r="E8" s="347" t="s">
        <v>1407</v>
      </c>
      <c r="F8" s="348">
        <f ca="1">INDIRECT("'数据-取费表'!ai"&amp;$G$1)</f>
        <v>365</v>
      </c>
      <c r="G8" s="1853"/>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0.1</v>
      </c>
      <c r="G9" s="1853"/>
      <c r="H9" s="349"/>
      <c r="I9" s="323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3039</v>
      </c>
      <c r="E10" s="358" t="s">
        <v>1411</v>
      </c>
      <c r="F10" s="1368" t="s">
        <v>3082</v>
      </c>
      <c r="G10" s="1853"/>
      <c r="H10" s="1293" t="s">
        <v>1039</v>
      </c>
      <c r="I10" s="1825" t="s">
        <v>1409</v>
      </c>
      <c r="J10" s="346">
        <f ca="1">ROUND(IF(M10="押一",M6*M8*M7/12*M11,IF(M10="押二",M6*M8*M7/12*2*M11,IF(M10="押三",M6*M8*M7/12*3*M11,J11*M11)))/10000,0)</f>
        <v>0</v>
      </c>
      <c r="K10" s="1826" t="s">
        <v>3039</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660</v>
      </c>
      <c r="D13" s="1333" t="s">
        <v>1416</v>
      </c>
      <c r="E13" s="1333" t="s">
        <v>1417</v>
      </c>
      <c r="F13" s="1334">
        <f ca="1">INDIRECT("'数据-取费表'!y"&amp;$G$1)</f>
        <v>0.82</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527</v>
      </c>
      <c r="D14" s="2948" t="s">
        <v>1419</v>
      </c>
      <c r="E14" s="2947"/>
      <c r="F14" s="364"/>
      <c r="G14" s="1853"/>
      <c r="H14" s="1203" t="s">
        <v>1035</v>
      </c>
      <c r="I14" s="347" t="s">
        <v>1420</v>
      </c>
      <c r="J14" s="24">
        <f ca="1">C29</f>
        <v>805</v>
      </c>
      <c r="K14" s="2938"/>
      <c r="L14" s="981"/>
      <c r="M14" s="982"/>
    </row>
    <row r="15" spans="1:37" s="1860" customFormat="1" ht="18" customHeight="1" thickBot="1">
      <c r="A15" s="1203" t="s">
        <v>1036</v>
      </c>
      <c r="B15" s="347" t="s">
        <v>1421</v>
      </c>
      <c r="C15" s="24">
        <f ca="1">ROUND(C14*F15,0)</f>
        <v>21</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19</v>
      </c>
      <c r="K16" s="1339" t="s">
        <v>1426</v>
      </c>
      <c r="L16" s="2951"/>
      <c r="M16" s="1296"/>
    </row>
    <row r="17" spans="1:37" s="1860" customFormat="1" ht="18" customHeight="1">
      <c r="A17" s="1203" t="s">
        <v>1390</v>
      </c>
      <c r="B17" s="347" t="s">
        <v>1427</v>
      </c>
      <c r="C17" s="24">
        <f ca="1">ROUND(F17*(F43+INDIRECT("'数据-取费表'!S"&amp;$G$1))/10000,0)</f>
        <v>26</v>
      </c>
      <c r="D17" s="347" t="s">
        <v>1428</v>
      </c>
      <c r="E17" s="347" t="s">
        <v>1429</v>
      </c>
      <c r="F17" s="26">
        <f>'数据-取费表'!B35</f>
        <v>200</v>
      </c>
      <c r="G17" s="1856"/>
      <c r="H17" s="1203" t="s">
        <v>1035</v>
      </c>
      <c r="I17" s="347" t="s">
        <v>1430</v>
      </c>
      <c r="J17" s="24">
        <f ca="1">ROUND(IF(项目基本情况!B11="自然人",J5*M17,J18+J19+J20),1)</f>
        <v>7.3</v>
      </c>
      <c r="K17" s="2948" t="s">
        <v>1431</v>
      </c>
      <c r="L17" s="295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8</v>
      </c>
      <c r="D18" s="347" t="s">
        <v>1422</v>
      </c>
      <c r="E18" s="347" t="s">
        <v>1423</v>
      </c>
      <c r="F18" s="367">
        <f>'数据-取费表'!B36</f>
        <v>1.4999999999999999E-2</v>
      </c>
      <c r="G18" s="1856"/>
      <c r="H18" s="1203" t="s">
        <v>1034</v>
      </c>
      <c r="I18" s="347" t="s">
        <v>1434</v>
      </c>
      <c r="J18" s="24">
        <f ca="1">ROUND(J5*M18/(1+'数据-取费表'!C42),2)</f>
        <v>0</v>
      </c>
      <c r="K18" s="295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582</v>
      </c>
      <c r="D19" s="140" t="s">
        <v>1437</v>
      </c>
      <c r="E19" s="2936"/>
      <c r="F19" s="26"/>
      <c r="G19" s="1853"/>
      <c r="H19" s="1203" t="s">
        <v>1036</v>
      </c>
      <c r="I19" s="347" t="s">
        <v>1438</v>
      </c>
      <c r="J19" s="24">
        <f ca="1">IF(K19="按租金收入计税",ROUND(J5*M19,2),ROUND(C29*M19*0.7,2))</f>
        <v>6.76</v>
      </c>
      <c r="K19" s="1830" t="s">
        <v>1439</v>
      </c>
      <c r="L19" s="347" t="s">
        <v>1423</v>
      </c>
      <c r="M19" s="367">
        <f>IF(K19="按租金收入计税",'数据-取费表'!B51,'数据-取费表'!B50)</f>
        <v>1.2E-2</v>
      </c>
    </row>
    <row r="20" spans="1:37" s="1860" customFormat="1" ht="18" customHeight="1">
      <c r="A20" s="1203" t="s">
        <v>1039</v>
      </c>
      <c r="B20" s="347" t="s">
        <v>1440</v>
      </c>
      <c r="C20" s="24">
        <f ca="1">ROUND(C19*F20,0)</f>
        <v>12</v>
      </c>
      <c r="D20" s="369" t="s">
        <v>1441</v>
      </c>
      <c r="E20" s="347" t="s">
        <v>1423</v>
      </c>
      <c r="F20" s="367">
        <f>'数据-取费表'!B37</f>
        <v>0.02</v>
      </c>
      <c r="G20" s="1856"/>
      <c r="H20" s="1203" t="s">
        <v>1389</v>
      </c>
      <c r="I20" s="164" t="s">
        <v>1442</v>
      </c>
      <c r="J20" s="25">
        <f ca="1">ROUND(M20*M21/10000,2)</f>
        <v>0.55000000000000004</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184.95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36"/>
      <c r="F22" s="26"/>
      <c r="G22" s="1853"/>
      <c r="H22" s="1203" t="s">
        <v>1039</v>
      </c>
      <c r="I22" s="347" t="s">
        <v>1450</v>
      </c>
      <c r="J22" s="24">
        <f ca="1">ROUND(J14*M22,1)</f>
        <v>12.1</v>
      </c>
      <c r="K22" s="295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29</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295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36"/>
      <c r="F25" s="26"/>
      <c r="G25" s="1853"/>
      <c r="H25" s="1331" t="s">
        <v>1031</v>
      </c>
      <c r="I25" s="1346" t="s">
        <v>1464</v>
      </c>
      <c r="J25" s="355">
        <f ca="1">J5-J16</f>
        <v>-19</v>
      </c>
      <c r="K25" s="1347" t="s">
        <v>1465</v>
      </c>
      <c r="L25" s="1348"/>
      <c r="M25" s="1349"/>
    </row>
    <row r="26" spans="1:37">
      <c r="A26" s="1203" t="s">
        <v>1034</v>
      </c>
      <c r="B26" s="347" t="s">
        <v>1466</v>
      </c>
      <c r="C26" s="24">
        <f ca="1">ROUND((C19+C20)*F26,0)</f>
        <v>119</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4.0000000000000001E-3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805</v>
      </c>
      <c r="D29" s="1344"/>
      <c r="E29" s="1342"/>
      <c r="F29" s="1345"/>
      <c r="G29" s="1856"/>
      <c r="H29" s="380" t="s">
        <v>1033</v>
      </c>
      <c r="I29" s="381" t="s">
        <v>1480</v>
      </c>
      <c r="J29" s="382">
        <f ca="1">ROUND(J26/(1+F40)^F41,0)</f>
        <v>0</v>
      </c>
      <c r="K29" s="383" t="s">
        <v>1481</v>
      </c>
      <c r="L29" s="384"/>
      <c r="M29" s="385">
        <f ca="1">INDIRECT("'数据-取费表'!k"&amp;$G$1)</f>
        <v>1316.46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36</v>
      </c>
      <c r="D30" s="1339" t="s">
        <v>1426</v>
      </c>
      <c r="E30" s="2951"/>
      <c r="F30" s="1296"/>
      <c r="G30" s="1853"/>
      <c r="H30" s="745"/>
      <c r="I30" s="746"/>
      <c r="J30" s="747"/>
      <c r="K30" s="748"/>
      <c r="L30" s="749"/>
      <c r="M30" s="750"/>
    </row>
    <row r="31" spans="1:37" ht="18" customHeight="1">
      <c r="A31" s="1203" t="s">
        <v>1035</v>
      </c>
      <c r="B31" s="347" t="s">
        <v>1430</v>
      </c>
      <c r="C31" s="24">
        <f ca="1">ROUND(IF(项目基本情况!B11="自然人",C5*F31,C32+C33+C34),1)</f>
        <v>18.8</v>
      </c>
      <c r="D31" s="2948" t="s">
        <v>1431</v>
      </c>
      <c r="E31" s="295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11.52</v>
      </c>
      <c r="D32" s="295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6.76</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0.55000000000000004</v>
      </c>
      <c r="D34" s="370" t="s">
        <v>1443</v>
      </c>
      <c r="E34" s="347" t="s">
        <v>1444</v>
      </c>
      <c r="F34" s="371">
        <f>'数据-取费表'!B52</f>
        <v>30</v>
      </c>
      <c r="G34" s="1853"/>
      <c r="H34" s="745"/>
      <c r="I34" s="1862"/>
      <c r="J34" s="1863"/>
      <c r="K34" s="1865"/>
      <c r="L34" s="1866"/>
      <c r="M34" s="1866"/>
    </row>
    <row r="35" spans="1:18" ht="18" customHeight="1">
      <c r="A35" s="1355"/>
      <c r="B35" s="1353"/>
      <c r="C35" s="29"/>
      <c r="D35" s="373"/>
      <c r="E35" s="347" t="s">
        <v>1448</v>
      </c>
      <c r="F35" s="348">
        <f ca="1">INDIRECT("'数据-取费表'!r"&amp;$G$1)</f>
        <v>184.95</v>
      </c>
      <c r="G35" s="1853"/>
      <c r="H35" s="745"/>
      <c r="I35" s="1862"/>
      <c r="J35" s="1863"/>
      <c r="K35" s="1864"/>
      <c r="L35" s="1861"/>
      <c r="M35" s="1861"/>
    </row>
    <row r="36" spans="1:18" ht="18" customHeight="1">
      <c r="A36" s="1354" t="s">
        <v>1039</v>
      </c>
      <c r="B36" s="347" t="s">
        <v>1450</v>
      </c>
      <c r="C36" s="24">
        <f ca="1">ROUND(C29*F36,1)</f>
        <v>12.1</v>
      </c>
      <c r="D36" s="2950"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1</v>
      </c>
      <c r="D37" s="2950" t="s">
        <v>1455</v>
      </c>
      <c r="E37" s="347" t="s">
        <v>1456</v>
      </c>
      <c r="F37" s="376">
        <f ca="1">INDIRECT("'数据-取费表'!Al"&amp;$G$1)</f>
        <v>1.5E-3</v>
      </c>
      <c r="G37" s="1853"/>
      <c r="H37" s="1861"/>
      <c r="I37" s="1862"/>
      <c r="J37" s="1863"/>
      <c r="K37" s="751"/>
      <c r="L37" s="1861"/>
      <c r="M37" s="1861"/>
    </row>
    <row r="38" spans="1:18" ht="18" customHeight="1" thickBot="1">
      <c r="A38" s="1341" t="s">
        <v>1392</v>
      </c>
      <c r="B38" s="1342" t="s">
        <v>1440</v>
      </c>
      <c r="C38" s="1343">
        <f ca="1">ROUND(C5*F38,1)</f>
        <v>4.3</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1464</v>
      </c>
      <c r="C39" s="355">
        <f ca="1">C5-C30</f>
        <v>180</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2982</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23.7</v>
      </c>
      <c r="G41" s="1853"/>
      <c r="H41" s="732"/>
      <c r="I41" s="1862"/>
      <c r="J41" s="1863"/>
      <c r="K41" s="751"/>
      <c r="L41" s="732"/>
      <c r="M41" s="732"/>
    </row>
    <row r="42" spans="1:18" ht="18" customHeight="1">
      <c r="A42" s="353"/>
      <c r="B42" s="354"/>
      <c r="C42" s="355"/>
      <c r="D42" s="373"/>
      <c r="E42" s="347" t="s">
        <v>1478</v>
      </c>
      <c r="F42" s="357">
        <f ca="1">INDIRECT("'数据-取费表'!v"&amp;$G$1)</f>
        <v>0.02</v>
      </c>
      <c r="G42" s="1853"/>
      <c r="H42" s="732"/>
      <c r="I42" s="1862"/>
      <c r="J42" s="1863"/>
      <c r="K42" s="751"/>
      <c r="L42" s="732"/>
      <c r="M42" s="732"/>
    </row>
    <row r="43" spans="1:18" ht="18" customHeight="1" thickBot="1">
      <c r="A43" s="380" t="s">
        <v>1033</v>
      </c>
      <c r="B43" s="381" t="s">
        <v>1488</v>
      </c>
      <c r="C43" s="382">
        <f ca="1">ROUND(C40*10000/F43,0)</f>
        <v>22652</v>
      </c>
      <c r="D43" s="383" t="s">
        <v>1489</v>
      </c>
      <c r="E43" s="384" t="s">
        <v>1490</v>
      </c>
      <c r="F43" s="385">
        <f ca="1">INDIRECT("'数据-取费表'!k"&amp;$G$1)</f>
        <v>1316.46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-3256</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3083</v>
      </c>
      <c r="K47" s="1884" t="s">
        <v>1528</v>
      </c>
      <c r="L47" s="1885">
        <f ca="1">INDIRECT("'数据-取费表'!d"&amp;$G$1)</f>
        <v>40</v>
      </c>
      <c r="M47" s="1840" t="str">
        <f>IF(ISNUMBER(FIND("住宅",C1)),"住宅","非住宅")</f>
        <v>非住宅</v>
      </c>
      <c r="O47" s="1886" t="s">
        <v>1040</v>
      </c>
      <c r="P47" s="1887" t="s">
        <v>1529</v>
      </c>
      <c r="Q47" s="1888">
        <f ca="1">C40+J29</f>
        <v>2982</v>
      </c>
      <c r="R47" s="1888" t="s">
        <v>1530</v>
      </c>
    </row>
    <row r="48" spans="1:18" s="1844" customFormat="1" ht="28.5" thickBot="1">
      <c r="A48" s="1362" t="s">
        <v>1135</v>
      </c>
      <c r="B48" s="345" t="s">
        <v>1401</v>
      </c>
      <c r="C48" s="2935">
        <f ca="1">C49+C53+C55</f>
        <v>0</v>
      </c>
      <c r="D48" s="1364"/>
      <c r="E48" s="1365"/>
      <c r="F48" s="1183"/>
      <c r="G48" s="792"/>
      <c r="H48" s="793"/>
      <c r="I48" s="1889" t="s">
        <v>1531</v>
      </c>
      <c r="J48" s="1890" t="s">
        <v>3084</v>
      </c>
      <c r="K48" s="1891" t="s">
        <v>1532</v>
      </c>
      <c r="L48" s="1892">
        <f ca="1">INDIRECT("'数据-取费表'!f"&amp;$G$1)</f>
        <v>23.7</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3041</v>
      </c>
      <c r="E49" s="1832" t="s">
        <v>1492</v>
      </c>
      <c r="F49" s="1283"/>
      <c r="G49" s="1893"/>
      <c r="H49" s="793"/>
      <c r="I49" s="1889" t="s">
        <v>1535</v>
      </c>
      <c r="J49" s="1894">
        <v>2007</v>
      </c>
      <c r="K49" s="1891" t="s">
        <v>1536</v>
      </c>
      <c r="L49" s="1895"/>
      <c r="O49" s="1896" t="s">
        <v>1042</v>
      </c>
      <c r="P49" s="1887" t="s">
        <v>1537</v>
      </c>
      <c r="Q49" s="1888">
        <f ca="1">C29</f>
        <v>805</v>
      </c>
      <c r="R49" s="1888" t="s">
        <v>1530</v>
      </c>
    </row>
    <row r="50" spans="1:18" s="1844" customFormat="1" ht="13.5" thickBot="1">
      <c r="A50" s="1197"/>
      <c r="B50" s="1200"/>
      <c r="C50" s="1370"/>
      <c r="D50" s="1174"/>
      <c r="E50" s="1279" t="s">
        <v>1406</v>
      </c>
      <c r="F50" s="1280">
        <f ca="1">F7</f>
        <v>1316.46</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49</v>
      </c>
      <c r="K51" s="1902" t="s">
        <v>1542</v>
      </c>
      <c r="L51" s="1903">
        <f ca="1">ROUND(-PV(INDIRECT("'数据-取费表'!h"&amp;$G$1),L48,(C39-C13*C76),0),0)</f>
        <v>1831</v>
      </c>
      <c r="M51" s="1904"/>
      <c r="O51" s="1896" t="s">
        <v>1044</v>
      </c>
      <c r="P51" s="1887" t="s">
        <v>1543</v>
      </c>
      <c r="Q51" s="1899">
        <f>J52</f>
        <v>8.5000000000000006E-2</v>
      </c>
      <c r="R51" s="1888"/>
    </row>
    <row r="52" spans="1:18" s="1844" customFormat="1" ht="13.5" thickBot="1">
      <c r="A52" s="1198"/>
      <c r="B52" s="1200"/>
      <c r="C52" s="1201"/>
      <c r="D52" s="1174"/>
      <c r="E52" s="1202" t="s">
        <v>1408</v>
      </c>
      <c r="F52" s="1277"/>
      <c r="I52" s="1905" t="s">
        <v>1544</v>
      </c>
      <c r="J52" s="1906">
        <v>8.5000000000000006E-2</v>
      </c>
      <c r="K52" s="1905" t="s">
        <v>1545</v>
      </c>
      <c r="L52" s="1906"/>
      <c r="O52" s="1896" t="s">
        <v>1045</v>
      </c>
      <c r="P52" s="1887" t="s">
        <v>1546</v>
      </c>
      <c r="Q52" s="1888">
        <f ca="1">J53</f>
        <v>23.7</v>
      </c>
      <c r="R52" s="1888" t="s">
        <v>1547</v>
      </c>
    </row>
    <row r="53" spans="1:18" s="1844" customFormat="1" ht="24.75" thickBot="1">
      <c r="A53" s="1407" t="s">
        <v>1137</v>
      </c>
      <c r="B53" s="1833" t="s">
        <v>1409</v>
      </c>
      <c r="C53" s="361">
        <f ca="1">ROUND(IF(F53="押一",F49*F51*F50/12*F11,IF(F53="押二",F49*F51*F50/12*2*F11,IF(F53="押三",F49*F51*F50/12*3*F11,C54*F11)))/10000,0)</f>
        <v>0</v>
      </c>
      <c r="D53" s="1826" t="s">
        <v>3039</v>
      </c>
      <c r="E53" s="358" t="s">
        <v>1411</v>
      </c>
      <c r="F53" s="1368"/>
      <c r="I53" s="1907" t="s">
        <v>1548</v>
      </c>
      <c r="J53" s="1908">
        <f ca="1">IF(M47="住宅",J51,IF(D1="——",MIN(J51,L48),IF(D1="在建（套用方法）",MIN(J51,L48-'数据-取费表'!B24),IF(D1="土地（套用方法）",MIN(J51,L48-'数据-取费表'!B20)))))</f>
        <v>23.7</v>
      </c>
      <c r="K53" s="3229" t="s">
        <v>1549</v>
      </c>
      <c r="L53" s="3230"/>
      <c r="O53" s="1886" t="s">
        <v>1046</v>
      </c>
      <c r="P53" s="1887" t="s">
        <v>1550</v>
      </c>
      <c r="Q53" s="1888">
        <f ca="1">Q47+Q48</f>
        <v>2982</v>
      </c>
      <c r="R53" s="1888" t="s">
        <v>1047</v>
      </c>
    </row>
    <row r="54" spans="1:18" s="1844" customFormat="1" ht="13.5" thickBot="1">
      <c r="A54" s="1408"/>
      <c r="B54" s="1827" t="s">
        <v>1388</v>
      </c>
      <c r="C54" s="1180"/>
      <c r="D54" s="1826"/>
      <c r="E54" s="294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40"/>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660</v>
      </c>
      <c r="D56" s="1916"/>
      <c r="E56" s="1917"/>
      <c r="F56" s="1909"/>
      <c r="I56" s="1918" t="s">
        <v>1555</v>
      </c>
      <c r="J56" s="1919" t="s">
        <v>3054</v>
      </c>
      <c r="K56" s="1889" t="s">
        <v>1556</v>
      </c>
      <c r="L56" s="1892" t="str">
        <f ca="1">IF(L48&lt;J51,"——",L48-J53)</f>
        <v>——</v>
      </c>
      <c r="O56" s="1886" t="s">
        <v>1040</v>
      </c>
      <c r="P56" s="1887" t="s">
        <v>1529</v>
      </c>
      <c r="Q56" s="1888">
        <f ca="1">C40+J29</f>
        <v>2982</v>
      </c>
      <c r="R56" s="1888" t="s">
        <v>1530</v>
      </c>
    </row>
    <row r="57" spans="1:18" s="1844" customFormat="1" ht="24.75" thickBot="1">
      <c r="A57" s="1920"/>
      <c r="B57" s="1171" t="s">
        <v>1479</v>
      </c>
      <c r="C57" s="282">
        <f ca="1">C29</f>
        <v>805</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20</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7.3</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6.76</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1442</v>
      </c>
      <c r="C62" s="25">
        <f ca="1">IF(项目基本情况!B11="自然人","——",ROUND(F62*F63/10000,2))</f>
        <v>0.55000000000000004</v>
      </c>
      <c r="D62" s="1186" t="s">
        <v>1498</v>
      </c>
      <c r="E62" s="1171" t="s">
        <v>1499</v>
      </c>
      <c r="F62" s="371">
        <f t="shared" si="0"/>
        <v>30</v>
      </c>
      <c r="I62" s="1931" t="s">
        <v>1571</v>
      </c>
      <c r="J62" s="1932" t="s">
        <v>1572</v>
      </c>
      <c r="K62" s="1932" t="s">
        <v>1573</v>
      </c>
      <c r="L62" s="1932" t="s">
        <v>1574</v>
      </c>
      <c r="M62" s="1933" t="s">
        <v>1575</v>
      </c>
      <c r="O62" s="1886" t="s">
        <v>1046</v>
      </c>
      <c r="P62" s="1887" t="s">
        <v>1576</v>
      </c>
      <c r="Q62" s="1888">
        <f ca="1">Q56+Q57</f>
        <v>2982</v>
      </c>
      <c r="R62" s="1888" t="s">
        <v>1047</v>
      </c>
    </row>
    <row r="63" spans="1:18" s="1844" customFormat="1" ht="13.5" thickBot="1">
      <c r="A63" s="372"/>
      <c r="B63" s="1177"/>
      <c r="C63" s="29"/>
      <c r="D63" s="1187"/>
      <c r="E63" s="1171" t="s">
        <v>1500</v>
      </c>
      <c r="F63" s="348">
        <f t="shared" ca="1" si="0"/>
        <v>184.95</v>
      </c>
      <c r="I63" s="1931" t="s">
        <v>1577</v>
      </c>
      <c r="J63" s="1932">
        <v>70</v>
      </c>
      <c r="K63" s="1932">
        <v>50</v>
      </c>
      <c r="L63" s="1932">
        <v>80</v>
      </c>
      <c r="M63" s="1934">
        <v>0.02</v>
      </c>
      <c r="O63" s="1871" t="s">
        <v>1578</v>
      </c>
      <c r="P63" s="1841"/>
      <c r="Q63" s="1841"/>
      <c r="R63" s="1841"/>
    </row>
    <row r="64" spans="1:18" s="1844" customFormat="1" ht="13.5" thickBot="1">
      <c r="A64" s="1203" t="s">
        <v>1501</v>
      </c>
      <c r="B64" s="1171" t="s">
        <v>1450</v>
      </c>
      <c r="C64" s="24">
        <f ca="1">ROUND(C57*F64,1)</f>
        <v>12.1</v>
      </c>
      <c r="D64" s="1185" t="s">
        <v>1483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1</v>
      </c>
      <c r="D65" s="1185" t="s">
        <v>1455</v>
      </c>
      <c r="E65" s="1171" t="s">
        <v>1456</v>
      </c>
      <c r="F65" s="376">
        <f t="shared" ca="1" si="0"/>
        <v>1.5E-3</v>
      </c>
      <c r="I65" s="1931" t="s">
        <v>1580</v>
      </c>
      <c r="J65" s="1932">
        <v>40</v>
      </c>
      <c r="K65" s="1932">
        <v>30</v>
      </c>
      <c r="L65" s="1932">
        <v>50</v>
      </c>
      <c r="M65" s="1934">
        <v>0.02</v>
      </c>
      <c r="O65" s="1886" t="s">
        <v>1040</v>
      </c>
      <c r="P65" s="1887" t="s">
        <v>1529</v>
      </c>
      <c r="Q65" s="1888">
        <f ca="1">C40+J29</f>
        <v>2982</v>
      </c>
      <c r="R65" s="1888" t="s">
        <v>1530</v>
      </c>
    </row>
    <row r="66" spans="1:18" s="1844" customFormat="1" ht="16.5" thickBot="1">
      <c r="A66" s="1203" t="s">
        <v>1505</v>
      </c>
      <c r="B66" s="1171" t="s">
        <v>1440</v>
      </c>
      <c r="C66" s="24">
        <f ca="1">ROUND(C48*F66,1)</f>
        <v>0</v>
      </c>
      <c r="D66" s="1185" t="s">
        <v>1460</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-20</v>
      </c>
      <c r="D67" s="1184" t="s">
        <v>1465</v>
      </c>
      <c r="E67" s="1189"/>
      <c r="F67" s="1190"/>
      <c r="O67" s="1896" t="s">
        <v>1042</v>
      </c>
      <c r="P67" s="1887" t="s">
        <v>1563</v>
      </c>
      <c r="Q67" s="1935">
        <f ca="1">L51</f>
        <v>1831</v>
      </c>
      <c r="R67" s="1888" t="s">
        <v>1583</v>
      </c>
    </row>
    <row r="68" spans="1:18" s="1844" customFormat="1" ht="16.5" thickBot="1">
      <c r="A68" s="1168" t="s">
        <v>1032</v>
      </c>
      <c r="B68" s="1169" t="s">
        <v>1486</v>
      </c>
      <c r="C68" s="346">
        <f ca="1">ROUND(C67*(1-((1+F70)/(1+F68))^F69)/(F68-F70),0)</f>
        <v>-274</v>
      </c>
      <c r="D68" s="1186" t="s">
        <v>1470</v>
      </c>
      <c r="E68" s="1171" t="s">
        <v>1471</v>
      </c>
      <c r="F68" s="357">
        <f ca="1">F40</f>
        <v>0.05</v>
      </c>
      <c r="O68" s="1896" t="s">
        <v>1043</v>
      </c>
      <c r="P68" s="1936" t="s">
        <v>1584</v>
      </c>
      <c r="Q68" s="1888">
        <f ca="1">ROUND(Q69-Q70*Q71,0)</f>
        <v>127</v>
      </c>
      <c r="R68" s="1888" t="s">
        <v>1051</v>
      </c>
    </row>
    <row r="69" spans="1:18" s="1844" customFormat="1" ht="13.5" thickBot="1">
      <c r="A69" s="1172"/>
      <c r="B69" s="1173"/>
      <c r="C69" s="351"/>
      <c r="D69" s="1191" t="s">
        <v>1474</v>
      </c>
      <c r="E69" s="1171" t="s">
        <v>1475</v>
      </c>
      <c r="F69" s="379">
        <f ca="1">F41</f>
        <v>23.7</v>
      </c>
      <c r="O69" s="1896" t="s">
        <v>1048</v>
      </c>
      <c r="P69" s="1936" t="s">
        <v>1585</v>
      </c>
      <c r="Q69" s="1888">
        <f ca="1">C39</f>
        <v>180</v>
      </c>
      <c r="R69" s="1888" t="s">
        <v>1530</v>
      </c>
    </row>
    <row r="70" spans="1:18" s="1844" customFormat="1" ht="13.5" thickBot="1">
      <c r="A70" s="1175"/>
      <c r="B70" s="1176"/>
      <c r="C70" s="355"/>
      <c r="D70" s="1187"/>
      <c r="E70" s="1171" t="s">
        <v>1478</v>
      </c>
      <c r="F70" s="1277"/>
      <c r="O70" s="1896" t="s">
        <v>1049</v>
      </c>
      <c r="P70" s="1936" t="s">
        <v>1586</v>
      </c>
      <c r="Q70" s="1888">
        <f ca="1">C13</f>
        <v>660</v>
      </c>
      <c r="R70" s="1888" t="s">
        <v>1530</v>
      </c>
    </row>
    <row r="71" spans="1:18" s="1844" customFormat="1" ht="13.5" thickBot="1">
      <c r="A71" s="1192" t="s">
        <v>1033</v>
      </c>
      <c r="B71" s="1193" t="s">
        <v>1488</v>
      </c>
      <c r="C71" s="382">
        <f ca="1">ROUND(C68*10000/F71,0)</f>
        <v>-2081</v>
      </c>
      <c r="D71" s="1194" t="s">
        <v>1489</v>
      </c>
      <c r="E71" s="1195" t="s">
        <v>1490</v>
      </c>
      <c r="F71" s="385">
        <f ca="1">F43</f>
        <v>1316.46</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53</v>
      </c>
      <c r="D75" s="1844"/>
      <c r="E75" s="1844"/>
      <c r="F75" s="1844"/>
      <c r="K75" s="1870"/>
      <c r="L75" s="1844"/>
      <c r="O75" s="1886" t="s">
        <v>1046</v>
      </c>
      <c r="P75" s="1887" t="s">
        <v>1550</v>
      </c>
      <c r="Q75" s="1888">
        <f ca="1">Q65+Q66</f>
        <v>2982</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0.70599999999999996</v>
      </c>
    </row>
    <row r="80" spans="1:18">
      <c r="B80" s="386" t="s">
        <v>1512</v>
      </c>
      <c r="C80" s="318">
        <f ca="1">ROUND(C75/C39,3)</f>
        <v>0.29399999999999998</v>
      </c>
    </row>
    <row r="81" spans="2:3">
      <c r="B81" s="314" t="s">
        <v>1513</v>
      </c>
      <c r="C81" s="282"/>
    </row>
    <row r="82" spans="2:3">
      <c r="B82" s="317" t="s">
        <v>1514</v>
      </c>
      <c r="C82" s="319">
        <f ca="1">1-C83</f>
        <v>0.77900000000000003</v>
      </c>
    </row>
    <row r="83" spans="2:3">
      <c r="B83" s="317" t="s">
        <v>1515</v>
      </c>
      <c r="C83" s="318">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Normal="10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2808</v>
      </c>
      <c r="B1" s="241"/>
      <c r="C1" s="245" t="s">
        <v>2809</v>
      </c>
      <c r="D1" s="388">
        <f>SUM(D29:D30,D33:D39)</f>
        <v>9097.5099999999984</v>
      </c>
      <c r="E1" s="2722"/>
      <c r="F1" s="2722"/>
      <c r="G1" s="2722"/>
      <c r="H1" s="2722"/>
      <c r="I1" s="2722"/>
      <c r="J1" s="2722"/>
      <c r="K1" s="1372"/>
      <c r="L1" s="2723" t="s">
        <v>2810</v>
      </c>
      <c r="M1" s="1082">
        <f>SUMPRODUCT((区片价!B5:B9=I2)*(区片价!C3:F3=E2)*(区片价!C5:F9))</f>
        <v>30890</v>
      </c>
      <c r="N1" s="1085">
        <f>SUMPRODUCT((因素修正幅度!B5:B9=I2)*(因素修正幅度!C3:F3=E2)*(因素修正幅度!C5:F9))</f>
        <v>9.9000000000000005E-2</v>
      </c>
      <c r="O1" s="2724"/>
      <c r="P1" s="2724"/>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f ca="1">C26</f>
        <v>23891</v>
      </c>
      <c r="C2" s="2726" t="s">
        <v>2817</v>
      </c>
      <c r="D2" s="2727" t="s">
        <v>2818</v>
      </c>
      <c r="E2" s="2728" t="s">
        <v>1377</v>
      </c>
      <c r="F2" s="2727" t="s">
        <v>2819</v>
      </c>
      <c r="G2" s="2729" t="str">
        <f>IF(E2="商业",项目基本情况!B37,IF(E2="办公",项目基本情况!C37,IF(E2="住宅",项目基本情况!D37,项目基本情况!E37)))</f>
        <v>一级</v>
      </c>
      <c r="H2" s="2727" t="s">
        <v>2820</v>
      </c>
      <c r="I2" s="2729" t="str">
        <f>IF(E2="商业",项目基本情况!B38,IF(E2="办公",项目基本情况!C38,IF(E2="住宅",项目基本情况!D38,项目基本情况!E38)))</f>
        <v>Ⅰ—04</v>
      </c>
      <c r="J2" s="2730"/>
      <c r="K2" s="1372"/>
      <c r="L2" s="2731" t="s">
        <v>2821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1.9361999999999999</v>
      </c>
      <c r="T2" s="1604">
        <f ca="1">ROUND($C$5*$C$18*$C$19*$C$20*S2*$C$24,0)</f>
        <v>57648</v>
      </c>
      <c r="U2" s="1605"/>
      <c r="V2" s="1604">
        <f ca="1">ROUND(T2*U2/10000,0)</f>
        <v>0</v>
      </c>
      <c r="W2" s="1608"/>
      <c r="X2" s="1608"/>
      <c r="Y2" s="1608"/>
      <c r="Z2" s="1608"/>
      <c r="AA2" s="1608"/>
      <c r="AB2" s="1608"/>
      <c r="AC2" s="1609"/>
      <c r="AD2" s="1610"/>
      <c r="AE2" s="1610"/>
      <c r="AF2" s="1610"/>
      <c r="AG2" s="1610"/>
      <c r="AH2" s="1610"/>
      <c r="AI2" s="1610"/>
      <c r="AJ2" s="1611"/>
    </row>
    <row r="3" spans="1:36" ht="15.75">
      <c r="A3" s="247" t="s">
        <v>2822</v>
      </c>
      <c r="B3" s="248">
        <f ca="1">ROUND(B2*10000/D1,0)</f>
        <v>26261</v>
      </c>
      <c r="C3" s="2726" t="s">
        <v>2823</v>
      </c>
      <c r="D3" s="2727" t="s">
        <v>2824</v>
      </c>
      <c r="E3" s="2732" t="s">
        <v>3191</v>
      </c>
      <c r="F3" s="2733" t="s">
        <v>3099</v>
      </c>
      <c r="G3" s="915">
        <f>IF(F3="宗地容积率",'数据-汇总表'!I4,IF(F3="估价对象容积率",'数据-汇总表'!I6,'数据-汇总表'!I7))</f>
        <v>7.12</v>
      </c>
      <c r="H3" s="198" t="s">
        <v>2825</v>
      </c>
      <c r="I3" s="946"/>
      <c r="J3" s="2730" t="s">
        <v>2826</v>
      </c>
      <c r="K3" s="1372"/>
      <c r="L3" s="2731" t="s">
        <v>2827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42273</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321"/>
      <c r="B4" s="3322"/>
      <c r="C4" s="3322"/>
      <c r="D4" s="3323"/>
      <c r="E4" s="3323"/>
      <c r="F4" s="3323"/>
      <c r="G4" s="3323"/>
      <c r="H4" s="3323"/>
      <c r="I4" s="3323"/>
      <c r="J4" s="3324"/>
      <c r="K4" s="1372"/>
      <c r="L4" s="2731" t="s">
        <v>2828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34520</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2829</v>
      </c>
      <c r="C5" s="916">
        <f>ROUND(IF(E2="商业",IF(F16="增加",C6*C7+C16,C6*C7-C16),IF(E2="住宅",IF(F16="增加",C6*C12+C16,C6*C12-C16),IF(F16="增加",C6+C16,C6-C16))),0)</f>
        <v>30873</v>
      </c>
      <c r="D5" s="1789">
        <f>ROUND(IF(E2="商业",IF(F16="增加",C6+C16,C6-C16)),0)</f>
        <v>30873</v>
      </c>
      <c r="E5" s="2736"/>
      <c r="F5" s="2736"/>
      <c r="G5" s="2737"/>
      <c r="H5" s="2737"/>
      <c r="I5" s="2737"/>
      <c r="J5" s="2738"/>
      <c r="K5" s="2739"/>
      <c r="L5" s="2731" t="s">
        <v>2830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28648</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2831</v>
      </c>
      <c r="B6" s="2745" t="s">
        <v>2832</v>
      </c>
      <c r="C6" s="917">
        <f>SUMIF(L1:L12,G2,M1:M12)</f>
        <v>30890</v>
      </c>
      <c r="D6" s="2746" t="s">
        <v>2833</v>
      </c>
      <c r="E6" s="2747"/>
      <c r="F6" s="2747"/>
      <c r="G6" s="2748"/>
      <c r="H6" s="2748"/>
      <c r="I6" s="2748"/>
      <c r="J6" s="2749"/>
      <c r="K6" s="1844"/>
      <c r="L6" s="2731" t="s">
        <v>2834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25061</v>
      </c>
      <c r="U6" s="1605"/>
      <c r="V6" s="1604">
        <f t="shared" ca="1" si="1"/>
        <v>0</v>
      </c>
      <c r="W6" s="1608"/>
      <c r="X6" s="1608"/>
      <c r="Y6" s="1608"/>
      <c r="Z6" s="1608"/>
      <c r="AA6" s="1608"/>
      <c r="AB6" s="1608"/>
      <c r="AC6" s="2740"/>
      <c r="AD6" s="2741"/>
      <c r="AE6" s="2741"/>
      <c r="AF6" s="2741"/>
      <c r="AG6" s="2741"/>
      <c r="AH6" s="2741"/>
      <c r="AI6" s="2741"/>
      <c r="AJ6" s="2742"/>
    </row>
    <row r="7" spans="1:36" ht="24">
      <c r="A7" s="3325" t="str">
        <f>IF(E2="商业",IF(C8="不临58条商业街","",2),"")</f>
        <v/>
      </c>
      <c r="B7" s="2750" t="s">
        <v>2835</v>
      </c>
      <c r="C7" s="918">
        <f>IF(C8="不临58条商业街",1,ROUND(1+(1.6*E8+1.2*E9+0.8*E10+0.4*E11)*C9,4))</f>
        <v>1</v>
      </c>
      <c r="D7" s="2751" t="s">
        <v>2836</v>
      </c>
      <c r="E7" s="947"/>
      <c r="F7" s="2752"/>
      <c r="G7" s="2753"/>
      <c r="H7" s="2753"/>
      <c r="I7" s="2753"/>
      <c r="J7" s="2754"/>
      <c r="K7" s="1844"/>
      <c r="L7" s="2731" t="s">
        <v>2837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22652</v>
      </c>
      <c r="U7" s="1605"/>
      <c r="V7" s="1604">
        <f t="shared" ca="1" si="1"/>
        <v>0</v>
      </c>
      <c r="W7" s="1818" t="s">
        <v>2838</v>
      </c>
      <c r="X7" s="1606" t="str">
        <f>G2</f>
        <v>一级</v>
      </c>
      <c r="Y7" s="1606" t="s">
        <v>2839</v>
      </c>
      <c r="Z7" s="1607">
        <f>G3</f>
        <v>7.12</v>
      </c>
      <c r="AA7" s="1608"/>
      <c r="AB7" s="1608"/>
      <c r="AC7" s="1609"/>
      <c r="AD7" s="1610"/>
      <c r="AE7" s="1610"/>
      <c r="AF7" s="1610"/>
      <c r="AG7" s="1610"/>
      <c r="AH7" s="1610"/>
      <c r="AI7" s="1610"/>
      <c r="AJ7" s="1611"/>
    </row>
    <row r="8" spans="1:36" ht="25.5">
      <c r="A8" s="3326"/>
      <c r="B8" s="198" t="s">
        <v>2840</v>
      </c>
      <c r="C8" s="2755" t="s">
        <v>3091</v>
      </c>
      <c r="D8" s="919" t="s">
        <v>139</v>
      </c>
      <c r="E8" s="920" t="e">
        <f>ROUND(C11/E7,4)</f>
        <v>#DIV/0!</v>
      </c>
      <c r="F8" s="2756" t="s">
        <v>2841</v>
      </c>
      <c r="G8" s="2757"/>
      <c r="H8" s="2757"/>
      <c r="I8" s="2757"/>
      <c r="J8" s="2758"/>
      <c r="K8" s="1372"/>
      <c r="L8" s="2731" t="s">
        <v>2842</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318" t="s">
        <v>2843</v>
      </c>
      <c r="X8" s="3319"/>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326"/>
      <c r="B9" s="198" t="s">
        <v>2856</v>
      </c>
      <c r="C9" s="921">
        <f>SUMIF(修正!C59:C119,C8,修正!E59:E119)</f>
        <v>0</v>
      </c>
      <c r="D9" s="200" t="s">
        <v>140</v>
      </c>
      <c r="E9" s="200" t="e">
        <f>ROUND(C11/E7,4)</f>
        <v>#DIV/0!</v>
      </c>
      <c r="F9" s="2756" t="s">
        <v>2857</v>
      </c>
      <c r="G9" s="2757"/>
      <c r="H9" s="2757"/>
      <c r="I9" s="2757"/>
      <c r="J9" s="2758"/>
      <c r="K9" s="1372"/>
      <c r="L9" s="2731" t="s">
        <v>2858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320" t="s">
        <v>2859</v>
      </c>
      <c r="X9" s="1613" t="s">
        <v>2860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6"/>
      <c r="B10" s="198" t="s">
        <v>2861</v>
      </c>
      <c r="C10" s="200">
        <f>SUMIF(修正!C59:C119,C8,修正!F59:F119)</f>
        <v>0</v>
      </c>
      <c r="D10" s="200" t="s">
        <v>141</v>
      </c>
      <c r="E10" s="200" t="e">
        <f>ROUND(C11/E7,4)</f>
        <v>#DIV/0!</v>
      </c>
      <c r="F10" s="2756" t="s">
        <v>2862</v>
      </c>
      <c r="G10" s="2757"/>
      <c r="H10" s="2757"/>
      <c r="I10" s="2757"/>
      <c r="J10" s="2758"/>
      <c r="K10" s="1372"/>
      <c r="L10" s="2731" t="s">
        <v>2863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32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6"/>
      <c r="B11" s="2759" t="s">
        <v>2864</v>
      </c>
      <c r="C11" s="922">
        <f>C10/4</f>
        <v>0</v>
      </c>
      <c r="D11" s="922" t="s">
        <v>142</v>
      </c>
      <c r="E11" s="922" t="e">
        <f>ROUND(C11/E7,4)</f>
        <v>#DIV/0!</v>
      </c>
      <c r="F11" s="2760" t="s">
        <v>2865</v>
      </c>
      <c r="G11" s="2761"/>
      <c r="H11" s="2761"/>
      <c r="I11" s="2761"/>
      <c r="J11" s="2762"/>
      <c r="K11" s="1372"/>
      <c r="L11" s="2731" t="s">
        <v>2866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320" t="s">
        <v>2867</v>
      </c>
      <c r="X11" s="1616" t="s">
        <v>2868</v>
      </c>
      <c r="Y11" s="1617">
        <f>$G$3</f>
        <v>7.12</v>
      </c>
      <c r="Z11" s="1617">
        <f t="shared" ref="Z11:AJ11" si="3">$G$3</f>
        <v>7.12</v>
      </c>
      <c r="AA11" s="1617">
        <f t="shared" si="3"/>
        <v>7.12</v>
      </c>
      <c r="AB11" s="1617">
        <f t="shared" si="3"/>
        <v>7.12</v>
      </c>
      <c r="AC11" s="1617">
        <f t="shared" si="3"/>
        <v>7.12</v>
      </c>
      <c r="AD11" s="1617">
        <f t="shared" si="3"/>
        <v>7.12</v>
      </c>
      <c r="AE11" s="1617">
        <f t="shared" si="3"/>
        <v>7.12</v>
      </c>
      <c r="AF11" s="1617">
        <f t="shared" si="3"/>
        <v>7.12</v>
      </c>
      <c r="AG11" s="1617">
        <f t="shared" si="3"/>
        <v>7.12</v>
      </c>
      <c r="AH11" s="1617">
        <f t="shared" si="3"/>
        <v>7.12</v>
      </c>
      <c r="AI11" s="1617">
        <f t="shared" si="3"/>
        <v>7.12</v>
      </c>
      <c r="AJ11" s="1617">
        <f t="shared" si="3"/>
        <v>7.12</v>
      </c>
    </row>
    <row r="12" spans="1:36" ht="25.5" thickBot="1">
      <c r="A12" s="3325" t="s">
        <v>2869</v>
      </c>
      <c r="B12" s="2763" t="s">
        <v>2870</v>
      </c>
      <c r="C12" s="918">
        <f>ROUND(C15*D15*E15*F15*G15*H15*I15*J15,4)</f>
        <v>1.21</v>
      </c>
      <c r="D12" s="2764" t="s">
        <v>2871</v>
      </c>
      <c r="E12" s="2765"/>
      <c r="F12" s="2765"/>
      <c r="G12" s="2766"/>
      <c r="H12" s="2766"/>
      <c r="I12" s="2766"/>
      <c r="J12" s="2767"/>
      <c r="K12" s="1372"/>
      <c r="L12" s="2768" t="s">
        <v>2872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320"/>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7"/>
      <c r="B13" s="2769" t="s">
        <v>2874</v>
      </c>
      <c r="C13" s="2770" t="s">
        <v>2875</v>
      </c>
      <c r="D13" s="1810" t="s">
        <v>2876</v>
      </c>
      <c r="E13" s="1810" t="s">
        <v>2877</v>
      </c>
      <c r="F13" s="30" t="s">
        <v>2878</v>
      </c>
      <c r="G13" s="2771" t="s">
        <v>2879</v>
      </c>
      <c r="H13" s="2771" t="s">
        <v>2879</v>
      </c>
      <c r="I13" s="2771" t="s">
        <v>2879</v>
      </c>
      <c r="J13" s="2772" t="s">
        <v>2879</v>
      </c>
      <c r="K13" s="1372"/>
      <c r="L13" s="1372"/>
      <c r="M13" s="1372"/>
      <c r="N13" s="1372"/>
      <c r="O13" s="1372"/>
      <c r="P13" s="1372"/>
      <c r="Q13" s="1372"/>
      <c r="R13" s="1604">
        <v>12</v>
      </c>
      <c r="S13" s="1605"/>
      <c r="T13" s="1604">
        <f t="shared" ca="1" si="0"/>
        <v>0</v>
      </c>
      <c r="U13" s="1605"/>
      <c r="V13" s="1604">
        <f t="shared" ca="1" si="1"/>
        <v>0</v>
      </c>
      <c r="W13" s="3320"/>
      <c r="X13" s="1618"/>
      <c r="Y13" s="1615">
        <f>(-0.163*(Y12^2)-0.59*Y12+7617)*(10^(-4))/Y11</f>
        <v>0.10698033707865169</v>
      </c>
      <c r="Z13" s="1615">
        <f t="shared" ref="Z13:AJ13" si="5">(-0.163*(Z12^2)-0.59*Z12+7617)*(10^(-4))/Z11</f>
        <v>0.10698033707865169</v>
      </c>
      <c r="AA13" s="1615">
        <f t="shared" si="5"/>
        <v>0.10698033707865169</v>
      </c>
      <c r="AB13" s="1615">
        <f t="shared" si="5"/>
        <v>0.10698033707865169</v>
      </c>
      <c r="AC13" s="1615">
        <f t="shared" si="5"/>
        <v>0.10698033707865169</v>
      </c>
      <c r="AD13" s="1615">
        <f t="shared" si="5"/>
        <v>0.10698033707865169</v>
      </c>
      <c r="AE13" s="1615">
        <f t="shared" si="5"/>
        <v>0.10698033707865169</v>
      </c>
      <c r="AF13" s="1615">
        <f t="shared" si="5"/>
        <v>0.10698033707865169</v>
      </c>
      <c r="AG13" s="1615">
        <f t="shared" si="5"/>
        <v>0.10698033707865169</v>
      </c>
      <c r="AH13" s="1615">
        <f t="shared" si="5"/>
        <v>0.10698033707865169</v>
      </c>
      <c r="AI13" s="1615">
        <f t="shared" si="5"/>
        <v>0.10698033707865169</v>
      </c>
      <c r="AJ13" s="1615">
        <f t="shared" si="5"/>
        <v>0.10698033707865169</v>
      </c>
    </row>
    <row r="14" spans="1:36" ht="15">
      <c r="A14" s="3327"/>
      <c r="B14" s="2773"/>
      <c r="C14" s="2774" t="s">
        <v>3092</v>
      </c>
      <c r="D14" s="2775" t="s">
        <v>3093</v>
      </c>
      <c r="E14" s="2775" t="s">
        <v>3093</v>
      </c>
      <c r="F14" s="2776" t="s">
        <v>3094</v>
      </c>
      <c r="G14" s="2777" t="s">
        <v>2880</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328"/>
      <c r="B15" s="2781" t="s">
        <v>2881</v>
      </c>
      <c r="C15" s="229">
        <f>IF(C14="有",1.1,1)</f>
        <v>1.1000000000000001</v>
      </c>
      <c r="D15" s="229">
        <f>IF(D14="有",1.1,1)</f>
        <v>1</v>
      </c>
      <c r="E15" s="229">
        <f>IF(E14="有",1.1,1)</f>
        <v>1</v>
      </c>
      <c r="F15" s="229">
        <f>IF(F14="500米范围内",1.2,IF(F14="500-1000米",1.1,1))</f>
        <v>1.1000000000000001</v>
      </c>
      <c r="G15" s="948">
        <v>1</v>
      </c>
      <c r="H15" s="948">
        <v>1</v>
      </c>
      <c r="I15" s="948">
        <v>1</v>
      </c>
      <c r="J15" s="949">
        <v>1</v>
      </c>
      <c r="K15" s="1372"/>
      <c r="L15" s="2782" t="s">
        <v>2818</v>
      </c>
      <c r="M15" s="919" t="s">
        <v>2882</v>
      </c>
      <c r="N15" s="919" t="s">
        <v>2883</v>
      </c>
      <c r="O15" s="919" t="s">
        <v>2884</v>
      </c>
      <c r="P15" s="2783" t="s">
        <v>2885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325" t="s">
        <v>2886</v>
      </c>
      <c r="B16" s="2750" t="s">
        <v>2887</v>
      </c>
      <c r="C16" s="1803">
        <f>ROUND(SUM(G17:J17)/C17,0)</f>
        <v>17</v>
      </c>
      <c r="D16" s="2784" t="s">
        <v>2888</v>
      </c>
      <c r="E16" s="2785" t="s">
        <v>3095</v>
      </c>
      <c r="F16" s="2786" t="s">
        <v>3096</v>
      </c>
      <c r="G16" s="2787" t="s">
        <v>3097</v>
      </c>
      <c r="H16" s="2787"/>
      <c r="I16" s="2787"/>
      <c r="J16" s="2788"/>
      <c r="K16" s="1372"/>
      <c r="L16" s="2789" t="s">
        <v>2889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326"/>
      <c r="B17" s="2790" t="s">
        <v>2890</v>
      </c>
      <c r="C17" s="923">
        <f>SUMPRODUCT((修正!A2:A5=E2)*(修正!B1:M1=G2)*(修正!B2:M5))</f>
        <v>3.5</v>
      </c>
      <c r="D17" s="2791" t="s">
        <v>2891</v>
      </c>
      <c r="E17" s="922" t="str">
        <f>IF(OR(G2="八级",G2="九级",G2="十级",G2="十一级",G2="十二级"),"五通一平","七通一平")</f>
        <v>七通一平</v>
      </c>
      <c r="F17" s="923" t="s">
        <v>2892</v>
      </c>
      <c r="G17" s="923">
        <f>SUMPRODUCT((七通一平=G16)*(修正!B1:M1=G2)*(修正!B6:M14))</f>
        <v>60</v>
      </c>
      <c r="H17" s="923">
        <f>SUMPRODUCT((七通一平=H16)*(修正!B1:M1=G2)*(修正!B6:M14))</f>
        <v>0</v>
      </c>
      <c r="I17" s="923">
        <f>SUMPRODUCT((七通一平=I16)*(修正!B1:M1=G2)*(修正!B6:M14))</f>
        <v>0</v>
      </c>
      <c r="J17" s="924">
        <f>SUMPRODUCT((七通一平=J16)*(修正!B1:M1=G2)*(修正!B6:M14))</f>
        <v>0</v>
      </c>
      <c r="K17" s="1372"/>
      <c r="L17" s="2792"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2894</v>
      </c>
      <c r="C18" s="925">
        <f>SUMIF(修正!C18:C39,E3,修正!E18:E39)</f>
        <v>0.9</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2895</v>
      </c>
      <c r="C19" s="926">
        <f>ROUND(IF(H19="按公示增长率计算",SUMPRODUCT((地价!A3:A21=YEAR(G19)&amp;"-"&amp;ROUNDUP(MONTH(G19)/3,0))*(地价!X2:AB2=E2)*(地价!X3:AB21)),IF(H19="地价指数",M20/M19,(1+I19)^O19)),4)</f>
        <v>1.2636000000000001</v>
      </c>
      <c r="D19" s="2802" t="s">
        <v>2896</v>
      </c>
      <c r="E19" s="927">
        <v>41640</v>
      </c>
      <c r="F19" s="2802" t="s">
        <v>2897</v>
      </c>
      <c r="G19" s="928">
        <f>'数据-取费表'!B2</f>
        <v>43157</v>
      </c>
      <c r="H19" s="2803" t="s">
        <v>2898</v>
      </c>
      <c r="I19" s="929" t="str">
        <f>IF(H19="季度增幅（自定义）",SUMIF(N21:N24,E2,O21:O24),"")</f>
        <v/>
      </c>
      <c r="J19" s="2800"/>
      <c r="K19" s="1379"/>
      <c r="L19" s="2804" t="s">
        <v>2899</v>
      </c>
      <c r="M19" s="1736">
        <f>ROUND(SUMIF(地价!B2:F2,E2,地价!B21:F21),0)</f>
        <v>258</v>
      </c>
      <c r="N19" s="2805" t="s">
        <v>2900</v>
      </c>
      <c r="O19" s="930">
        <f>ROUNDDOWN(DATEDIF(E19,G19,"M")/3,0)</f>
        <v>16</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2901</v>
      </c>
      <c r="C20" s="931">
        <f ca="1">ROUND(POWER(1+G20,J20-I20)*(POWER(1+G20,I20)-1)/(POWER(1+G20,J20)-1),4)</f>
        <v>0.8115</v>
      </c>
      <c r="D20" s="2811" t="s">
        <v>2902</v>
      </c>
      <c r="E20" s="1770">
        <f ca="1">存贷款利率!D4/100</f>
        <v>4.3499999999999997E-2</v>
      </c>
      <c r="F20" s="2811" t="s">
        <v>2893</v>
      </c>
      <c r="G20" s="936">
        <f ca="1">SUMIF(M15:P15,E2,M17:P17)</f>
        <v>5.3999999999999999E-2</v>
      </c>
      <c r="H20" s="2811" t="s">
        <v>2903</v>
      </c>
      <c r="I20" s="937">
        <f>SUMIF('数据-取费表'!C6:C15,E2,'数据-取费表'!F6:F15)/COUNTIF('数据-取费表'!C6:C15,E2)</f>
        <v>23.7</v>
      </c>
      <c r="J20" s="938">
        <f>IF(E2="住宅",70,IF(E2="商业",40,50))</f>
        <v>40</v>
      </c>
      <c r="K20" s="1379"/>
      <c r="L20" s="2812" t="s">
        <v>2904</v>
      </c>
      <c r="M20" s="1737">
        <f>ROUND(SUMPRODUCT((地价!A4:A21=YEAR(G19)&amp;"-"&amp;ROUNDUP(MONTH(G19)/3,0))*(地价!B2:F2=E2)*(地价!B4:F21)),0)</f>
        <v>326</v>
      </c>
      <c r="N20" s="2813" t="s">
        <v>2905</v>
      </c>
      <c r="O20" s="2814" t="s">
        <v>2906</v>
      </c>
      <c r="P20" s="2815" t="s">
        <v>2907</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3098</v>
      </c>
      <c r="C21" s="939">
        <f>IF(B21="容积率修正",IF(G3&lt;=10,D22,J22),C23)</f>
        <v>0.87629999999999997</v>
      </c>
      <c r="D21" s="2818"/>
      <c r="E21" s="2818"/>
      <c r="F21" s="2818"/>
      <c r="G21" s="2818"/>
      <c r="H21" s="2818"/>
      <c r="I21" s="2818"/>
      <c r="J21" s="2819"/>
      <c r="K21" s="1379"/>
      <c r="N21" s="2820" t="s">
        <v>2908</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3" customFormat="1" ht="14.25">
      <c r="A22" s="2669" t="s">
        <v>2909</v>
      </c>
      <c r="B22" s="2821" t="s">
        <v>2910</v>
      </c>
      <c r="C22" s="1812" t="s">
        <v>2911</v>
      </c>
      <c r="D22" s="1812">
        <f>IF(E22=G22,F22,IF(G3&lt;=10,ROUND(F22+(H22-F22)*(G3-E22)/(G22-E22),4),"——"))</f>
        <v>0.87629999999999997</v>
      </c>
      <c r="E22" s="915">
        <f>ROUNDDOWN(G3,1)</f>
        <v>7.1</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0.87660000000000005</v>
      </c>
      <c r="G22" s="915">
        <f>ROUNDUP(G3,1)</f>
        <v>7.1999999999999993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0.87490000000000001</v>
      </c>
      <c r="I22" s="1812" t="s">
        <v>155</v>
      </c>
      <c r="J22" s="940" t="str">
        <f>IF(G3&gt;10,D113,"——")</f>
        <v>——</v>
      </c>
      <c r="K22" s="1379"/>
      <c r="N22" s="2820" t="s">
        <v>2912</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9" t="s">
        <v>2913</v>
      </c>
      <c r="B23" s="2822" t="s">
        <v>2914</v>
      </c>
      <c r="C23" s="1015">
        <f>ROUND(IF(G3&gt;1,IF(I3&lt;7,SUMPRODUCT((B93:B98=I3)*(C92:N92=G2)*(C93:N98)),SUMIF(C92:N92,G2,C100:N100)),IF(I3&lt;7,SUMPRODUCT((B102:B107=I3)*(C92:N92=G2)*(C102:N107)),SUMIF(C92:N92,G2,C109:N109))),4)</f>
        <v>0</v>
      </c>
      <c r="D23" s="2778"/>
      <c r="E23" s="2778"/>
      <c r="F23" s="2823"/>
      <c r="G23" s="2824"/>
      <c r="H23" s="2825"/>
      <c r="I23" s="2826"/>
      <c r="J23" s="2827"/>
      <c r="K23" s="1372"/>
      <c r="N23" s="2820" t="s">
        <v>2915</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2916</v>
      </c>
      <c r="C24" s="926">
        <f>SUMIF(A45:A88,E2,B45:B88)</f>
        <v>1.0449999999999999</v>
      </c>
      <c r="D24" s="2798"/>
      <c r="E24" s="2828"/>
      <c r="F24" s="2828"/>
      <c r="G24" s="2828"/>
      <c r="H24" s="2828"/>
      <c r="I24" s="2828"/>
      <c r="J24" s="2829"/>
      <c r="K24" s="1379"/>
      <c r="N24" s="2830" t="s">
        <v>2917</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2918</v>
      </c>
      <c r="C25" s="932"/>
      <c r="D25" s="2753"/>
      <c r="E25" s="2753"/>
      <c r="F25" s="2832"/>
      <c r="G25" s="2753"/>
      <c r="H25" s="2753"/>
      <c r="I25" s="2753"/>
      <c r="J25" s="2754"/>
      <c r="K25" s="1372"/>
      <c r="N25" s="2833" t="s">
        <v>2919</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4"/>
      <c r="B26" s="2821" t="s">
        <v>2920</v>
      </c>
      <c r="C26" s="206">
        <f ca="1">E29+SUM(E33:E39)</f>
        <v>23891</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2921</v>
      </c>
      <c r="C27" s="933" t="e">
        <f ca="1">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2922</v>
      </c>
      <c r="C28" s="2845" t="s">
        <v>2923</v>
      </c>
      <c r="D28" s="2845" t="s">
        <v>2924</v>
      </c>
      <c r="E28" s="2846" t="s">
        <v>2925</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2926</v>
      </c>
      <c r="C29" s="206">
        <f ca="1">ROUND(C5*C18*C19*C20*C21*C24,0)</f>
        <v>26091</v>
      </c>
      <c r="D29" s="2850">
        <f>'数据-基础表'!K14</f>
        <v>4967.6099999999997</v>
      </c>
      <c r="E29" s="944">
        <f ca="1">ROUND(C29*D29/10000,0)</f>
        <v>12961</v>
      </c>
      <c r="F29" s="2851" t="s">
        <v>2927</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2928</v>
      </c>
      <c r="C30" s="229">
        <f ca="1">ROUND(IF(E2="工业",C29*M39,C29*M38),0)</f>
        <v>6523</v>
      </c>
      <c r="D30" s="2856"/>
      <c r="E30" s="944">
        <f ca="1">ROUND(C30*D30/10000,0)</f>
        <v>0</v>
      </c>
      <c r="F30" s="2857" t="s">
        <v>2929</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2930</v>
      </c>
      <c r="C31" s="2862" t="s">
        <v>2931</v>
      </c>
      <c r="D31" s="2766"/>
      <c r="E31" s="2862"/>
      <c r="F31" s="2862"/>
      <c r="G31" s="2764" t="s">
        <v>2932</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2923</v>
      </c>
      <c r="D32" s="498" t="s">
        <v>2924</v>
      </c>
      <c r="E32" s="498" t="s">
        <v>2925</v>
      </c>
      <c r="F32" s="388" t="s">
        <v>2933</v>
      </c>
      <c r="G32" s="2865" t="s">
        <v>2923</v>
      </c>
      <c r="H32" s="2865" t="s">
        <v>2924</v>
      </c>
      <c r="I32" s="2865" t="s">
        <v>2925</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335" t="s">
        <v>2934</v>
      </c>
      <c r="B33" s="2866" t="s">
        <v>2935</v>
      </c>
      <c r="C33" s="206">
        <f ca="1">ROUND(D5*C19*C20*C24*F33,0)</f>
        <v>26466</v>
      </c>
      <c r="D33" s="2850">
        <f>'数据-基础表'!M15</f>
        <v>4129.8999999999996</v>
      </c>
      <c r="E33" s="200">
        <f ca="1">ROUND(C33*D33/10000,0)</f>
        <v>10930</v>
      </c>
      <c r="F33" s="200">
        <f>SUMIF(修正!A45:A56,G2,修正!B45:B56)</f>
        <v>0.8</v>
      </c>
      <c r="G33" s="200">
        <f t="shared" ref="G33:G39" ca="1" si="6">ROUND(IF(E2="工业",C33*$M$39,C33*$M$38),0)</f>
        <v>6617</v>
      </c>
      <c r="H33" s="200">
        <f>D33</f>
        <v>4129.8999999999996</v>
      </c>
      <c r="I33" s="200">
        <f ca="1">ROUND(G33*H33/10000,0)</f>
        <v>2733</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36"/>
      <c r="B34" s="2770" t="s">
        <v>2936</v>
      </c>
      <c r="C34" s="206">
        <f ca="1">ROUND(D5*C19*C20*C24*F34,0)</f>
        <v>16541</v>
      </c>
      <c r="D34" s="2850"/>
      <c r="E34" s="200">
        <f t="shared" ref="E34:E39" ca="1" si="7">ROUND(C34*D34/10000,0)</f>
        <v>0</v>
      </c>
      <c r="F34" s="200">
        <f>SUMIF(修正!A45:A56,G2,修正!C45:C56)</f>
        <v>0.5</v>
      </c>
      <c r="G34" s="200">
        <f t="shared" ca="1" si="6"/>
        <v>4135</v>
      </c>
      <c r="H34" s="200">
        <f t="shared" ref="H34:H39" si="8">D34</f>
        <v>0</v>
      </c>
      <c r="I34" s="200">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36"/>
      <c r="B35" s="2770" t="s">
        <v>2937</v>
      </c>
      <c r="C35" s="206">
        <f ca="1">ROUND(D5*C19*C20*C24*F35,0)</f>
        <v>11910</v>
      </c>
      <c r="D35" s="2850"/>
      <c r="E35" s="200">
        <f t="shared" ca="1" si="7"/>
        <v>0</v>
      </c>
      <c r="F35" s="200">
        <f>SUMIF(修正!A45:A56,G2,修正!D45:D56)</f>
        <v>0.36</v>
      </c>
      <c r="G35" s="200">
        <f t="shared" ca="1" si="6"/>
        <v>2978</v>
      </c>
      <c r="H35" s="200">
        <f t="shared" si="8"/>
        <v>0</v>
      </c>
      <c r="I35" s="200">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337"/>
      <c r="B36" s="2770" t="s">
        <v>2938</v>
      </c>
      <c r="C36" s="206">
        <f ca="1">ROUND(D5*C19*C20*C24*F36,0)</f>
        <v>9925</v>
      </c>
      <c r="D36" s="2850"/>
      <c r="E36" s="200">
        <f t="shared" ca="1" si="7"/>
        <v>0</v>
      </c>
      <c r="F36" s="200">
        <f>SUMIF(修正!A45:A56,G2,修正!E45:E56)</f>
        <v>0.3</v>
      </c>
      <c r="G36" s="200">
        <f t="shared" ca="1" si="6"/>
        <v>2481</v>
      </c>
      <c r="H36" s="200">
        <f t="shared" si="8"/>
        <v>0</v>
      </c>
      <c r="I36" s="200">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2939</v>
      </c>
      <c r="C37" s="200">
        <f ca="1">ROUND(C5*C19*C20*C24*F37,0)</f>
        <v>9925</v>
      </c>
      <c r="D37" s="2850"/>
      <c r="E37" s="200">
        <f t="shared" ca="1" si="7"/>
        <v>0</v>
      </c>
      <c r="F37" s="206">
        <f>SUMIF(修正!A45:A56,G2,修正!F45:F56)</f>
        <v>0.3</v>
      </c>
      <c r="G37" s="200">
        <f t="shared" ca="1" si="6"/>
        <v>2481</v>
      </c>
      <c r="H37" s="200">
        <f t="shared" si="8"/>
        <v>0</v>
      </c>
      <c r="I37" s="200">
        <f t="shared" ca="1" si="9"/>
        <v>0</v>
      </c>
      <c r="J37" s="2867"/>
      <c r="K37" s="1372"/>
      <c r="L37" s="2869" t="s">
        <v>2940</v>
      </c>
      <c r="M37" s="2870"/>
      <c r="N37" s="1372"/>
      <c r="O37" s="1372"/>
      <c r="P37" s="1372"/>
      <c r="Q37" s="1372"/>
      <c r="R37" s="1372"/>
      <c r="S37" s="1372"/>
      <c r="T37" s="1372"/>
      <c r="U37" s="1372"/>
      <c r="V37" s="1372"/>
      <c r="W37" s="1372"/>
      <c r="X37" s="1372"/>
      <c r="Y37" s="1372"/>
      <c r="Z37" s="1373"/>
    </row>
    <row r="38" spans="1:37">
      <c r="A38" s="2868"/>
      <c r="B38" s="2770" t="s">
        <v>2941</v>
      </c>
      <c r="C38" s="200">
        <f ca="1">ROUND(C5*C19*C20*C24*F38,0)</f>
        <v>9925</v>
      </c>
      <c r="D38" s="2850"/>
      <c r="E38" s="200">
        <f t="shared" ca="1" si="7"/>
        <v>0</v>
      </c>
      <c r="F38" s="206">
        <f>SUMIF(修正!A45:A56,G2,修正!G45:G56)</f>
        <v>0.3</v>
      </c>
      <c r="G38" s="200">
        <f t="shared" ca="1" si="6"/>
        <v>2481</v>
      </c>
      <c r="H38" s="200">
        <f t="shared" si="8"/>
        <v>0</v>
      </c>
      <c r="I38" s="200">
        <f t="shared" ca="1" si="9"/>
        <v>0</v>
      </c>
      <c r="J38" s="2867"/>
      <c r="K38" s="1372"/>
      <c r="L38" s="1889" t="s">
        <v>2942</v>
      </c>
      <c r="M38" s="2871">
        <v>0.25</v>
      </c>
      <c r="N38" s="1372"/>
      <c r="O38" s="1372"/>
      <c r="P38" s="1372"/>
      <c r="Q38" s="1372"/>
      <c r="R38" s="1372"/>
      <c r="S38" s="1372"/>
      <c r="T38" s="1372"/>
      <c r="U38" s="1372"/>
      <c r="V38" s="1372"/>
      <c r="W38" s="1372"/>
      <c r="X38" s="1372"/>
      <c r="Y38" s="1372"/>
      <c r="Z38" s="1373"/>
    </row>
    <row r="39" spans="1:37" ht="13.5" thickBot="1">
      <c r="A39" s="2854"/>
      <c r="B39" s="2872" t="s">
        <v>2943</v>
      </c>
      <c r="C39" s="229">
        <f ca="1">ROUND(C5*C19*C20*C24*F39,0)</f>
        <v>8271</v>
      </c>
      <c r="D39" s="2856"/>
      <c r="E39" s="229">
        <f t="shared" ca="1" si="7"/>
        <v>0</v>
      </c>
      <c r="F39" s="934">
        <f>SUMIF(修正!A45:A56,G2,修正!H45:H56)</f>
        <v>0.25</v>
      </c>
      <c r="G39" s="229" t="e">
        <f t="shared" si="6"/>
        <v>#DIV/0!</v>
      </c>
      <c r="H39" s="229">
        <f t="shared" si="8"/>
        <v>0</v>
      </c>
      <c r="I39" s="229" t="e">
        <f t="shared" si="9"/>
        <v>#DIV/0!</v>
      </c>
      <c r="J39" s="2873"/>
      <c r="K39" s="1372"/>
      <c r="L39" s="2874" t="s">
        <v>2885</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2944</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2945</v>
      </c>
      <c r="B46" s="2880">
        <f>1+E48</f>
        <v>1.0449999999999999</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2946</v>
      </c>
      <c r="B47" s="1811" t="s">
        <v>2947</v>
      </c>
      <c r="C47" s="1811" t="s">
        <v>2948</v>
      </c>
      <c r="D47" s="1811" t="s">
        <v>2949</v>
      </c>
      <c r="E47" s="818" t="s">
        <v>2950</v>
      </c>
      <c r="F47" s="2884" t="s">
        <v>2951</v>
      </c>
      <c r="G47" s="1811" t="s">
        <v>754</v>
      </c>
      <c r="H47" s="2885" t="s">
        <v>2952</v>
      </c>
      <c r="I47" s="1811" t="s">
        <v>2953</v>
      </c>
      <c r="J47" s="603" t="s">
        <v>2601</v>
      </c>
      <c r="K47" s="603" t="s">
        <v>2602</v>
      </c>
      <c r="L47" s="603" t="s">
        <v>2603</v>
      </c>
      <c r="M47" s="603" t="s">
        <v>2604</v>
      </c>
      <c r="N47" s="603" t="s">
        <v>2605</v>
      </c>
      <c r="AA47" s="1373"/>
      <c r="AB47" s="1373"/>
      <c r="AC47" s="1373"/>
      <c r="AD47" s="1373"/>
      <c r="AE47" s="1373"/>
      <c r="AF47" s="1373"/>
      <c r="AG47" s="1373"/>
      <c r="AH47" s="1373"/>
      <c r="AI47" s="1373"/>
      <c r="AJ47" s="1373"/>
      <c r="AK47" s="1373"/>
    </row>
    <row r="48" spans="1:37" s="1372" customFormat="1" ht="38.25">
      <c r="A48" s="2883" t="s">
        <v>2954</v>
      </c>
      <c r="B48" s="2886" t="str">
        <f>估价对象房地状况!C4</f>
        <v>估价对象位于XX商圈，周边商业氛围成熟，人流量大，商业繁华度较好</v>
      </c>
      <c r="C48" s="2775" t="s">
        <v>3100</v>
      </c>
      <c r="D48" s="1288">
        <f t="shared" ref="D48:D56" si="10">SUMIF($J$47:$N$47,C48,J48:N48)</f>
        <v>1.6299999999999999E-2</v>
      </c>
      <c r="E48" s="820">
        <f>ROUND(SUM(D48:D56),4)</f>
        <v>4.4999999999999998E-2</v>
      </c>
      <c r="F48" s="2506">
        <f>IF(E2="商业",SUMIF(L1:L12,G2,N1:N12),"——")</f>
        <v>9.9000000000000005E-2</v>
      </c>
      <c r="G48" s="1286">
        <v>1.6299999999999999E-2</v>
      </c>
      <c r="H48" s="1290">
        <f t="shared" ref="H48:H56" si="11">IFERROR(ROUNDDOWN($F$48*I48/2,4),"——")</f>
        <v>1.6299999999999999E-2</v>
      </c>
      <c r="I48" s="819">
        <v>0.33</v>
      </c>
      <c r="J48" s="1287">
        <f t="shared" ref="J48:J56" si="12">K48+$G48</f>
        <v>3.2599999999999997E-2</v>
      </c>
      <c r="K48" s="1287">
        <f t="shared" ref="K48:K56" si="13">$L48+$G48</f>
        <v>1.6299999999999999E-2</v>
      </c>
      <c r="L48" s="1287">
        <v>0</v>
      </c>
      <c r="M48" s="1287">
        <f t="shared" ref="M48:N56" si="14">L48-$G48</f>
        <v>-1.6299999999999999E-2</v>
      </c>
      <c r="N48" s="1287">
        <f t="shared" si="14"/>
        <v>-3.2599999999999997E-2</v>
      </c>
      <c r="AA48" s="1373"/>
      <c r="AB48" s="1373"/>
      <c r="AC48" s="1373"/>
      <c r="AD48" s="1373"/>
      <c r="AE48" s="1373"/>
      <c r="AF48" s="1373"/>
      <c r="AG48" s="1373"/>
      <c r="AH48" s="1373"/>
      <c r="AI48" s="1373"/>
      <c r="AJ48" s="1373"/>
      <c r="AK48" s="1373"/>
    </row>
    <row r="49" spans="1:37" s="1372" customFormat="1" ht="51">
      <c r="A49" s="2883" t="s">
        <v>2955</v>
      </c>
      <c r="B49" s="2887" t="str">
        <f>估价对象房地状况!C18</f>
        <v>估价对象周边道路状况、公共交通通达情况、停车便捷程度，综合评价交通便捷度较好</v>
      </c>
      <c r="C49" s="2775" t="s">
        <v>3100</v>
      </c>
      <c r="D49" s="1288">
        <f t="shared" si="10"/>
        <v>1.23E-2</v>
      </c>
      <c r="E49" s="821"/>
      <c r="F49" s="2506"/>
      <c r="G49" s="1286">
        <v>1.23E-2</v>
      </c>
      <c r="H49" s="1290">
        <f t="shared" si="11"/>
        <v>1.23E-2</v>
      </c>
      <c r="I49" s="819">
        <v>0.25</v>
      </c>
      <c r="J49" s="1287">
        <f t="shared" si="12"/>
        <v>2.46E-2</v>
      </c>
      <c r="K49" s="1287">
        <f t="shared" si="13"/>
        <v>1.23E-2</v>
      </c>
      <c r="L49" s="1287">
        <v>0</v>
      </c>
      <c r="M49" s="1287">
        <f t="shared" si="14"/>
        <v>-1.23E-2</v>
      </c>
      <c r="N49" s="1287">
        <f t="shared" si="14"/>
        <v>-2.46E-2</v>
      </c>
      <c r="AA49" s="1373"/>
      <c r="AB49" s="1373"/>
      <c r="AC49" s="1373"/>
      <c r="AD49" s="1373"/>
      <c r="AE49" s="1373"/>
      <c r="AF49" s="1373"/>
      <c r="AG49" s="1373"/>
      <c r="AH49" s="1373"/>
      <c r="AI49" s="1373"/>
      <c r="AJ49" s="1373"/>
      <c r="AK49" s="1373"/>
    </row>
    <row r="50" spans="1:37" s="1372" customFormat="1" ht="24">
      <c r="A50" s="2883" t="s">
        <v>2956</v>
      </c>
      <c r="B50" s="2887">
        <f>估价对象房地状况!C19</f>
        <v>0</v>
      </c>
      <c r="C50" s="2775" t="s">
        <v>3100</v>
      </c>
      <c r="D50" s="1288">
        <f t="shared" si="10"/>
        <v>2.3999999999999998E-3</v>
      </c>
      <c r="E50" s="821"/>
      <c r="F50" s="2506"/>
      <c r="G50" s="1286">
        <v>2.3999999999999998E-3</v>
      </c>
      <c r="H50" s="1290">
        <f t="shared" si="11"/>
        <v>2.3999999999999998E-3</v>
      </c>
      <c r="I50" s="819">
        <v>0.05</v>
      </c>
      <c r="J50" s="1287">
        <f t="shared" si="12"/>
        <v>4.7999999999999996E-3</v>
      </c>
      <c r="K50" s="1287">
        <f t="shared" si="13"/>
        <v>2.3999999999999998E-3</v>
      </c>
      <c r="L50" s="1287">
        <v>0</v>
      </c>
      <c r="M50" s="1287">
        <f t="shared" si="14"/>
        <v>-2.3999999999999998E-3</v>
      </c>
      <c r="N50" s="1287">
        <f t="shared" si="14"/>
        <v>-4.7999999999999996E-3</v>
      </c>
      <c r="AA50" s="1373"/>
      <c r="AB50" s="1373"/>
      <c r="AC50" s="1373"/>
      <c r="AD50" s="1373"/>
      <c r="AE50" s="1373"/>
      <c r="AF50" s="1373"/>
      <c r="AG50" s="1373"/>
      <c r="AH50" s="1373"/>
      <c r="AI50" s="1373"/>
      <c r="AJ50" s="1373"/>
      <c r="AK50" s="1373"/>
    </row>
    <row r="51" spans="1:37" s="1372" customFormat="1" ht="36.75">
      <c r="A51" s="2883" t="s">
        <v>2957</v>
      </c>
      <c r="B51" s="2888" t="s">
        <v>2958</v>
      </c>
      <c r="C51" s="2775" t="s">
        <v>3100</v>
      </c>
      <c r="D51" s="1288">
        <f t="shared" si="10"/>
        <v>2.3999999999999998E-3</v>
      </c>
      <c r="E51" s="821"/>
      <c r="F51" s="2506"/>
      <c r="G51" s="1286">
        <v>2.3999999999999998E-3</v>
      </c>
      <c r="H51" s="1290">
        <f t="shared" si="11"/>
        <v>2.3999999999999998E-3</v>
      </c>
      <c r="I51" s="819">
        <v>0.05</v>
      </c>
      <c r="J51" s="1287">
        <f t="shared" si="12"/>
        <v>4.7999999999999996E-3</v>
      </c>
      <c r="K51" s="1287">
        <f t="shared" si="13"/>
        <v>2.3999999999999998E-3</v>
      </c>
      <c r="L51" s="1287">
        <v>0</v>
      </c>
      <c r="M51" s="1287">
        <f t="shared" si="14"/>
        <v>-2.3999999999999998E-3</v>
      </c>
      <c r="N51" s="1287">
        <f t="shared" si="14"/>
        <v>-4.7999999999999996E-3</v>
      </c>
      <c r="AA51" s="1373"/>
      <c r="AB51" s="1373"/>
      <c r="AC51" s="1373"/>
      <c r="AD51" s="1373"/>
      <c r="AE51" s="1373"/>
      <c r="AF51" s="1373"/>
      <c r="AG51" s="1373"/>
      <c r="AH51" s="1373"/>
      <c r="AI51" s="1373"/>
      <c r="AJ51" s="1373"/>
      <c r="AK51" s="1373"/>
    </row>
    <row r="52" spans="1:37" s="1372" customFormat="1" ht="24">
      <c r="A52" s="2883" t="s">
        <v>2959</v>
      </c>
      <c r="B52" s="2887">
        <f>估价对象房地状况!C24</f>
        <v>0</v>
      </c>
      <c r="C52" s="2775" t="s">
        <v>3101</v>
      </c>
      <c r="D52" s="1288">
        <f t="shared" si="10"/>
        <v>0</v>
      </c>
      <c r="E52" s="821"/>
      <c r="F52" s="2506"/>
      <c r="G52" s="1286">
        <v>3.8999999999999998E-3</v>
      </c>
      <c r="H52" s="1290">
        <f t="shared" si="11"/>
        <v>3.8999999999999998E-3</v>
      </c>
      <c r="I52" s="819">
        <v>0.08</v>
      </c>
      <c r="J52" s="1287">
        <f t="shared" si="12"/>
        <v>7.7999999999999996E-3</v>
      </c>
      <c r="K52" s="1287">
        <f t="shared" si="13"/>
        <v>3.8999999999999998E-3</v>
      </c>
      <c r="L52" s="1287">
        <v>0</v>
      </c>
      <c r="M52" s="1287">
        <f t="shared" si="14"/>
        <v>-3.8999999999999998E-3</v>
      </c>
      <c r="N52" s="1287">
        <f t="shared" si="14"/>
        <v>-7.7999999999999996E-3</v>
      </c>
      <c r="AA52" s="1373"/>
      <c r="AB52" s="1373"/>
      <c r="AC52" s="1373"/>
      <c r="AD52" s="1373"/>
      <c r="AE52" s="1373"/>
      <c r="AF52" s="1373"/>
      <c r="AG52" s="1373"/>
      <c r="AH52" s="1373"/>
      <c r="AI52" s="1373"/>
      <c r="AJ52" s="1373"/>
      <c r="AK52" s="1373"/>
    </row>
    <row r="53" spans="1:37" s="1372" customFormat="1" ht="24">
      <c r="A53" s="2883" t="s">
        <v>2960</v>
      </c>
      <c r="B53" s="2889" t="s">
        <v>2961</v>
      </c>
      <c r="C53" s="2775" t="s">
        <v>3100</v>
      </c>
      <c r="D53" s="1288">
        <f t="shared" si="10"/>
        <v>1.4E-3</v>
      </c>
      <c r="E53" s="821"/>
      <c r="F53" s="2506"/>
      <c r="G53" s="1286">
        <v>1.4E-3</v>
      </c>
      <c r="H53" s="1290">
        <f t="shared" si="11"/>
        <v>1.4E-3</v>
      </c>
      <c r="I53" s="819">
        <v>0.03</v>
      </c>
      <c r="J53" s="1287">
        <f t="shared" si="12"/>
        <v>2.8E-3</v>
      </c>
      <c r="K53" s="1287">
        <f t="shared" si="13"/>
        <v>1.4E-3</v>
      </c>
      <c r="L53" s="1287">
        <v>0</v>
      </c>
      <c r="M53" s="1287">
        <f t="shared" si="14"/>
        <v>-1.4E-3</v>
      </c>
      <c r="N53" s="1287">
        <f t="shared" si="14"/>
        <v>-2.8E-3</v>
      </c>
      <c r="AA53" s="1373"/>
      <c r="AB53" s="1373"/>
      <c r="AC53" s="1373"/>
      <c r="AD53" s="1373"/>
      <c r="AE53" s="1373"/>
      <c r="AF53" s="1373"/>
      <c r="AG53" s="1373"/>
      <c r="AH53" s="1373"/>
      <c r="AI53" s="1373"/>
      <c r="AJ53" s="1373"/>
      <c r="AK53" s="1373"/>
    </row>
    <row r="54" spans="1:37" s="1372" customFormat="1" ht="25.5">
      <c r="A54" s="2890" t="s">
        <v>2962</v>
      </c>
      <c r="B54" s="1727" t="str">
        <f>估价对象房地状况!C21</f>
        <v>估价对象所在区域公共配套设施齐备</v>
      </c>
      <c r="C54" s="2775" t="s">
        <v>3100</v>
      </c>
      <c r="D54" s="1288">
        <f t="shared" si="10"/>
        <v>2.3999999999999998E-3</v>
      </c>
      <c r="E54" s="821"/>
      <c r="F54" s="2506"/>
      <c r="G54" s="1286">
        <v>2.3999999999999998E-3</v>
      </c>
      <c r="H54" s="1290">
        <f t="shared" si="11"/>
        <v>2.3999999999999998E-3</v>
      </c>
      <c r="I54" s="819">
        <v>0.05</v>
      </c>
      <c r="J54" s="1287">
        <f t="shared" si="12"/>
        <v>4.7999999999999996E-3</v>
      </c>
      <c r="K54" s="1287">
        <f t="shared" si="13"/>
        <v>2.3999999999999998E-3</v>
      </c>
      <c r="L54" s="1287">
        <v>0</v>
      </c>
      <c r="M54" s="1287">
        <f t="shared" si="14"/>
        <v>-2.3999999999999998E-3</v>
      </c>
      <c r="N54" s="1287">
        <f t="shared" si="14"/>
        <v>-4.7999999999999996E-3</v>
      </c>
      <c r="AA54" s="1373"/>
      <c r="AB54" s="1373"/>
      <c r="AC54" s="1373"/>
      <c r="AD54" s="1373"/>
      <c r="AE54" s="1373"/>
      <c r="AF54" s="1373"/>
      <c r="AG54" s="1373"/>
      <c r="AH54" s="1373"/>
      <c r="AI54" s="1373"/>
      <c r="AJ54" s="1373"/>
      <c r="AK54" s="1373"/>
    </row>
    <row r="55" spans="1:37" s="1372" customFormat="1" ht="25.5">
      <c r="A55" s="2890" t="s">
        <v>2963</v>
      </c>
      <c r="B55" s="2887" t="str">
        <f>估价对象房地状况!C22</f>
        <v>估价对象所在区域基础设施水平七通</v>
      </c>
      <c r="C55" s="2775" t="s">
        <v>3100</v>
      </c>
      <c r="D55" s="1288">
        <f t="shared" si="10"/>
        <v>4.8999999999999998E-3</v>
      </c>
      <c r="E55" s="821"/>
      <c r="F55" s="2506"/>
      <c r="G55" s="1286">
        <v>4.8999999999999998E-3</v>
      </c>
      <c r="H55" s="1290">
        <f t="shared" si="11"/>
        <v>4.8999999999999998E-3</v>
      </c>
      <c r="I55" s="819">
        <v>0.1</v>
      </c>
      <c r="J55" s="1287">
        <f t="shared" si="12"/>
        <v>9.7999999999999997E-3</v>
      </c>
      <c r="K55" s="1287">
        <f t="shared" si="13"/>
        <v>4.8999999999999998E-3</v>
      </c>
      <c r="L55" s="1287">
        <v>0</v>
      </c>
      <c r="M55" s="1287">
        <f t="shared" si="14"/>
        <v>-4.8999999999999998E-3</v>
      </c>
      <c r="N55" s="1287">
        <f t="shared" si="14"/>
        <v>-9.7999999999999997E-3</v>
      </c>
      <c r="AA55" s="1373"/>
      <c r="AB55" s="1373"/>
      <c r="AC55" s="1373"/>
      <c r="AD55" s="1373"/>
      <c r="AE55" s="1373"/>
      <c r="AF55" s="1373"/>
      <c r="AG55" s="1373"/>
      <c r="AH55" s="1373"/>
      <c r="AI55" s="1373"/>
      <c r="AJ55" s="1373"/>
      <c r="AK55" s="1373"/>
    </row>
    <row r="56" spans="1:37" s="1372" customFormat="1" ht="39" thickBot="1">
      <c r="A56" s="2891" t="s">
        <v>2964</v>
      </c>
      <c r="B56" s="2892" t="str">
        <f>估价对象房地状况!C20</f>
        <v>区域自然环境：；人文环境；综合评价环境状况较好</v>
      </c>
      <c r="C56" s="2775" t="s">
        <v>3100</v>
      </c>
      <c r="D56" s="1288">
        <f t="shared" si="10"/>
        <v>2.8999999999999998E-3</v>
      </c>
      <c r="E56" s="824"/>
      <c r="F56" s="2506"/>
      <c r="G56" s="1286">
        <v>2.8999999999999998E-3</v>
      </c>
      <c r="H56" s="1290">
        <f t="shared" si="11"/>
        <v>2.8999999999999998E-3</v>
      </c>
      <c r="I56" s="823">
        <v>0.06</v>
      </c>
      <c r="J56" s="1287">
        <f t="shared" si="12"/>
        <v>5.7999999999999996E-3</v>
      </c>
      <c r="K56" s="1287">
        <f t="shared" si="13"/>
        <v>2.8999999999999998E-3</v>
      </c>
      <c r="L56" s="1287">
        <v>0</v>
      </c>
      <c r="M56" s="1287">
        <f t="shared" si="14"/>
        <v>-2.8999999999999998E-3</v>
      </c>
      <c r="N56" s="1287">
        <f t="shared" si="14"/>
        <v>-5.7999999999999996E-3</v>
      </c>
      <c r="AA56" s="1373"/>
      <c r="AB56" s="1373"/>
      <c r="AC56" s="1373"/>
      <c r="AD56" s="1373"/>
      <c r="AE56" s="1373"/>
      <c r="AF56" s="1373"/>
      <c r="AG56" s="1373"/>
      <c r="AH56" s="1373"/>
      <c r="AI56" s="1373"/>
      <c r="AJ56" s="1373"/>
      <c r="AK56" s="1373"/>
    </row>
    <row r="57" spans="1:37" s="1372" customFormat="1" ht="15">
      <c r="A57" s="2879" t="s">
        <v>2965</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2946</v>
      </c>
      <c r="B58" s="1811"/>
      <c r="C58" s="1811" t="s">
        <v>2948</v>
      </c>
      <c r="D58" s="1811" t="s">
        <v>2949</v>
      </c>
      <c r="E58" s="818" t="s">
        <v>2950</v>
      </c>
      <c r="F58" s="2884" t="s">
        <v>2966</v>
      </c>
      <c r="G58" s="1811" t="s">
        <v>754</v>
      </c>
      <c r="H58" s="2885" t="s">
        <v>2952</v>
      </c>
      <c r="I58" s="1811" t="s">
        <v>2953</v>
      </c>
      <c r="J58" s="603" t="s">
        <v>2601</v>
      </c>
      <c r="K58" s="603" t="s">
        <v>2602</v>
      </c>
      <c r="L58" s="603" t="s">
        <v>2603</v>
      </c>
      <c r="M58" s="603" t="s">
        <v>2604</v>
      </c>
      <c r="N58" s="603" t="s">
        <v>2605</v>
      </c>
      <c r="AA58" s="1373"/>
      <c r="AB58" s="1373"/>
      <c r="AC58" s="1373"/>
      <c r="AD58" s="1373"/>
      <c r="AE58" s="1373"/>
      <c r="AF58" s="1373"/>
      <c r="AG58" s="1373"/>
      <c r="AH58" s="1373"/>
      <c r="AI58" s="1373"/>
      <c r="AJ58" s="1373"/>
      <c r="AK58" s="1373"/>
    </row>
    <row r="59" spans="1:37" s="1372" customFormat="1" ht="38.25">
      <c r="A59" s="2883" t="s">
        <v>2967</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2955</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2956</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2957</v>
      </c>
      <c r="B62" s="2888" t="s">
        <v>2958</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2959</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2960</v>
      </c>
      <c r="B64" s="2889" t="s">
        <v>2961</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2962</v>
      </c>
      <c r="B65" s="1727" t="str">
        <f>估价对象房地状况!C21</f>
        <v>估价对象所在区域公共配套设施齐备</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2963</v>
      </c>
      <c r="B66" s="1727" t="str">
        <f>估价对象房地状况!C22</f>
        <v>估价对象所在区域基础设施水平七通</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2964</v>
      </c>
      <c r="B67" s="2893" t="str">
        <f>估价对象房地状况!C20</f>
        <v>区域自然环境：；人文环境；综合评价环境状况较好</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2968</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2946</v>
      </c>
      <c r="B69" s="1811"/>
      <c r="C69" s="1811" t="s">
        <v>2948</v>
      </c>
      <c r="D69" s="1811" t="s">
        <v>2949</v>
      </c>
      <c r="E69" s="818" t="s">
        <v>2950</v>
      </c>
      <c r="F69" s="2884" t="s">
        <v>2966</v>
      </c>
      <c r="G69" s="1811" t="s">
        <v>754</v>
      </c>
      <c r="H69" s="2885" t="s">
        <v>2952</v>
      </c>
      <c r="I69" s="1811" t="s">
        <v>2953</v>
      </c>
      <c r="J69" s="603" t="s">
        <v>2601</v>
      </c>
      <c r="K69" s="603" t="s">
        <v>2602</v>
      </c>
      <c r="L69" s="603" t="s">
        <v>2603</v>
      </c>
      <c r="M69" s="603" t="s">
        <v>2604</v>
      </c>
      <c r="N69" s="603" t="s">
        <v>2605</v>
      </c>
      <c r="AA69" s="1373"/>
      <c r="AB69" s="1373"/>
      <c r="AC69" s="1373"/>
      <c r="AD69" s="1373"/>
      <c r="AE69" s="1373"/>
      <c r="AF69" s="1373"/>
      <c r="AG69" s="1373"/>
      <c r="AH69" s="1373"/>
      <c r="AI69" s="1373"/>
      <c r="AJ69" s="1373"/>
      <c r="AK69" s="1373"/>
    </row>
    <row r="70" spans="1:37" s="1372" customFormat="1" ht="51">
      <c r="A70" s="2883" t="s">
        <v>2969</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2955</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2956</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2970</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2962</v>
      </c>
      <c r="B74" s="1727" t="str">
        <f>估价对象房地状况!C21</f>
        <v>估价对象所在区域公共配套设施齐备</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2963</v>
      </c>
      <c r="B75" s="1727" t="str">
        <f>估价对象房地状况!C22</f>
        <v>估价对象所在区域基础设施水平七通</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2960</v>
      </c>
      <c r="B76" s="2889" t="s">
        <v>2961</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2964</v>
      </c>
      <c r="B77" s="2886" t="str">
        <f>估价对象房地状况!C20</f>
        <v>区域自然环境：；人文环境；综合评价环境状况较好</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2971</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2972</v>
      </c>
      <c r="B79" s="2880">
        <f>1+E81</f>
        <v>1</v>
      </c>
      <c r="C79" s="813"/>
      <c r="D79" s="813"/>
      <c r="E79" s="814"/>
      <c r="F79" s="2882"/>
      <c r="G79" s="6"/>
      <c r="H79" s="6"/>
      <c r="I79" s="6"/>
      <c r="J79" s="7"/>
      <c r="K79" s="7"/>
      <c r="L79" s="7"/>
      <c r="M79" s="7"/>
      <c r="N79" s="7"/>
      <c r="Z79" s="2725"/>
      <c r="AA79" s="2801"/>
      <c r="AG79" s="1374"/>
      <c r="AK79" s="2801"/>
    </row>
    <row r="80" spans="1:37" ht="24.75">
      <c r="A80" s="2883" t="s">
        <v>2946</v>
      </c>
      <c r="B80" s="1811"/>
      <c r="C80" s="1811" t="s">
        <v>2948</v>
      </c>
      <c r="D80" s="1811" t="s">
        <v>2949</v>
      </c>
      <c r="E80" s="818" t="s">
        <v>2950</v>
      </c>
      <c r="F80" s="2884" t="s">
        <v>2966</v>
      </c>
      <c r="G80" s="1811" t="s">
        <v>754</v>
      </c>
      <c r="H80" s="2885" t="s">
        <v>2952</v>
      </c>
      <c r="I80" s="1811" t="s">
        <v>2953</v>
      </c>
      <c r="J80" s="603" t="s">
        <v>2601</v>
      </c>
      <c r="K80" s="603" t="s">
        <v>2602</v>
      </c>
      <c r="L80" s="603" t="s">
        <v>2603</v>
      </c>
      <c r="M80" s="603" t="s">
        <v>2604</v>
      </c>
      <c r="N80" s="603" t="s">
        <v>2605</v>
      </c>
      <c r="Z80" s="2725"/>
      <c r="AA80" s="2801"/>
      <c r="AG80" s="1374"/>
      <c r="AK80" s="2801"/>
    </row>
    <row r="81" spans="1:37" ht="38.25">
      <c r="A81" s="2883" t="s">
        <v>2973</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2955</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2956</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2970</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2962</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2963</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2960</v>
      </c>
      <c r="B87" s="2889" t="s">
        <v>2974</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2975</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329" t="s">
        <v>2976</v>
      </c>
      <c r="B90" s="3329"/>
      <c r="C90" s="3329"/>
      <c r="D90" s="3329"/>
      <c r="E90" s="3329"/>
      <c r="F90" s="3329"/>
      <c r="G90" s="3329"/>
      <c r="H90" s="3329"/>
      <c r="I90" s="3329"/>
      <c r="J90" s="3329"/>
      <c r="K90" s="2897"/>
      <c r="L90" s="2897"/>
      <c r="M90" s="2897"/>
      <c r="N90" s="2897"/>
    </row>
    <row r="91" spans="1:37">
      <c r="A91" s="3331" t="s">
        <v>2977</v>
      </c>
      <c r="B91" s="3331" t="s">
        <v>2978</v>
      </c>
      <c r="C91" s="2851" t="s">
        <v>2979</v>
      </c>
      <c r="D91" s="2852"/>
      <c r="E91" s="2852"/>
      <c r="F91" s="2852"/>
      <c r="G91" s="2852"/>
      <c r="H91" s="2852"/>
      <c r="I91" s="2852"/>
      <c r="J91" s="2898"/>
      <c r="K91" s="2899"/>
      <c r="L91" s="2899"/>
      <c r="M91" s="2899"/>
      <c r="N91" s="2899"/>
    </row>
    <row r="92" spans="1:37">
      <c r="A92" s="3331"/>
      <c r="B92" s="3331"/>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332" t="s">
        <v>2980</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3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3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3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3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3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33"/>
      <c r="B99" s="2900" t="s">
        <v>2860</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3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32" t="s">
        <v>2981</v>
      </c>
      <c r="B101" s="2904" t="s">
        <v>2982</v>
      </c>
      <c r="C101" s="2905">
        <f>$G$3</f>
        <v>7.12</v>
      </c>
      <c r="D101" s="2905">
        <f t="shared" ref="D101:N101" si="31">$G$3</f>
        <v>7.12</v>
      </c>
      <c r="E101" s="2905">
        <f t="shared" si="31"/>
        <v>7.12</v>
      </c>
      <c r="F101" s="2905">
        <f t="shared" si="31"/>
        <v>7.12</v>
      </c>
      <c r="G101" s="2905">
        <f t="shared" si="31"/>
        <v>7.12</v>
      </c>
      <c r="H101" s="2905">
        <f t="shared" si="31"/>
        <v>7.12</v>
      </c>
      <c r="I101" s="2905">
        <f t="shared" si="31"/>
        <v>7.12</v>
      </c>
      <c r="J101" s="2905">
        <f t="shared" si="31"/>
        <v>7.12</v>
      </c>
      <c r="K101" s="2905">
        <f t="shared" si="31"/>
        <v>7.12</v>
      </c>
      <c r="L101" s="2905">
        <f t="shared" si="31"/>
        <v>7.12</v>
      </c>
      <c r="M101" s="2905">
        <f t="shared" si="31"/>
        <v>7.12</v>
      </c>
      <c r="N101" s="2905">
        <f t="shared" si="31"/>
        <v>7.12</v>
      </c>
    </row>
    <row r="102" spans="1:14">
      <c r="A102" s="3333"/>
      <c r="B102" s="2900">
        <v>1</v>
      </c>
      <c r="C102" s="2901">
        <f>1.9362/C101</f>
        <v>0.27193820224719101</v>
      </c>
      <c r="D102" s="2901">
        <f>1.9362/D101</f>
        <v>0.27193820224719101</v>
      </c>
      <c r="E102" s="2901">
        <f>1.8629/E101</f>
        <v>0.26164325842696629</v>
      </c>
      <c r="F102" s="2901">
        <f>1.8629/F101</f>
        <v>0.26164325842696629</v>
      </c>
      <c r="G102" s="2901">
        <f>1.8629/G101</f>
        <v>0.26164325842696629</v>
      </c>
      <c r="H102" s="2901">
        <f>1.8629/H101</f>
        <v>0.26164325842696629</v>
      </c>
      <c r="I102" s="2901">
        <f>1.8629/I101</f>
        <v>0.26164325842696629</v>
      </c>
      <c r="J102" s="2901">
        <f>1.942/J101</f>
        <v>0.27275280898876403</v>
      </c>
      <c r="K102" s="2901">
        <f>1.942/K101</f>
        <v>0.27275280898876403</v>
      </c>
      <c r="L102" s="2901">
        <f>1.942/L101</f>
        <v>0.27275280898876403</v>
      </c>
      <c r="M102" s="2901">
        <f>1.942/M101</f>
        <v>0.27275280898876403</v>
      </c>
      <c r="N102" s="2901">
        <f>1.942/N101</f>
        <v>0.27275280898876403</v>
      </c>
    </row>
    <row r="103" spans="1:14">
      <c r="A103" s="3333"/>
      <c r="B103" s="2900">
        <v>2</v>
      </c>
      <c r="C103" s="2901">
        <f>1.4198/C101</f>
        <v>0.19941011235955056</v>
      </c>
      <c r="D103" s="2901">
        <f>1.4198/D101</f>
        <v>0.19941011235955056</v>
      </c>
      <c r="E103" s="2901">
        <f>1.3372/E101</f>
        <v>0.18780898876404492</v>
      </c>
      <c r="F103" s="2901">
        <f>1.3372/F101</f>
        <v>0.18780898876404492</v>
      </c>
      <c r="G103" s="2901">
        <f>1.3372/G101</f>
        <v>0.18780898876404492</v>
      </c>
      <c r="H103" s="2901">
        <f>1.3372/H101</f>
        <v>0.18780898876404492</v>
      </c>
      <c r="I103" s="2901">
        <f>1.3372/I101</f>
        <v>0.18780898876404492</v>
      </c>
      <c r="J103" s="2901">
        <f>1.2799/J101</f>
        <v>0.17976123595505619</v>
      </c>
      <c r="K103" s="2901">
        <f>1.2799/K101</f>
        <v>0.17976123595505619</v>
      </c>
      <c r="L103" s="2901">
        <f>1.2799/L101</f>
        <v>0.17976123595505619</v>
      </c>
      <c r="M103" s="2901">
        <f>1.2799/M101</f>
        <v>0.17976123595505619</v>
      </c>
      <c r="N103" s="2901">
        <f>1.2799/N101</f>
        <v>0.17976123595505619</v>
      </c>
    </row>
    <row r="104" spans="1:14">
      <c r="A104" s="3333"/>
      <c r="B104" s="2900">
        <v>3</v>
      </c>
      <c r="C104" s="2901">
        <f>1.1594/C101</f>
        <v>0.1628370786516854</v>
      </c>
      <c r="D104" s="2901">
        <f>1.1594/D101</f>
        <v>0.1628370786516854</v>
      </c>
      <c r="E104" s="2901">
        <f>1.0788/E101</f>
        <v>0.15151685393258427</v>
      </c>
      <c r="F104" s="2901">
        <f>1.0788/F101</f>
        <v>0.15151685393258427</v>
      </c>
      <c r="G104" s="2901">
        <f>1.0788/G101</f>
        <v>0.15151685393258427</v>
      </c>
      <c r="H104" s="2901">
        <f>1.0788/H101</f>
        <v>0.15151685393258427</v>
      </c>
      <c r="I104" s="2901">
        <f>1.0788/I101</f>
        <v>0.15151685393258427</v>
      </c>
      <c r="J104" s="2901">
        <f>1.0072/J101</f>
        <v>0.14146067415730337</v>
      </c>
      <c r="K104" s="2901">
        <f>1.0072/K101</f>
        <v>0.14146067415730337</v>
      </c>
      <c r="L104" s="2901">
        <f>1.0072/L101</f>
        <v>0.14146067415730337</v>
      </c>
      <c r="M104" s="2901">
        <f>1.0072/M101</f>
        <v>0.14146067415730337</v>
      </c>
      <c r="N104" s="2901">
        <f>1.0072/N101</f>
        <v>0.14146067415730337</v>
      </c>
    </row>
    <row r="105" spans="1:14">
      <c r="A105" s="3333"/>
      <c r="B105" s="2900">
        <v>4</v>
      </c>
      <c r="C105" s="2901">
        <f>0.9622/C101</f>
        <v>0.13514044943820225</v>
      </c>
      <c r="D105" s="2901">
        <f>0.9622/D101</f>
        <v>0.13514044943820225</v>
      </c>
      <c r="E105" s="2901">
        <f>0.8656/E101</f>
        <v>0.12157303370786517</v>
      </c>
      <c r="F105" s="2901">
        <f>0.8656/F101</f>
        <v>0.12157303370786517</v>
      </c>
      <c r="G105" s="2901">
        <f>0.8656/G101</f>
        <v>0.12157303370786517</v>
      </c>
      <c r="H105" s="2901">
        <f>0.8656/H101</f>
        <v>0.12157303370786517</v>
      </c>
      <c r="I105" s="2901">
        <f>0.8656/I101</f>
        <v>0.12157303370786517</v>
      </c>
      <c r="J105" s="2901">
        <f>0.7525/J101</f>
        <v>0.105688202247191</v>
      </c>
      <c r="K105" s="2901">
        <f>0.7525/K101</f>
        <v>0.105688202247191</v>
      </c>
      <c r="L105" s="2901">
        <f>0.7525/L101</f>
        <v>0.105688202247191</v>
      </c>
      <c r="M105" s="2901">
        <f>0.7525/M101</f>
        <v>0.105688202247191</v>
      </c>
      <c r="N105" s="2901">
        <f>0.7525/N101</f>
        <v>0.105688202247191</v>
      </c>
    </row>
    <row r="106" spans="1:14">
      <c r="A106" s="3333"/>
      <c r="B106" s="2900">
        <v>5</v>
      </c>
      <c r="C106" s="2901">
        <f>0.8417/C101</f>
        <v>0.11821629213483147</v>
      </c>
      <c r="D106" s="2901">
        <f>0.8417/D101</f>
        <v>0.11821629213483147</v>
      </c>
      <c r="E106" s="2901">
        <f>0.7371/E101</f>
        <v>0.1035252808988764</v>
      </c>
      <c r="F106" s="2901">
        <f>0.7371/F101</f>
        <v>0.1035252808988764</v>
      </c>
      <c r="G106" s="2901">
        <f>0.7371/G101</f>
        <v>0.1035252808988764</v>
      </c>
      <c r="H106" s="2901">
        <f>0.7371/H101</f>
        <v>0.1035252808988764</v>
      </c>
      <c r="I106" s="2901">
        <f>0.7371/I101</f>
        <v>0.1035252808988764</v>
      </c>
      <c r="J106" s="2901">
        <f>0.5659/J101</f>
        <v>7.9480337078651681E-2</v>
      </c>
      <c r="K106" s="2901">
        <f>0.5659/K101</f>
        <v>7.9480337078651681E-2</v>
      </c>
      <c r="L106" s="2901">
        <f>0.5659/L101</f>
        <v>7.9480337078651681E-2</v>
      </c>
      <c r="M106" s="2901">
        <f>0.5659/M101</f>
        <v>7.9480337078651681E-2</v>
      </c>
      <c r="N106" s="2901">
        <f>0.5659/N101</f>
        <v>7.9480337078651681E-2</v>
      </c>
    </row>
    <row r="107" spans="1:14">
      <c r="A107" s="3333"/>
      <c r="B107" s="2900">
        <v>6</v>
      </c>
      <c r="C107" s="2901">
        <f>0.7608/C101</f>
        <v>0.10685393258426966</v>
      </c>
      <c r="D107" s="2901">
        <f>0.7608/D101</f>
        <v>0.10685393258426966</v>
      </c>
      <c r="E107" s="2901">
        <f>0.6482/E101</f>
        <v>9.1039325842696625E-2</v>
      </c>
      <c r="F107" s="2901">
        <f>0.6482/F101</f>
        <v>9.1039325842696625E-2</v>
      </c>
      <c r="G107" s="2901">
        <f>0.6482/G101</f>
        <v>9.1039325842696625E-2</v>
      </c>
      <c r="H107" s="2901">
        <f>0.6482/H101</f>
        <v>9.1039325842696625E-2</v>
      </c>
      <c r="I107" s="2901">
        <f>0.6482/I101</f>
        <v>9.1039325842696625E-2</v>
      </c>
      <c r="J107" s="2901">
        <f>0.4525/J101</f>
        <v>6.355337078651685E-2</v>
      </c>
      <c r="K107" s="2901">
        <f>0.4525/K101</f>
        <v>6.355337078651685E-2</v>
      </c>
      <c r="L107" s="2901">
        <f>0.4525/L101</f>
        <v>6.355337078651685E-2</v>
      </c>
      <c r="M107" s="2901">
        <f>0.4525/M101</f>
        <v>6.355337078651685E-2</v>
      </c>
      <c r="N107" s="2901">
        <f>0.4525/N101</f>
        <v>6.355337078651685E-2</v>
      </c>
    </row>
    <row r="108" spans="1:14">
      <c r="A108" s="3333"/>
      <c r="B108" s="3199" t="s">
        <v>2983</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34"/>
      <c r="B109" s="3200"/>
      <c r="C109" s="2903">
        <f>(-0.163*(C108^2)-0.59*C108+7617)*(10^(-4))/C101</f>
        <v>0.10698033707865169</v>
      </c>
      <c r="D109" s="2903">
        <f>(-0.163*(D108^2)-0.59*D108+7617)*(10^(-4))/D101</f>
        <v>0.10698033707865169</v>
      </c>
      <c r="E109" s="2903">
        <f>(-0.161*(E108^2)-7.509*E108+6533)*(10^(-4))/E101</f>
        <v>9.1755617977528084E-2</v>
      </c>
      <c r="F109" s="2903">
        <f>(-0.161*(F108^2)-7.509*F108+6533)*(10^(-4))/F101</f>
        <v>9.1755617977528084E-2</v>
      </c>
      <c r="G109" s="2903">
        <f>(-0.161*(G108^2)-7.509*G108+6533)*(10^(-4))/G101</f>
        <v>9.1755617977528084E-2</v>
      </c>
      <c r="H109" s="2903">
        <f>(-0.161*(H108^2)-7.509*H108+6533)*(10^(-4))/H101</f>
        <v>9.1755617977528084E-2</v>
      </c>
      <c r="I109" s="2903">
        <f>(-0.161*(I108^2)-7.509*I108+6533)*(10^(-4))/I101</f>
        <v>9.1755617977528084E-2</v>
      </c>
      <c r="J109" s="2903">
        <f>(-0.214*(J108^2)-21.991*J108+4665)*(10^(-4))/J101</f>
        <v>6.5519662921348323E-2</v>
      </c>
      <c r="K109" s="2903">
        <f>(-0.214*(K108^2)-21.991*K108+4665)*(10^(-4))/K101</f>
        <v>6.5519662921348323E-2</v>
      </c>
      <c r="L109" s="2903">
        <f>(-0.214*(L108^2)-21.991*L108+4665)*(10^(-4))/L101</f>
        <v>6.5519662921348323E-2</v>
      </c>
      <c r="M109" s="2903">
        <f>(-0.214*(M108^2)-21.991*M108+4665)*(10^(-4))/M101</f>
        <v>6.5519662921348323E-2</v>
      </c>
      <c r="N109" s="2903">
        <f>(-0.214*(N108^2)-21.991*N108+4665)*(10^(-4))/N101</f>
        <v>6.5519662921348323E-2</v>
      </c>
    </row>
    <row r="110" spans="1:14">
      <c r="A110" s="3330" t="s">
        <v>2984</v>
      </c>
      <c r="B110" s="3330"/>
      <c r="C110" s="3330"/>
      <c r="D110" s="3330"/>
      <c r="E110" s="3330"/>
      <c r="F110" s="3330"/>
      <c r="G110" s="3330"/>
      <c r="H110" s="3330"/>
      <c r="I110" s="3330"/>
      <c r="J110" s="3330"/>
      <c r="K110" s="2906"/>
      <c r="L110" s="2906"/>
      <c r="M110" s="2906"/>
      <c r="N110" s="2906"/>
    </row>
    <row r="112" spans="1:14" ht="13.5" thickBot="1"/>
    <row r="113" spans="1:13" ht="25.5" thickBot="1">
      <c r="A113" s="902" t="s">
        <v>2985</v>
      </c>
      <c r="B113" s="1289">
        <f>G3</f>
        <v>7.12</v>
      </c>
      <c r="C113" s="903" t="s">
        <v>2986</v>
      </c>
      <c r="D113" s="904">
        <f>SUMPRODUCT((A115:A118=F113)*(B114:M114=H113)*B115:M118)</f>
        <v>0.86660000000000004</v>
      </c>
      <c r="E113" s="2729" t="s">
        <v>2818</v>
      </c>
      <c r="F113" s="2908" t="str">
        <f>E2</f>
        <v>商业</v>
      </c>
      <c r="G113" s="2729" t="s">
        <v>2819</v>
      </c>
      <c r="H113" s="2908" t="str">
        <f>G2</f>
        <v>一级</v>
      </c>
      <c r="I113" s="2729"/>
      <c r="J113" s="2909"/>
      <c r="K113" s="2909"/>
      <c r="L113" s="2909"/>
      <c r="M113" s="2909"/>
    </row>
    <row r="114" spans="1:13">
      <c r="A114" s="907"/>
      <c r="B114" s="2910" t="s">
        <v>2987</v>
      </c>
      <c r="C114" s="2910" t="s">
        <v>2988</v>
      </c>
      <c r="D114" s="2910" t="s">
        <v>2989</v>
      </c>
      <c r="E114" s="2911" t="s">
        <v>2990</v>
      </c>
      <c r="F114" s="2911" t="s">
        <v>2991</v>
      </c>
      <c r="G114" s="2911" t="s">
        <v>2992</v>
      </c>
      <c r="H114" s="2912" t="s">
        <v>2993</v>
      </c>
      <c r="I114" s="2912" t="s">
        <v>2994</v>
      </c>
      <c r="J114" s="2913" t="s">
        <v>2995</v>
      </c>
      <c r="K114" s="2913" t="s">
        <v>2996</v>
      </c>
      <c r="L114" s="2913" t="s">
        <v>2997</v>
      </c>
      <c r="M114" s="2914" t="s">
        <v>2998</v>
      </c>
    </row>
    <row r="115" spans="1:13">
      <c r="A115" s="908" t="s">
        <v>2882</v>
      </c>
      <c r="B115" s="909">
        <f>ROUND(0.9335-0.0094*B113,4)</f>
        <v>0.86660000000000004</v>
      </c>
      <c r="C115" s="909">
        <f>B115</f>
        <v>0.86660000000000004</v>
      </c>
      <c r="D115" s="909">
        <f>ROUND(0.8331-0.0109*B113,4)</f>
        <v>0.75549999999999995</v>
      </c>
      <c r="E115" s="909">
        <f>D115</f>
        <v>0.75549999999999995</v>
      </c>
      <c r="F115" s="909">
        <f>E115</f>
        <v>0.75549999999999995</v>
      </c>
      <c r="G115" s="909">
        <f>F115</f>
        <v>0.75549999999999995</v>
      </c>
      <c r="H115" s="909">
        <f>G115</f>
        <v>0.75549999999999995</v>
      </c>
      <c r="I115" s="909">
        <f>ROUND(0.689-0.0155*B113,4)</f>
        <v>0.5786</v>
      </c>
      <c r="J115" s="909">
        <f t="shared" ref="J115:M118" si="33">I115</f>
        <v>0.5786</v>
      </c>
      <c r="K115" s="909">
        <f t="shared" si="33"/>
        <v>0.5786</v>
      </c>
      <c r="L115" s="909">
        <f t="shared" si="33"/>
        <v>0.5786</v>
      </c>
      <c r="M115" s="910">
        <f t="shared" si="33"/>
        <v>0.5786</v>
      </c>
    </row>
    <row r="116" spans="1:13">
      <c r="A116" s="908" t="s">
        <v>2883</v>
      </c>
      <c r="B116" s="909">
        <f>ROUND(0.949-0.012*B113,4)</f>
        <v>0.86360000000000003</v>
      </c>
      <c r="C116" s="909">
        <f>B116</f>
        <v>0.86360000000000003</v>
      </c>
      <c r="D116" s="909">
        <f>ROUND(0.8567-0.013*B113,4)</f>
        <v>0.7641</v>
      </c>
      <c r="E116" s="909">
        <f t="shared" ref="E116:H117" si="34">D116</f>
        <v>0.7641</v>
      </c>
      <c r="F116" s="909">
        <f t="shared" si="34"/>
        <v>0.7641</v>
      </c>
      <c r="G116" s="909">
        <f t="shared" si="34"/>
        <v>0.7641</v>
      </c>
      <c r="H116" s="909">
        <f t="shared" si="34"/>
        <v>0.7641</v>
      </c>
      <c r="I116" s="909">
        <f>ROUND(0.7694-0.014*B113,4)</f>
        <v>0.66969999999999996</v>
      </c>
      <c r="J116" s="909">
        <f t="shared" si="33"/>
        <v>0.66969999999999996</v>
      </c>
      <c r="K116" s="909">
        <f t="shared" si="33"/>
        <v>0.66969999999999996</v>
      </c>
      <c r="L116" s="909">
        <f t="shared" si="33"/>
        <v>0.66969999999999996</v>
      </c>
      <c r="M116" s="910">
        <f t="shared" si="33"/>
        <v>0.66969999999999996</v>
      </c>
    </row>
    <row r="117" spans="1:13">
      <c r="A117" s="908" t="s">
        <v>2884</v>
      </c>
      <c r="B117" s="909">
        <f>ROUND(0.8808-0.006*B113,4)</f>
        <v>0.83809999999999996</v>
      </c>
      <c r="C117" s="909">
        <f>B117</f>
        <v>0.83809999999999996</v>
      </c>
      <c r="D117" s="909">
        <f>ROUND(0.8748-0.008*B113,4)</f>
        <v>0.81779999999999997</v>
      </c>
      <c r="E117" s="909">
        <f t="shared" si="34"/>
        <v>0.81779999999999997</v>
      </c>
      <c r="F117" s="909">
        <f t="shared" si="34"/>
        <v>0.81779999999999997</v>
      </c>
      <c r="G117" s="909">
        <f t="shared" si="34"/>
        <v>0.81779999999999997</v>
      </c>
      <c r="H117" s="909">
        <f t="shared" si="34"/>
        <v>0.81779999999999997</v>
      </c>
      <c r="I117" s="909">
        <f>ROUND(0.7412-0.0095*B113,4)</f>
        <v>0.67359999999999998</v>
      </c>
      <c r="J117" s="909">
        <f t="shared" si="33"/>
        <v>0.67359999999999998</v>
      </c>
      <c r="K117" s="909">
        <f t="shared" si="33"/>
        <v>0.67359999999999998</v>
      </c>
      <c r="L117" s="909">
        <f t="shared" si="33"/>
        <v>0.67359999999999998</v>
      </c>
      <c r="M117" s="910">
        <f t="shared" si="33"/>
        <v>0.67359999999999998</v>
      </c>
    </row>
    <row r="118" spans="1:13" ht="13.5" thickBot="1">
      <c r="A118" s="714" t="s">
        <v>2885</v>
      </c>
      <c r="B118" s="911">
        <f>ROUND(0.7275-0.01*B113,4)</f>
        <v>0.65629999999999999</v>
      </c>
      <c r="C118" s="911">
        <f>B118</f>
        <v>0.65629999999999999</v>
      </c>
      <c r="D118" s="911">
        <f>ROUND(0.7043-0.012*B113,4)</f>
        <v>0.61890000000000001</v>
      </c>
      <c r="E118" s="911">
        <f>D118</f>
        <v>0.61890000000000001</v>
      </c>
      <c r="F118" s="911">
        <f>E118</f>
        <v>0.61890000000000001</v>
      </c>
      <c r="G118" s="911">
        <f>ROUND(0.6299-0.0122*B113,4)</f>
        <v>0.54300000000000004</v>
      </c>
      <c r="H118" s="911">
        <f>G118</f>
        <v>0.54300000000000004</v>
      </c>
      <c r="I118" s="911">
        <f>ROUND(0.5667-0.0136*B113,4)</f>
        <v>0.46989999999999998</v>
      </c>
      <c r="J118" s="911">
        <f t="shared" si="33"/>
        <v>0.46989999999999998</v>
      </c>
      <c r="K118" s="911">
        <f t="shared" si="33"/>
        <v>0.46989999999999998</v>
      </c>
      <c r="L118" s="911">
        <f t="shared" si="33"/>
        <v>0.46989999999999998</v>
      </c>
      <c r="M118" s="912">
        <f t="shared" si="33"/>
        <v>0.46989999999999998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86" priority="5" stopIfTrue="1" operator="notEqual">
      <formula>"——"</formula>
    </cfRule>
  </conditionalFormatting>
  <conditionalFormatting sqref="F59">
    <cfRule type="cellIs" dxfId="85" priority="4" stopIfTrue="1" operator="notEqual">
      <formula>"——"</formula>
    </cfRule>
  </conditionalFormatting>
  <conditionalFormatting sqref="F70">
    <cfRule type="cellIs" dxfId="84" priority="3" stopIfTrue="1" operator="notEqual">
      <formula>"——"</formula>
    </cfRule>
  </conditionalFormatting>
  <conditionalFormatting sqref="F81">
    <cfRule type="cellIs" dxfId="83" priority="2" stopIfTrue="1" operator="notEqual">
      <formula>"——"</formula>
    </cfRule>
  </conditionalFormatting>
  <conditionalFormatting sqref="H48:H56 H59:H67 H70:H78 H81:H88">
    <cfRule type="cellIs" dxfId="8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t="s">
        <v>3061</v>
      </c>
      <c r="C1" s="1622" t="s">
        <v>2534</v>
      </c>
      <c r="D1" s="1623" t="s">
        <v>48</v>
      </c>
      <c r="E1" s="1624"/>
      <c r="F1" s="2589" t="s">
        <v>3085</v>
      </c>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2331</v>
      </c>
      <c r="B2" s="1420">
        <f>IF(C2="——",IF(B37="元/平方米",ROUND(C39*D3/10000,0),ROUND(F3*C39/10000,0)),IF(B37="元/平方米",ROUND(C39*D3/10000,0),ROUND(F3*C39/10000,0))-D2)</f>
        <v>15051</v>
      </c>
      <c r="C2" s="2591" t="s">
        <v>70</v>
      </c>
      <c r="D2" s="1126" t="e">
        <f ca="1">SUMIF(INDIRECT("'"&amp;F2&amp;"'"&amp;"!A:A"),"承租人权益价值",INDIRECT("'"&amp;F2&amp;"'"&amp;"!c:c"))</f>
        <v>#REF!</v>
      </c>
      <c r="E2" s="2592" t="s">
        <v>2332</v>
      </c>
      <c r="F2" s="2593"/>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9120</v>
      </c>
      <c r="C3" s="400" t="s">
        <v>2648</v>
      </c>
      <c r="D3" s="399">
        <f>SUMIF('数据-汇总表'!$C19:$C33,D1,'数据-汇总表'!$E19:$E33)</f>
        <v>16503.55</v>
      </c>
      <c r="E3" s="400" t="s">
        <v>2712</v>
      </c>
      <c r="F3" s="399">
        <f>SUMIF('数据-取费表'!A5:A15,D1,'数据-取费表'!AH5:AH15)</f>
        <v>311</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2649</v>
      </c>
      <c r="B4" s="402"/>
      <c r="C4" s="3274" t="s">
        <v>2650</v>
      </c>
      <c r="D4" s="3275"/>
      <c r="E4" s="3276" t="s">
        <v>2651</v>
      </c>
      <c r="F4" s="3277"/>
      <c r="G4" s="3274" t="s">
        <v>2652</v>
      </c>
      <c r="H4" s="3275"/>
      <c r="I4" s="3274" t="s">
        <v>2653</v>
      </c>
      <c r="J4" s="3275"/>
      <c r="K4" s="610" t="s">
        <v>2654</v>
      </c>
      <c r="L4" s="1132"/>
      <c r="M4" s="1133"/>
      <c r="N4" s="1133"/>
      <c r="O4" s="1133"/>
      <c r="P4" s="3278" t="s">
        <v>2655</v>
      </c>
      <c r="Q4" s="3279"/>
      <c r="R4" s="3284" t="s">
        <v>2651</v>
      </c>
      <c r="S4" s="3285"/>
      <c r="T4" s="3284" t="s">
        <v>2652</v>
      </c>
      <c r="U4" s="3285"/>
      <c r="V4" s="3290" t="s">
        <v>2653</v>
      </c>
      <c r="W4" s="3290"/>
      <c r="X4" s="1815"/>
      <c r="Y4" s="3284" t="s">
        <v>2655</v>
      </c>
      <c r="Z4" s="3285"/>
      <c r="AA4" s="3271" t="s">
        <v>2651</v>
      </c>
      <c r="AB4" s="3272" t="s">
        <v>2652</v>
      </c>
      <c r="AC4" s="3271" t="s">
        <v>2653</v>
      </c>
    </row>
    <row r="5" spans="1:29" ht="15">
      <c r="A5" s="404"/>
      <c r="B5" s="405"/>
      <c r="C5" s="3293" t="s">
        <v>2546</v>
      </c>
      <c r="D5" s="3294"/>
      <c r="E5" s="3300" t="s">
        <v>2547</v>
      </c>
      <c r="F5" s="3301"/>
      <c r="G5" s="3293" t="s">
        <v>2548</v>
      </c>
      <c r="H5" s="3294"/>
      <c r="I5" s="3293" t="s">
        <v>2549</v>
      </c>
      <c r="J5" s="3294"/>
      <c r="K5" s="610"/>
      <c r="L5" s="1132"/>
      <c r="M5" s="1133"/>
      <c r="N5" s="1133"/>
      <c r="O5" s="1133"/>
      <c r="P5" s="3280"/>
      <c r="Q5" s="3281"/>
      <c r="R5" s="3286"/>
      <c r="S5" s="3287"/>
      <c r="T5" s="3286"/>
      <c r="U5" s="3287"/>
      <c r="V5" s="3290"/>
      <c r="W5" s="3290"/>
      <c r="X5" s="1815"/>
      <c r="Y5" s="3286"/>
      <c r="Z5" s="3287"/>
      <c r="AA5" s="3272"/>
      <c r="AB5" s="3272"/>
      <c r="AC5" s="3272"/>
    </row>
    <row r="6" spans="1:29" ht="15.75" thickBot="1">
      <c r="A6" s="406"/>
      <c r="B6" s="407"/>
      <c r="C6" s="3291" t="s">
        <v>2550</v>
      </c>
      <c r="D6" s="3292"/>
      <c r="E6" s="3298" t="s">
        <v>2550</v>
      </c>
      <c r="F6" s="3299"/>
      <c r="G6" s="3291" t="s">
        <v>2550</v>
      </c>
      <c r="H6" s="3292"/>
      <c r="I6" s="3291" t="s">
        <v>2550</v>
      </c>
      <c r="J6" s="3292"/>
      <c r="K6" s="610" t="s">
        <v>2551</v>
      </c>
      <c r="L6" s="1132"/>
      <c r="M6" s="1133"/>
      <c r="N6" s="1133"/>
      <c r="O6" s="1133"/>
      <c r="P6" s="3282"/>
      <c r="Q6" s="3283"/>
      <c r="R6" s="3286"/>
      <c r="S6" s="3287"/>
      <c r="T6" s="3288"/>
      <c r="U6" s="3289"/>
      <c r="V6" s="3290"/>
      <c r="W6" s="3290"/>
      <c r="X6" s="1815"/>
      <c r="Y6" s="3288"/>
      <c r="Z6" s="3289"/>
      <c r="AA6" s="3273"/>
      <c r="AB6" s="3273"/>
      <c r="AC6" s="3273"/>
    </row>
    <row r="7" spans="1:29" s="117" customFormat="1" ht="15.75" thickBot="1">
      <c r="A7" s="408" t="s">
        <v>2552</v>
      </c>
      <c r="B7" s="409"/>
      <c r="C7" s="410">
        <f>'数据-取费表'!B2</f>
        <v>43157</v>
      </c>
      <c r="D7" s="411">
        <v>100</v>
      </c>
      <c r="E7" s="412">
        <v>43132</v>
      </c>
      <c r="F7" s="413">
        <f>SUMIF(48:48,YEAR(E7)&amp;"-"&amp;MONTH(E7),49:49)</f>
        <v>100</v>
      </c>
      <c r="G7" s="412">
        <v>43132</v>
      </c>
      <c r="H7" s="411">
        <f>SUMIF(48:48,YEAR(G7)&amp;"-"&amp;MONTH(G7),49:49)</f>
        <v>100</v>
      </c>
      <c r="I7" s="412">
        <v>43132</v>
      </c>
      <c r="J7" s="411">
        <f>SUMIF(48:48,YEAR(I7)&amp;"-"&amp;MONTH(I7),49:49)</f>
        <v>100</v>
      </c>
      <c r="K7" s="611"/>
      <c r="L7" s="1134"/>
      <c r="M7" s="1135"/>
      <c r="N7" s="1135"/>
      <c r="O7" s="1135"/>
      <c r="P7" s="3295" t="s">
        <v>2553</v>
      </c>
      <c r="Q7" s="3297"/>
      <c r="R7" s="770" t="s">
        <v>17</v>
      </c>
      <c r="S7" s="771">
        <f t="shared" ref="S7:S14" si="0">F7</f>
        <v>100</v>
      </c>
      <c r="T7" s="770" t="s">
        <v>17</v>
      </c>
      <c r="U7" s="771">
        <f t="shared" ref="U7:U14" si="1">H7</f>
        <v>100</v>
      </c>
      <c r="V7" s="770" t="s">
        <v>17</v>
      </c>
      <c r="W7" s="771">
        <f t="shared" ref="W7:W14" si="2">J7</f>
        <v>100</v>
      </c>
      <c r="X7" s="772"/>
      <c r="Y7" s="3295" t="s">
        <v>2553</v>
      </c>
      <c r="Z7" s="3296"/>
      <c r="AA7" s="773">
        <f>D7/F7</f>
        <v>1</v>
      </c>
      <c r="AB7" s="773">
        <f>D7/H7</f>
        <v>1</v>
      </c>
      <c r="AC7" s="773">
        <f>D7/J7</f>
        <v>1</v>
      </c>
    </row>
    <row r="8" spans="1:29" s="117" customFormat="1" ht="15.75" thickBot="1">
      <c r="A8" s="408" t="s">
        <v>2554</v>
      </c>
      <c r="B8" s="409"/>
      <c r="C8" s="414" t="s">
        <v>2656</v>
      </c>
      <c r="D8" s="411">
        <v>100</v>
      </c>
      <c r="E8" s="414" t="s">
        <v>3086</v>
      </c>
      <c r="F8" s="413">
        <f>SUMIF(51:51,E8,52:52)-SUMIF(51:51,C8,52:52)+100</f>
        <v>100</v>
      </c>
      <c r="G8" s="2968" t="s">
        <v>3087</v>
      </c>
      <c r="H8" s="411">
        <f>SUMIF(51:51,G8,52:52)-SUMIF(51:51,C8,52:52)+100</f>
        <v>100</v>
      </c>
      <c r="I8" s="2968" t="s">
        <v>3087</v>
      </c>
      <c r="J8" s="411">
        <f>SUMIF(51:51,I8,52:52)-SUMIF(51:51,C8,52:52)+100</f>
        <v>100</v>
      </c>
      <c r="K8" s="611"/>
      <c r="L8" s="1134"/>
      <c r="M8" s="1135"/>
      <c r="N8" s="1135"/>
      <c r="O8" s="1135"/>
      <c r="P8" s="3295" t="s">
        <v>2556</v>
      </c>
      <c r="Q8" s="3296"/>
      <c r="R8" s="770" t="s">
        <v>17</v>
      </c>
      <c r="S8" s="771">
        <f t="shared" si="0"/>
        <v>100</v>
      </c>
      <c r="T8" s="770" t="s">
        <v>17</v>
      </c>
      <c r="U8" s="771">
        <f t="shared" si="1"/>
        <v>100</v>
      </c>
      <c r="V8" s="770" t="s">
        <v>17</v>
      </c>
      <c r="W8" s="771">
        <f t="shared" si="2"/>
        <v>100</v>
      </c>
      <c r="X8" s="772"/>
      <c r="Y8" s="3295" t="s">
        <v>2556</v>
      </c>
      <c r="Z8" s="3296"/>
      <c r="AA8" s="773">
        <f t="shared" ref="AA8:AA36" si="3">D8/F8</f>
        <v>1</v>
      </c>
      <c r="AB8" s="773">
        <f t="shared" ref="AB8:AB36" si="4">D8/H8</f>
        <v>1</v>
      </c>
      <c r="AC8" s="773">
        <f t="shared" ref="AC8:AC36" si="5">D8/J8</f>
        <v>1</v>
      </c>
    </row>
    <row r="9" spans="1:29" s="117" customFormat="1">
      <c r="A9" s="68" t="s">
        <v>2557</v>
      </c>
      <c r="B9" s="640" t="s">
        <v>2558</v>
      </c>
      <c r="C9" s="2969" t="s">
        <v>3088</v>
      </c>
      <c r="D9" s="135">
        <v>100</v>
      </c>
      <c r="E9" s="2970" t="s">
        <v>3089</v>
      </c>
      <c r="F9" s="135">
        <f>SUMIF(53:53,E9,54:54)-SUMIF(53:53,C9,54:54)+100</f>
        <v>100</v>
      </c>
      <c r="G9" s="2971" t="s">
        <v>3088</v>
      </c>
      <c r="H9" s="135">
        <f>SUMIF(53:53,G9,54:54)-SUMIF(53:53,C9,54:54)+100</f>
        <v>100</v>
      </c>
      <c r="I9" s="2971" t="s">
        <v>3088</v>
      </c>
      <c r="J9" s="135">
        <f>SUMIF(53:53,I9,54:54)-SUMIF(53:53,C9,54:54)+100</f>
        <v>100</v>
      </c>
      <c r="K9" s="611"/>
      <c r="L9" s="1134"/>
      <c r="M9" s="1135"/>
      <c r="N9" s="1135"/>
      <c r="O9" s="1135"/>
      <c r="P9" s="3259" t="s">
        <v>2559</v>
      </c>
      <c r="Q9" s="1797" t="str">
        <f t="shared" ref="Q9:Q14" si="6">B9</f>
        <v>用途</v>
      </c>
      <c r="R9" s="770" t="s">
        <v>17</v>
      </c>
      <c r="S9" s="771">
        <f t="shared" si="0"/>
        <v>100</v>
      </c>
      <c r="T9" s="770" t="s">
        <v>17</v>
      </c>
      <c r="U9" s="771">
        <f t="shared" si="1"/>
        <v>100</v>
      </c>
      <c r="V9" s="770" t="s">
        <v>17</v>
      </c>
      <c r="W9" s="771">
        <f t="shared" si="2"/>
        <v>100</v>
      </c>
      <c r="X9" s="772"/>
      <c r="Y9" s="3084" t="s">
        <v>2560</v>
      </c>
      <c r="Z9" s="55" t="str">
        <f t="shared" ref="Z9:Z14" si="7">Q9</f>
        <v>用途</v>
      </c>
      <c r="AA9" s="773">
        <f t="shared" si="3"/>
        <v>1</v>
      </c>
      <c r="AB9" s="773">
        <f t="shared" si="4"/>
        <v>1</v>
      </c>
      <c r="AC9" s="773">
        <f t="shared" si="5"/>
        <v>1</v>
      </c>
    </row>
    <row r="10" spans="1:29" s="427" customFormat="1" ht="27">
      <c r="A10" s="641"/>
      <c r="B10" s="642" t="s">
        <v>2561</v>
      </c>
      <c r="C10" s="423" t="s">
        <v>3090</v>
      </c>
      <c r="D10" s="136">
        <v>100</v>
      </c>
      <c r="E10" s="423" t="s">
        <v>3090</v>
      </c>
      <c r="F10" s="136">
        <f>SUMIF(55:55,E10,56:56)-SUMIF(55:55,C10,56:56)+100</f>
        <v>100</v>
      </c>
      <c r="G10" s="424" t="s">
        <v>3090</v>
      </c>
      <c r="H10" s="136">
        <f>SUMIF(55:55,G10,56:56)-SUMIF(55:55,C10,56:56)+100</f>
        <v>100</v>
      </c>
      <c r="I10" s="423" t="s">
        <v>3090</v>
      </c>
      <c r="J10" s="136">
        <f>SUMIF(55:55,I10,56:56)-SUMIF(55:55,C10,56:56)+100</f>
        <v>100</v>
      </c>
      <c r="K10" s="612"/>
      <c r="L10" s="1137"/>
      <c r="M10" s="1138"/>
      <c r="N10" s="1138"/>
      <c r="O10" s="1138"/>
      <c r="P10" s="3259"/>
      <c r="Q10" s="1797"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59"/>
      <c r="Q11" s="1797">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59"/>
      <c r="Q12" s="1797">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59"/>
      <c r="Q13" s="1797">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01" t="s">
        <v>2563</v>
      </c>
      <c r="B14" s="629" t="s">
        <v>2713</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61" t="s">
        <v>2564</v>
      </c>
      <c r="Q14" s="1812" t="str">
        <f t="shared" si="6"/>
        <v>交通便捷度</v>
      </c>
      <c r="R14" s="774" t="s">
        <v>17</v>
      </c>
      <c r="S14" s="775">
        <f t="shared" si="0"/>
        <v>100</v>
      </c>
      <c r="T14" s="774" t="s">
        <v>17</v>
      </c>
      <c r="U14" s="775">
        <f t="shared" si="1"/>
        <v>100</v>
      </c>
      <c r="V14" s="774" t="s">
        <v>17</v>
      </c>
      <c r="W14" s="775">
        <f t="shared" si="2"/>
        <v>100</v>
      </c>
      <c r="X14" s="1815"/>
      <c r="Y14" s="3261" t="s">
        <v>2564</v>
      </c>
      <c r="Z14" s="1816" t="str">
        <f t="shared" si="7"/>
        <v>交通便捷度</v>
      </c>
      <c r="AA14" s="1813">
        <f t="shared" si="3"/>
        <v>1</v>
      </c>
      <c r="AB14" s="1813">
        <f t="shared" si="4"/>
        <v>1</v>
      </c>
      <c r="AC14" s="1813">
        <f t="shared" si="5"/>
        <v>1</v>
      </c>
    </row>
    <row r="15" spans="1:29" ht="15">
      <c r="A15" s="404"/>
      <c r="B15" s="647"/>
      <c r="C15" s="447" t="s">
        <v>3100</v>
      </c>
      <c r="D15" s="448"/>
      <c r="E15" s="447" t="s">
        <v>3100</v>
      </c>
      <c r="F15" s="449"/>
      <c r="G15" s="447" t="s">
        <v>3100</v>
      </c>
      <c r="H15" s="450"/>
      <c r="I15" s="447" t="s">
        <v>3100</v>
      </c>
      <c r="J15" s="448"/>
      <c r="K15" s="615"/>
      <c r="L15" s="1142"/>
      <c r="M15" s="1133"/>
      <c r="N15" s="1133"/>
      <c r="O15" s="1133"/>
      <c r="P15" s="3262"/>
      <c r="Q15" s="1812"/>
      <c r="R15" s="774"/>
      <c r="S15" s="775"/>
      <c r="T15" s="774"/>
      <c r="U15" s="775"/>
      <c r="V15" s="774"/>
      <c r="W15" s="775"/>
      <c r="X15" s="1815"/>
      <c r="Y15" s="3262"/>
      <c r="Z15" s="1816"/>
      <c r="AA15" s="1813">
        <v>1</v>
      </c>
      <c r="AB15" s="1813">
        <v>1</v>
      </c>
      <c r="AC15" s="1813">
        <v>1</v>
      </c>
    </row>
    <row r="16" spans="1:29" ht="42.75">
      <c r="A16" s="404"/>
      <c r="B16" s="631" t="s">
        <v>2692</v>
      </c>
      <c r="C16" s="2612"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62"/>
      <c r="Q16" s="1812" t="str">
        <f>B16</f>
        <v>公共配套设施</v>
      </c>
      <c r="R16" s="774" t="s">
        <v>17</v>
      </c>
      <c r="S16" s="775">
        <f>F16</f>
        <v>100</v>
      </c>
      <c r="T16" s="774" t="s">
        <v>17</v>
      </c>
      <c r="U16" s="775">
        <f>H16</f>
        <v>100</v>
      </c>
      <c r="V16" s="774" t="s">
        <v>17</v>
      </c>
      <c r="W16" s="775">
        <f>J16</f>
        <v>100</v>
      </c>
      <c r="X16" s="1815"/>
      <c r="Y16" s="3262"/>
      <c r="Z16" s="1816" t="str">
        <f>Q16</f>
        <v>公共配套设施</v>
      </c>
      <c r="AA16" s="1813">
        <f t="shared" si="3"/>
        <v>1</v>
      </c>
      <c r="AB16" s="1813">
        <f t="shared" si="4"/>
        <v>1</v>
      </c>
      <c r="AC16" s="1813">
        <f t="shared" si="5"/>
        <v>1</v>
      </c>
    </row>
    <row r="17" spans="1:29" ht="15">
      <c r="A17" s="404"/>
      <c r="B17" s="632"/>
      <c r="C17" s="2613" t="s">
        <v>3158</v>
      </c>
      <c r="D17" s="448"/>
      <c r="E17" s="447" t="s">
        <v>3158</v>
      </c>
      <c r="F17" s="449"/>
      <c r="G17" s="447" t="s">
        <v>3158</v>
      </c>
      <c r="H17" s="448"/>
      <c r="I17" s="447" t="s">
        <v>3158</v>
      </c>
      <c r="J17" s="448"/>
      <c r="K17" s="615"/>
      <c r="L17" s="1142"/>
      <c r="M17" s="1133"/>
      <c r="N17" s="1133"/>
      <c r="O17" s="1133"/>
      <c r="P17" s="3262"/>
      <c r="Q17" s="1812"/>
      <c r="R17" s="774"/>
      <c r="S17" s="775"/>
      <c r="T17" s="774"/>
      <c r="U17" s="775"/>
      <c r="V17" s="774"/>
      <c r="W17" s="775"/>
      <c r="X17" s="1815"/>
      <c r="Y17" s="3262"/>
      <c r="Z17" s="1816"/>
      <c r="AA17" s="1813">
        <v>1</v>
      </c>
      <c r="AB17" s="1813">
        <v>1</v>
      </c>
      <c r="AC17" s="1813">
        <v>1</v>
      </c>
    </row>
    <row r="18" spans="1:29" ht="42.75">
      <c r="A18" s="404"/>
      <c r="B18" s="633" t="s">
        <v>2693</v>
      </c>
      <c r="C18" s="2612"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62"/>
      <c r="Q18" s="1812" t="str">
        <f>B18</f>
        <v>基础设施水平</v>
      </c>
      <c r="R18" s="774" t="s">
        <v>17</v>
      </c>
      <c r="S18" s="775">
        <f>F18</f>
        <v>100</v>
      </c>
      <c r="T18" s="774" t="s">
        <v>17</v>
      </c>
      <c r="U18" s="775">
        <f>H18</f>
        <v>100</v>
      </c>
      <c r="V18" s="774" t="s">
        <v>17</v>
      </c>
      <c r="W18" s="775">
        <f>J18</f>
        <v>100</v>
      </c>
      <c r="X18" s="1815"/>
      <c r="Y18" s="3262"/>
      <c r="Z18" s="1816" t="str">
        <f>Q18</f>
        <v>基础设施水平</v>
      </c>
      <c r="AA18" s="1813">
        <f t="shared" ref="AA18" si="8">D18/F18</f>
        <v>1</v>
      </c>
      <c r="AB18" s="1813">
        <f t="shared" ref="AB18" si="9">D18/H18</f>
        <v>1</v>
      </c>
      <c r="AC18" s="1813">
        <f t="shared" ref="AC18" si="10">D18/J18</f>
        <v>1</v>
      </c>
    </row>
    <row r="19" spans="1:29" ht="15">
      <c r="A19" s="404"/>
      <c r="B19" s="633"/>
      <c r="C19" s="2613" t="s">
        <v>3159</v>
      </c>
      <c r="D19" s="450"/>
      <c r="E19" s="2613" t="s">
        <v>3159</v>
      </c>
      <c r="F19" s="453"/>
      <c r="G19" s="3034" t="s">
        <v>3166</v>
      </c>
      <c r="H19" s="448"/>
      <c r="I19" s="3035" t="s">
        <v>3167</v>
      </c>
      <c r="J19" s="448"/>
      <c r="K19" s="1385"/>
      <c r="L19" s="1142"/>
      <c r="M19" s="1133"/>
      <c r="N19" s="1133"/>
      <c r="O19" s="1133"/>
      <c r="P19" s="3262"/>
      <c r="Q19" s="1812"/>
      <c r="R19" s="774"/>
      <c r="S19" s="775"/>
      <c r="T19" s="774"/>
      <c r="U19" s="775"/>
      <c r="V19" s="774"/>
      <c r="W19" s="775"/>
      <c r="X19" s="1815"/>
      <c r="Y19" s="3262"/>
      <c r="Z19" s="1816"/>
      <c r="AA19" s="1813">
        <v>1</v>
      </c>
      <c r="AB19" s="1813">
        <v>1</v>
      </c>
      <c r="AC19" s="1813">
        <v>1</v>
      </c>
    </row>
    <row r="20" spans="1:29" ht="57">
      <c r="A20" s="404"/>
      <c r="B20" s="631" t="s">
        <v>2714</v>
      </c>
      <c r="C20" s="2612"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62"/>
      <c r="Q20" s="1812" t="str">
        <f>B20</f>
        <v>自然及人文环境</v>
      </c>
      <c r="R20" s="774" t="s">
        <v>17</v>
      </c>
      <c r="S20" s="775">
        <f>F20</f>
        <v>100</v>
      </c>
      <c r="T20" s="774" t="s">
        <v>17</v>
      </c>
      <c r="U20" s="775">
        <f>H20</f>
        <v>100</v>
      </c>
      <c r="V20" s="774" t="s">
        <v>17</v>
      </c>
      <c r="W20" s="775">
        <f>J20</f>
        <v>100</v>
      </c>
      <c r="X20" s="1815"/>
      <c r="Y20" s="3262"/>
      <c r="Z20" s="1816" t="str">
        <f>Q20</f>
        <v>自然及人文环境</v>
      </c>
      <c r="AA20" s="1813">
        <f t="shared" si="3"/>
        <v>1</v>
      </c>
      <c r="AB20" s="1813">
        <f t="shared" si="4"/>
        <v>1</v>
      </c>
      <c r="AC20" s="1813">
        <f t="shared" si="5"/>
        <v>1</v>
      </c>
    </row>
    <row r="21" spans="1:29" ht="15">
      <c r="A21" s="404"/>
      <c r="B21" s="632"/>
      <c r="C21" s="447" t="s">
        <v>3100</v>
      </c>
      <c r="D21" s="448"/>
      <c r="E21" s="3035" t="s">
        <v>3168</v>
      </c>
      <c r="F21" s="449"/>
      <c r="G21" s="3035" t="s">
        <v>3168</v>
      </c>
      <c r="H21" s="448"/>
      <c r="I21" s="3035" t="s">
        <v>3168</v>
      </c>
      <c r="J21" s="448"/>
      <c r="K21" s="615"/>
      <c r="L21" s="1142"/>
      <c r="M21" s="1133"/>
      <c r="N21" s="1133"/>
      <c r="O21" s="1133"/>
      <c r="P21" s="3262"/>
      <c r="Q21" s="1812"/>
      <c r="R21" s="774"/>
      <c r="S21" s="775"/>
      <c r="T21" s="774"/>
      <c r="U21" s="775"/>
      <c r="V21" s="774"/>
      <c r="W21" s="775"/>
      <c r="X21" s="1815"/>
      <c r="Y21" s="3262"/>
      <c r="Z21" s="1816"/>
      <c r="AA21" s="1813">
        <v>1</v>
      </c>
      <c r="AB21" s="1813">
        <v>1</v>
      </c>
      <c r="AC21" s="1813">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62"/>
      <c r="Q22" s="1812" t="str">
        <f>B22</f>
        <v>楼层</v>
      </c>
      <c r="R22" s="774" t="s">
        <v>17</v>
      </c>
      <c r="S22" s="775">
        <f>F22</f>
        <v>100</v>
      </c>
      <c r="T22" s="774" t="s">
        <v>17</v>
      </c>
      <c r="U22" s="775">
        <f>H22</f>
        <v>100</v>
      </c>
      <c r="V22" s="774" t="s">
        <v>17</v>
      </c>
      <c r="W22" s="775">
        <f>J22</f>
        <v>100</v>
      </c>
      <c r="X22" s="1815"/>
      <c r="Y22" s="326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62"/>
      <c r="Q23" s="1812">
        <f>B23</f>
        <v>111</v>
      </c>
      <c r="R23" s="774" t="s">
        <v>17</v>
      </c>
      <c r="S23" s="775">
        <f>F23</f>
        <v>100</v>
      </c>
      <c r="T23" s="774" t="s">
        <v>17</v>
      </c>
      <c r="U23" s="775">
        <f>H23</f>
        <v>100</v>
      </c>
      <c r="V23" s="774" t="s">
        <v>17</v>
      </c>
      <c r="W23" s="775">
        <f>J23</f>
        <v>100</v>
      </c>
      <c r="X23" s="1815"/>
      <c r="Y23" s="326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62"/>
      <c r="Q24" s="1812">
        <f t="shared" ref="Q24:Q36" si="11">B24</f>
        <v>111</v>
      </c>
      <c r="R24" s="774" t="s">
        <v>17</v>
      </c>
      <c r="S24" s="775">
        <f>F24</f>
        <v>100</v>
      </c>
      <c r="T24" s="774" t="s">
        <v>17</v>
      </c>
      <c r="U24" s="775">
        <f>H24</f>
        <v>100</v>
      </c>
      <c r="V24" s="774" t="s">
        <v>17</v>
      </c>
      <c r="W24" s="775">
        <f>J24</f>
        <v>100</v>
      </c>
      <c r="X24" s="1815"/>
      <c r="Y24" s="326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62"/>
      <c r="Q25" s="1797">
        <f t="shared" si="11"/>
        <v>111</v>
      </c>
      <c r="R25" s="770" t="s">
        <v>17</v>
      </c>
      <c r="S25" s="771">
        <f>F25</f>
        <v>100</v>
      </c>
      <c r="T25" s="770" t="s">
        <v>17</v>
      </c>
      <c r="U25" s="771">
        <f>H25</f>
        <v>100</v>
      </c>
      <c r="V25" s="770" t="s">
        <v>17</v>
      </c>
      <c r="W25" s="771">
        <f>J25</f>
        <v>100</v>
      </c>
      <c r="X25" s="772"/>
      <c r="Y25" s="3262"/>
      <c r="Z25" s="55">
        <f>Q25</f>
        <v>111</v>
      </c>
      <c r="AA25" s="1813">
        <f>D25/F25</f>
        <v>1</v>
      </c>
      <c r="AB25" s="1813">
        <f>D25/H25</f>
        <v>1</v>
      </c>
      <c r="AC25" s="1813">
        <f>D25/J25</f>
        <v>1</v>
      </c>
    </row>
    <row r="26" spans="1:29" ht="15">
      <c r="A26" s="652" t="s">
        <v>2567</v>
      </c>
      <c r="B26" s="70" t="s">
        <v>2716</v>
      </c>
      <c r="C26" s="2699" t="str">
        <f>B1</f>
        <v>车库</v>
      </c>
      <c r="D26" s="448">
        <v>100</v>
      </c>
      <c r="E26" s="3035" t="s">
        <v>3169</v>
      </c>
      <c r="F26" s="449">
        <f>SUMIF(79:79,E26,80:80)-SUMIF(79:79,C26,80:80)+100</f>
        <v>100</v>
      </c>
      <c r="G26" s="3035" t="s">
        <v>3169</v>
      </c>
      <c r="H26" s="448">
        <f>SUMIF(79:79,G26,80:80)-SUMIF(79:79,C26,80:80)+100</f>
        <v>100</v>
      </c>
      <c r="I26" s="3035" t="s">
        <v>3169</v>
      </c>
      <c r="J26" s="448">
        <f>SUMIF(79:79,I26,80:80)-SUMIF(79:79,C26,80:80)+100</f>
        <v>100</v>
      </c>
      <c r="K26" s="612"/>
      <c r="L26" s="1142"/>
      <c r="M26" s="1133"/>
      <c r="N26" s="1133"/>
      <c r="O26" s="1133"/>
      <c r="P26" s="3317" t="s">
        <v>2569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66" t="s">
        <v>2569</v>
      </c>
      <c r="Z26" s="1816" t="str">
        <f t="shared" ref="Z26:Z36" si="15">Q26</f>
        <v>配套类型</v>
      </c>
      <c r="AA26" s="1813">
        <f t="shared" si="3"/>
        <v>1</v>
      </c>
      <c r="AB26" s="1813">
        <f t="shared" si="4"/>
        <v>1</v>
      </c>
      <c r="AC26" s="1813">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66"/>
      <c r="Q27" s="776" t="str">
        <f t="shared" si="11"/>
        <v>项目停车位配比</v>
      </c>
      <c r="R27" s="777" t="s">
        <v>17</v>
      </c>
      <c r="S27" s="778">
        <f t="shared" si="12"/>
        <v>100</v>
      </c>
      <c r="T27" s="777" t="s">
        <v>17</v>
      </c>
      <c r="U27" s="778">
        <f t="shared" si="13"/>
        <v>100</v>
      </c>
      <c r="V27" s="777" t="s">
        <v>17</v>
      </c>
      <c r="W27" s="778">
        <f t="shared" si="14"/>
        <v>100</v>
      </c>
      <c r="X27" s="779"/>
      <c r="Y27" s="3266"/>
      <c r="Z27" s="780" t="str">
        <f t="shared" si="15"/>
        <v>项目停车位配比</v>
      </c>
      <c r="AA27" s="1813">
        <f t="shared" si="3"/>
        <v>1</v>
      </c>
      <c r="AB27" s="1813">
        <f t="shared" si="4"/>
        <v>1</v>
      </c>
      <c r="AC27" s="1813">
        <f t="shared" si="5"/>
        <v>1</v>
      </c>
    </row>
    <row r="28" spans="1:29" ht="15">
      <c r="A28" s="656"/>
      <c r="B28" s="654" t="s">
        <v>2718</v>
      </c>
      <c r="C28" s="3036" t="s">
        <v>3170</v>
      </c>
      <c r="D28" s="435">
        <v>100</v>
      </c>
      <c r="E28" s="3036" t="s">
        <v>3170</v>
      </c>
      <c r="F28" s="461">
        <f>SUMIF(83:83,E28,84:84)-SUMIF(83:83,C28,84:84)+100</f>
        <v>100</v>
      </c>
      <c r="G28" s="3036" t="s">
        <v>3170</v>
      </c>
      <c r="H28" s="435">
        <f>SUMIF(83:83,G28,84:84)-SUMIF(83:83,C28,84:84)+100</f>
        <v>100</v>
      </c>
      <c r="I28" s="3036" t="s">
        <v>3170</v>
      </c>
      <c r="J28" s="435">
        <f>SUMIF(83:83,I28,84:84)-SUMIF(83:83,C28,84:84)+100</f>
        <v>100</v>
      </c>
      <c r="K28" s="612"/>
      <c r="L28" s="1142"/>
      <c r="M28" s="1133"/>
      <c r="N28" s="1133"/>
      <c r="O28" s="1133"/>
      <c r="P28" s="3266"/>
      <c r="Q28" s="1812" t="str">
        <f t="shared" si="11"/>
        <v>公共部分装修</v>
      </c>
      <c r="R28" s="774" t="s">
        <v>17</v>
      </c>
      <c r="S28" s="775">
        <f t="shared" si="12"/>
        <v>100</v>
      </c>
      <c r="T28" s="774" t="s">
        <v>17</v>
      </c>
      <c r="U28" s="775">
        <f t="shared" si="13"/>
        <v>100</v>
      </c>
      <c r="V28" s="774" t="s">
        <v>17</v>
      </c>
      <c r="W28" s="775">
        <f t="shared" si="14"/>
        <v>100</v>
      </c>
      <c r="X28" s="1815"/>
      <c r="Y28" s="3266"/>
      <c r="Z28" s="1816" t="str">
        <f t="shared" si="15"/>
        <v>公共部分装修</v>
      </c>
      <c r="AA28" s="1813">
        <f t="shared" si="3"/>
        <v>1</v>
      </c>
      <c r="AB28" s="1813">
        <f t="shared" si="4"/>
        <v>1</v>
      </c>
      <c r="AC28" s="1813">
        <f t="shared" si="5"/>
        <v>1</v>
      </c>
    </row>
    <row r="29" spans="1:29" ht="15">
      <c r="A29" s="656"/>
      <c r="B29" s="654" t="s">
        <v>2719</v>
      </c>
      <c r="C29" s="474">
        <v>0.82</v>
      </c>
      <c r="D29" s="435">
        <v>100</v>
      </c>
      <c r="E29" s="474">
        <v>0.78</v>
      </c>
      <c r="F29" s="461">
        <f>LOOKUP(E29,86:86,87:87)-LOOKUP(C29,86:86,87:87)+100</f>
        <v>99</v>
      </c>
      <c r="G29" s="474">
        <v>0.92</v>
      </c>
      <c r="H29" s="461">
        <f>LOOKUP(G29,86:86,87:87)-LOOKUP(C29,86:86,87:87)+100</f>
        <v>101</v>
      </c>
      <c r="I29" s="474">
        <v>0.87</v>
      </c>
      <c r="J29" s="435">
        <f>LOOKUP(I29,86:86,87:87)-LOOKUP(C29,86:86,87:87)+100</f>
        <v>100</v>
      </c>
      <c r="K29" s="612">
        <v>1</v>
      </c>
      <c r="L29" s="1142"/>
      <c r="M29" s="1133"/>
      <c r="N29" s="1133"/>
      <c r="O29" s="1133"/>
      <c r="P29" s="3266"/>
      <c r="Q29" s="1812" t="str">
        <f t="shared" si="11"/>
        <v>成新率</v>
      </c>
      <c r="R29" s="774" t="s">
        <v>17</v>
      </c>
      <c r="S29" s="775">
        <f t="shared" si="12"/>
        <v>99</v>
      </c>
      <c r="T29" s="774" t="s">
        <v>17</v>
      </c>
      <c r="U29" s="775">
        <f t="shared" si="13"/>
        <v>101</v>
      </c>
      <c r="V29" s="774" t="s">
        <v>17</v>
      </c>
      <c r="W29" s="775">
        <f t="shared" si="14"/>
        <v>100</v>
      </c>
      <c r="X29" s="1815"/>
      <c r="Y29" s="3266"/>
      <c r="Z29" s="1816" t="str">
        <f t="shared" si="15"/>
        <v>成新率</v>
      </c>
      <c r="AA29" s="1813">
        <f t="shared" si="3"/>
        <v>1.0101010101010102</v>
      </c>
      <c r="AB29" s="1813">
        <f t="shared" si="4"/>
        <v>0.99009900990099009</v>
      </c>
      <c r="AC29" s="1813">
        <f t="shared" si="5"/>
        <v>1</v>
      </c>
    </row>
    <row r="30" spans="1:29" ht="15">
      <c r="A30" s="656"/>
      <c r="B30" s="654" t="s">
        <v>2720</v>
      </c>
      <c r="C30" s="3037" t="s">
        <v>3171</v>
      </c>
      <c r="D30" s="435">
        <v>100</v>
      </c>
      <c r="E30" s="3037" t="s">
        <v>3171</v>
      </c>
      <c r="F30" s="461">
        <f>SUMIF(88:88,E30,89:89)-SUMIF(88:88,C30,89:89)+100</f>
        <v>100</v>
      </c>
      <c r="G30" s="3037" t="s">
        <v>3171</v>
      </c>
      <c r="H30" s="435">
        <f>SUMIF(88:88,E30,89:89)-SUMIF(88:88,C30,89:89)+100</f>
        <v>100</v>
      </c>
      <c r="I30" s="3037" t="s">
        <v>3171</v>
      </c>
      <c r="J30" s="435">
        <f>SUMIF(88:88,E30,89:89)-SUMIF(88:88,C30,89:89)+100</f>
        <v>100</v>
      </c>
      <c r="K30" s="612"/>
      <c r="L30" s="1142"/>
      <c r="M30" s="1133"/>
      <c r="N30" s="1133"/>
      <c r="O30" s="1133"/>
      <c r="P30" s="3266"/>
      <c r="Q30" s="1812" t="str">
        <f t="shared" si="11"/>
        <v>物业等级</v>
      </c>
      <c r="R30" s="774" t="s">
        <v>17</v>
      </c>
      <c r="S30" s="775">
        <f t="shared" si="12"/>
        <v>100</v>
      </c>
      <c r="T30" s="774" t="s">
        <v>17</v>
      </c>
      <c r="U30" s="775">
        <f t="shared" si="13"/>
        <v>100</v>
      </c>
      <c r="V30" s="774" t="s">
        <v>17</v>
      </c>
      <c r="W30" s="775">
        <f t="shared" si="14"/>
        <v>100</v>
      </c>
      <c r="X30" s="1815"/>
      <c r="Y30" s="3266"/>
      <c r="Z30" s="1816" t="str">
        <f t="shared" si="15"/>
        <v>物业等级</v>
      </c>
      <c r="AA30" s="1813">
        <f t="shared" si="3"/>
        <v>1</v>
      </c>
      <c r="AB30" s="1813">
        <f t="shared" si="4"/>
        <v>1</v>
      </c>
      <c r="AC30" s="1813">
        <f t="shared" si="5"/>
        <v>1</v>
      </c>
    </row>
    <row r="31" spans="1:29" s="117" customFormat="1" ht="15">
      <c r="A31" s="658"/>
      <c r="B31" s="654" t="s">
        <v>2721</v>
      </c>
      <c r="C31" s="469">
        <v>52</v>
      </c>
      <c r="D31" s="136">
        <v>100</v>
      </c>
      <c r="E31" s="469">
        <v>43</v>
      </c>
      <c r="F31" s="461">
        <f>LOOKUP(E31,91:91,92:92)-LOOKUP(C31,91:91,92:92)+100</f>
        <v>98</v>
      </c>
      <c r="G31" s="469">
        <v>38</v>
      </c>
      <c r="H31" s="435">
        <f>LOOKUP(G31,91:91,92:92)-LOOKUP(C31,91:91,92:92)+100</f>
        <v>96</v>
      </c>
      <c r="I31" s="469">
        <v>53</v>
      </c>
      <c r="J31" s="435">
        <f>LOOKUP(I31,91:91,92:92)-LOOKUP(C31,91:91,92:92)+100</f>
        <v>100</v>
      </c>
      <c r="K31" s="612"/>
      <c r="L31" s="1134"/>
      <c r="M31" s="1135"/>
      <c r="N31" s="1135"/>
      <c r="O31" s="1135"/>
      <c r="P31" s="3266"/>
      <c r="Q31" s="1797" t="str">
        <f t="shared" si="11"/>
        <v>停车位面积</v>
      </c>
      <c r="R31" s="770" t="s">
        <v>17</v>
      </c>
      <c r="S31" s="771">
        <f t="shared" si="12"/>
        <v>98</v>
      </c>
      <c r="T31" s="770" t="s">
        <v>17</v>
      </c>
      <c r="U31" s="771">
        <f t="shared" si="13"/>
        <v>96</v>
      </c>
      <c r="V31" s="770" t="s">
        <v>17</v>
      </c>
      <c r="W31" s="771">
        <f t="shared" si="14"/>
        <v>100</v>
      </c>
      <c r="X31" s="772"/>
      <c r="Y31" s="3266"/>
      <c r="Z31" s="55" t="str">
        <f t="shared" si="15"/>
        <v>停车位面积</v>
      </c>
      <c r="AA31" s="773">
        <f t="shared" si="3"/>
        <v>1.0204081632653061</v>
      </c>
      <c r="AB31" s="773">
        <f t="shared" si="4"/>
        <v>1.0416666666666667</v>
      </c>
      <c r="AC31" s="773">
        <f t="shared" si="5"/>
        <v>1</v>
      </c>
    </row>
    <row r="32" spans="1:29" ht="15">
      <c r="A32" s="656"/>
      <c r="B32" s="654" t="s">
        <v>2722</v>
      </c>
      <c r="C32" s="3383" t="s">
        <v>3174</v>
      </c>
      <c r="D32" s="435">
        <v>100</v>
      </c>
      <c r="E32" s="3036" t="s">
        <v>3172</v>
      </c>
      <c r="F32" s="461">
        <f>SUMIF(93:93,E32,94:94)-SUMIF(93:93,C32,94:94)+100</f>
        <v>98</v>
      </c>
      <c r="G32" s="3036" t="s">
        <v>3173</v>
      </c>
      <c r="H32" s="435">
        <f>SUMIF(93:93,G32,94:94)-SUMIF(93:93,C32,94:94)+100</f>
        <v>96</v>
      </c>
      <c r="I32" s="3036" t="s">
        <v>3174</v>
      </c>
      <c r="J32" s="435">
        <f>SUMIF(93:93,I32,94:94)-SUMIF(93:93,C32,94:94)+100</f>
        <v>100</v>
      </c>
      <c r="K32" s="612">
        <v>2</v>
      </c>
      <c r="L32" s="1142"/>
      <c r="M32" s="1133"/>
      <c r="N32" s="1133"/>
      <c r="O32" s="1133"/>
      <c r="P32" s="3266" t="s">
        <v>2569</v>
      </c>
      <c r="Q32" s="1812" t="str">
        <f t="shared" si="11"/>
        <v>车位类型</v>
      </c>
      <c r="R32" s="774" t="s">
        <v>17</v>
      </c>
      <c r="S32" s="775">
        <f t="shared" si="12"/>
        <v>98</v>
      </c>
      <c r="T32" s="774" t="s">
        <v>17</v>
      </c>
      <c r="U32" s="775">
        <f t="shared" si="13"/>
        <v>96</v>
      </c>
      <c r="V32" s="774" t="s">
        <v>17</v>
      </c>
      <c r="W32" s="775">
        <f t="shared" si="14"/>
        <v>100</v>
      </c>
      <c r="X32" s="1815"/>
      <c r="Y32" s="3266" t="s">
        <v>2569</v>
      </c>
      <c r="Z32" s="1816" t="str">
        <f t="shared" si="15"/>
        <v>车位类型</v>
      </c>
      <c r="AA32" s="1813">
        <f t="shared" si="3"/>
        <v>1.0204081632653061</v>
      </c>
      <c r="AB32" s="1813">
        <f t="shared" si="4"/>
        <v>1.0416666666666667</v>
      </c>
      <c r="AC32" s="1813">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66"/>
      <c r="Q33" s="1812" t="str">
        <f t="shared" si="11"/>
        <v>是否直接入户</v>
      </c>
      <c r="R33" s="774" t="s">
        <v>17</v>
      </c>
      <c r="S33" s="775">
        <f t="shared" si="12"/>
        <v>100</v>
      </c>
      <c r="T33" s="774" t="s">
        <v>17</v>
      </c>
      <c r="U33" s="775">
        <f t="shared" si="13"/>
        <v>100</v>
      </c>
      <c r="V33" s="774" t="s">
        <v>17</v>
      </c>
      <c r="W33" s="775">
        <f t="shared" si="14"/>
        <v>100</v>
      </c>
      <c r="X33" s="1815"/>
      <c r="Y33" s="326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66"/>
      <c r="Q34" s="1812">
        <f t="shared" si="11"/>
        <v>111</v>
      </c>
      <c r="R34" s="774" t="s">
        <v>17</v>
      </c>
      <c r="S34" s="775">
        <f t="shared" si="12"/>
        <v>100</v>
      </c>
      <c r="T34" s="774" t="s">
        <v>17</v>
      </c>
      <c r="U34" s="775">
        <f t="shared" si="13"/>
        <v>100</v>
      </c>
      <c r="V34" s="774" t="s">
        <v>17</v>
      </c>
      <c r="W34" s="775">
        <f t="shared" si="14"/>
        <v>100</v>
      </c>
      <c r="X34" s="1815"/>
      <c r="Y34" s="326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66"/>
      <c r="Q35" s="776">
        <f t="shared" si="11"/>
        <v>111</v>
      </c>
      <c r="R35" s="777" t="s">
        <v>17</v>
      </c>
      <c r="S35" s="778">
        <f t="shared" si="12"/>
        <v>100</v>
      </c>
      <c r="T35" s="777" t="s">
        <v>17</v>
      </c>
      <c r="U35" s="778">
        <f t="shared" si="13"/>
        <v>100</v>
      </c>
      <c r="V35" s="777" t="s">
        <v>17</v>
      </c>
      <c r="W35" s="778">
        <f t="shared" si="14"/>
        <v>100</v>
      </c>
      <c r="X35" s="779"/>
      <c r="Y35" s="326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66"/>
      <c r="Q36" s="1812">
        <f t="shared" si="11"/>
        <v>111</v>
      </c>
      <c r="R36" s="774" t="s">
        <v>17</v>
      </c>
      <c r="S36" s="775">
        <f t="shared" si="12"/>
        <v>100</v>
      </c>
      <c r="T36" s="774" t="s">
        <v>17</v>
      </c>
      <c r="U36" s="775">
        <f t="shared" si="13"/>
        <v>100</v>
      </c>
      <c r="V36" s="774" t="s">
        <v>17</v>
      </c>
      <c r="W36" s="775">
        <f t="shared" si="14"/>
        <v>100</v>
      </c>
      <c r="X36" s="1815"/>
      <c r="Y36" s="3266"/>
      <c r="Z36" s="1816">
        <f t="shared" si="15"/>
        <v>111</v>
      </c>
      <c r="AA36" s="1813">
        <f t="shared" si="3"/>
        <v>1</v>
      </c>
      <c r="AB36" s="1813">
        <f t="shared" si="4"/>
        <v>1</v>
      </c>
      <c r="AC36" s="1813">
        <f t="shared" si="5"/>
        <v>1</v>
      </c>
    </row>
    <row r="37" spans="1:29" ht="15">
      <c r="A37" s="479" t="s">
        <v>2724</v>
      </c>
      <c r="B37" s="2700" t="s">
        <v>2725</v>
      </c>
      <c r="C37" s="1409" t="s">
        <v>1</v>
      </c>
      <c r="D37" s="1410"/>
      <c r="E37" s="1411">
        <f>ROUND(480000*L37,0)</f>
        <v>456000</v>
      </c>
      <c r="F37" s="1412"/>
      <c r="G37" s="1413">
        <f>ROUND(450000*L37,0)</f>
        <v>427500</v>
      </c>
      <c r="H37" s="1414"/>
      <c r="I37" s="1411">
        <f>ROUND(540000*L37,0)</f>
        <v>513000</v>
      </c>
      <c r="J37" s="1414"/>
      <c r="K37" s="619"/>
      <c r="L37" s="1145">
        <v>0.95</v>
      </c>
      <c r="M37" s="1146"/>
      <c r="N37" s="1133"/>
      <c r="O37" s="1146"/>
      <c r="P37" s="3259" t="str">
        <f>A37</f>
        <v>成交单价</v>
      </c>
      <c r="Q37" s="3259"/>
      <c r="R37" s="3260">
        <f>E37</f>
        <v>456000</v>
      </c>
      <c r="S37" s="3260"/>
      <c r="T37" s="3260">
        <f>G37</f>
        <v>427500</v>
      </c>
      <c r="U37" s="3260"/>
      <c r="V37" s="3260">
        <f>I37</f>
        <v>513000</v>
      </c>
      <c r="W37" s="3260"/>
      <c r="X37" s="759"/>
      <c r="Y37" s="781"/>
      <c r="Z37" s="759"/>
      <c r="AA37" s="759"/>
      <c r="AB37" s="759"/>
      <c r="AC37" s="759"/>
    </row>
    <row r="38" spans="1:29" ht="15.75" thickBot="1">
      <c r="A38" s="486" t="s">
        <v>2726</v>
      </c>
      <c r="B38" s="487" t="str">
        <f>B37</f>
        <v>元/车位</v>
      </c>
      <c r="C38" s="1415">
        <f>R39</f>
        <v>483957</v>
      </c>
      <c r="D38" s="1416"/>
      <c r="E38" s="1417">
        <f>R38</f>
        <v>479598</v>
      </c>
      <c r="F38" s="1417"/>
      <c r="G38" s="1415">
        <f>T38</f>
        <v>459274</v>
      </c>
      <c r="H38" s="1416"/>
      <c r="I38" s="1417">
        <f>V38</f>
        <v>513000</v>
      </c>
      <c r="J38" s="1416"/>
      <c r="K38" s="620"/>
      <c r="L38" s="1145"/>
      <c r="M38" s="1146"/>
      <c r="N38" s="1146"/>
      <c r="O38" s="1146"/>
      <c r="P38" s="3259" t="str">
        <f>A38</f>
        <v>比较价值（元/平方米）</v>
      </c>
      <c r="Q38" s="3259"/>
      <c r="R38" s="3260">
        <f>IF(F1="售价",ROUND(PRODUCT(R37,AA7:AA36),0),ROUND(PRODUCT(R37,AA7:AA36),1))</f>
        <v>479598</v>
      </c>
      <c r="S38" s="3260"/>
      <c r="T38" s="3260">
        <f>IF(F1="售价",ROUND(PRODUCT(T37,AB7:AB36),0),ROUND(PRODUCT(T37,AB7:AB36),1))</f>
        <v>459274</v>
      </c>
      <c r="U38" s="3260"/>
      <c r="V38" s="3260">
        <f>IF(F1="售价",ROUND(PRODUCT(V37,AC7:AC36),0),ROUND(PRODUCT(V37,AC7:AC36),1))</f>
        <v>513000</v>
      </c>
      <c r="W38" s="3260"/>
      <c r="X38" s="759"/>
      <c r="Y38" s="759"/>
      <c r="Z38" s="759"/>
      <c r="AA38" s="759"/>
      <c r="AB38" s="759"/>
      <c r="AC38" s="759"/>
    </row>
    <row r="39" spans="1:29" ht="15.75" thickBot="1">
      <c r="A39" s="492" t="s">
        <v>2727</v>
      </c>
      <c r="B39" s="493"/>
      <c r="C39" s="1419">
        <f>R39</f>
        <v>483957</v>
      </c>
      <c r="D39" s="1419"/>
      <c r="E39" s="1419"/>
      <c r="F39" s="1419"/>
      <c r="G39" s="1419"/>
      <c r="H39" s="1419"/>
      <c r="I39" s="1419"/>
      <c r="J39" s="1419"/>
      <c r="K39" s="621"/>
      <c r="L39" s="1145"/>
      <c r="M39" s="1146"/>
      <c r="N39" s="1146"/>
      <c r="O39" s="1146"/>
      <c r="P39" s="3256" t="str">
        <f>A39</f>
        <v>估价对象XX用房的比较价值（楼面单价，元/平方米）</v>
      </c>
      <c r="Q39" s="3257"/>
      <c r="R39" s="3258">
        <f>IF(F1="售价",ROUND(AVERAGE(R38:V38),0),ROUND(AVERAGE(R38:V38),1))</f>
        <v>483957</v>
      </c>
      <c r="S39" s="3258"/>
      <c r="T39" s="3258"/>
      <c r="U39" s="3258"/>
      <c r="V39" s="3258"/>
      <c r="W39" s="3258"/>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2728</v>
      </c>
      <c r="D42" s="498"/>
      <c r="E42" s="499">
        <f>IF(E37&lt;E38,E38/E37-1,E37/E38-1)</f>
        <v>5.1749999999999963E-2</v>
      </c>
      <c r="F42" s="500" t="str">
        <f>IF(OR(E42&gt;=0.3,E42&lt;=-0.3),"超过30%","")</f>
        <v/>
      </c>
      <c r="G42" s="499">
        <f>IF(G37&lt;G38,G38/G37-1,G37/G38-1)</f>
        <v>7.432514619883035E-2</v>
      </c>
      <c r="H42" s="500" t="str">
        <f>IF(OR(G42&gt;=0.3,G42&lt;=-0.3),"超过30%","")</f>
        <v/>
      </c>
      <c r="I42" s="499">
        <f>IF(I37&lt;I38,I38/I37-1,I37/I38-1)</f>
        <v>0</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2729</v>
      </c>
      <c r="D43" s="501"/>
      <c r="E43" s="499">
        <f>IF(E38&lt;G38,G38/E38-1,E38/G38-1)</f>
        <v>4.4252450606827365E-2</v>
      </c>
      <c r="F43" s="500" t="str">
        <f>IF(OR(E43&gt;=0.2,E43&lt;=-0.2),"超过20%","")</f>
        <v/>
      </c>
      <c r="G43" s="499">
        <f>IF(G38&lt;I38,I38/G38-1,G38/I38-1)</f>
        <v>0.11698027756851026</v>
      </c>
      <c r="H43" s="500" t="str">
        <f>IF(OR(G43&gt;=0.2,G43&lt;=-0.2),"超过20%","")</f>
        <v/>
      </c>
      <c r="I43" s="499">
        <f>IF(I38&lt;E38,E38/I38-1,I38/E38-1)</f>
        <v>6.9645828381269315E-2</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2730</v>
      </c>
      <c r="D44" s="501"/>
      <c r="E44" s="499">
        <f>IF(E37&lt;G37,G37/E37-1,E37/G37-1)</f>
        <v>6.6666666666666652E-2</v>
      </c>
      <c r="F44" s="500" t="str">
        <f>IF(OR(E44&gt;=0.3,E44&lt;=-0.3),"超过30%","")</f>
        <v/>
      </c>
      <c r="G44" s="499">
        <f>IF(G37&lt;I37,I37/G37-1,G37/I37-1)</f>
        <v>0.19999999999999996</v>
      </c>
      <c r="H44" s="500" t="str">
        <f>IF(OR(G44&gt;=0.3,G44&lt;=-0.3),"超过30%","")</f>
        <v/>
      </c>
      <c r="I44" s="499">
        <f>IF(I37&lt;E37,E37/I37-1,I37/E37-1)</f>
        <v>0.125</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2732</v>
      </c>
      <c r="B48" s="506"/>
      <c r="C48" s="1576" t="str">
        <f>YEAR(C7)&amp;"-"&amp;MONTH(C7)</f>
        <v>2018-2</v>
      </c>
      <c r="D48" s="1577">
        <f>EDATE(C48,-1)</f>
        <v>43101</v>
      </c>
      <c r="E48" s="1577">
        <f t="shared" ref="E48:O48" si="16">EDATE(D48,-1)</f>
        <v>43070</v>
      </c>
      <c r="F48" s="1577">
        <f t="shared" si="16"/>
        <v>43040</v>
      </c>
      <c r="G48" s="1577">
        <f t="shared" si="16"/>
        <v>43009</v>
      </c>
      <c r="H48" s="1577">
        <f t="shared" si="16"/>
        <v>42979</v>
      </c>
      <c r="I48" s="1577">
        <f t="shared" si="16"/>
        <v>42948</v>
      </c>
      <c r="J48" s="1577">
        <f t="shared" si="16"/>
        <v>42917</v>
      </c>
      <c r="K48" s="1577">
        <f t="shared" si="16"/>
        <v>42887</v>
      </c>
      <c r="L48" s="1577">
        <f t="shared" si="16"/>
        <v>42856</v>
      </c>
      <c r="M48" s="1577">
        <f t="shared" si="16"/>
        <v>42826</v>
      </c>
      <c r="N48" s="1577">
        <f t="shared" si="16"/>
        <v>42795</v>
      </c>
      <c r="O48" s="1577">
        <f t="shared" si="16"/>
        <v>42767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2554</v>
      </c>
      <c r="B51" s="510"/>
      <c r="C51" s="522" t="s">
        <v>2656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2592</v>
      </c>
      <c r="B53" s="528" t="s">
        <v>2558</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2607</v>
      </c>
      <c r="C65" s="578" t="s">
        <v>2601</v>
      </c>
      <c r="D65" s="578" t="s">
        <v>2602</v>
      </c>
      <c r="E65" s="578" t="s">
        <v>2603</v>
      </c>
      <c r="F65" s="578" t="s">
        <v>2604</v>
      </c>
      <c r="G65" s="578" t="s">
        <v>2605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2693</v>
      </c>
      <c r="C67" s="660" t="s">
        <v>2679</v>
      </c>
      <c r="D67" s="660" t="s">
        <v>2680</v>
      </c>
      <c r="E67" s="660" t="s">
        <v>2681</v>
      </c>
      <c r="F67" s="660" t="s">
        <v>2682</v>
      </c>
      <c r="G67" s="660" t="s">
        <v>2683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2613</v>
      </c>
      <c r="C69" s="578" t="s">
        <v>2601</v>
      </c>
      <c r="D69" s="578" t="s">
        <v>2602</v>
      </c>
      <c r="E69" s="578" t="s">
        <v>2603</v>
      </c>
      <c r="F69" s="578" t="s">
        <v>2604</v>
      </c>
      <c r="G69" s="578" t="s">
        <v>2605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2567</v>
      </c>
      <c r="B79" s="528" t="s">
        <v>2734</v>
      </c>
      <c r="C79" s="529" t="str">
        <f>C26</f>
        <v>车库</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2738</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v>0</v>
      </c>
      <c r="D91" s="595">
        <v>30</v>
      </c>
      <c r="E91" s="595">
        <v>40</v>
      </c>
      <c r="F91" s="595">
        <v>50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v>100</v>
      </c>
      <c r="D92" s="536">
        <v>102</v>
      </c>
      <c r="E92" s="536">
        <v>104</v>
      </c>
      <c r="F92" s="536">
        <v>106</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2739</v>
      </c>
      <c r="C93" s="3038" t="s">
        <v>3174</v>
      </c>
      <c r="D93" s="3038" t="s">
        <v>3172</v>
      </c>
      <c r="E93" s="3039" t="s">
        <v>3173</v>
      </c>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74" t="s">
        <v>2650</v>
      </c>
      <c r="D4" s="3275"/>
      <c r="E4" s="3276" t="s">
        <v>2651</v>
      </c>
      <c r="F4" s="3277"/>
      <c r="G4" s="3274" t="s">
        <v>2652</v>
      </c>
      <c r="H4" s="3275"/>
      <c r="I4" s="3274" t="s">
        <v>2653</v>
      </c>
      <c r="J4" s="3275"/>
      <c r="K4" s="610" t="s">
        <v>2654</v>
      </c>
      <c r="L4" s="1132"/>
      <c r="M4" s="1133"/>
      <c r="N4" s="1133"/>
      <c r="O4" s="1133"/>
      <c r="P4" s="3278" t="s">
        <v>2655</v>
      </c>
      <c r="Q4" s="3279"/>
      <c r="R4" s="3284" t="s">
        <v>2651</v>
      </c>
      <c r="S4" s="3285"/>
      <c r="T4" s="3284" t="s">
        <v>2652</v>
      </c>
      <c r="U4" s="3285"/>
      <c r="V4" s="3290" t="s">
        <v>2653</v>
      </c>
      <c r="W4" s="3290"/>
      <c r="X4" s="1815"/>
      <c r="Y4" s="3284" t="s">
        <v>2655</v>
      </c>
      <c r="Z4" s="3285"/>
      <c r="AA4" s="3271" t="s">
        <v>2651</v>
      </c>
      <c r="AB4" s="3272" t="s">
        <v>2652</v>
      </c>
      <c r="AC4" s="3271" t="s">
        <v>2653</v>
      </c>
    </row>
    <row r="5" spans="1:29" ht="15">
      <c r="A5" s="404"/>
      <c r="B5" s="405"/>
      <c r="C5" s="3293" t="s">
        <v>2546</v>
      </c>
      <c r="D5" s="3294"/>
      <c r="E5" s="3300" t="s">
        <v>2547</v>
      </c>
      <c r="F5" s="3301"/>
      <c r="G5" s="3293" t="s">
        <v>2548</v>
      </c>
      <c r="H5" s="3294"/>
      <c r="I5" s="3293" t="s">
        <v>2549</v>
      </c>
      <c r="J5" s="3294"/>
      <c r="K5" s="610"/>
      <c r="L5" s="1132"/>
      <c r="M5" s="1133"/>
      <c r="N5" s="1133"/>
      <c r="O5" s="1133"/>
      <c r="P5" s="3280"/>
      <c r="Q5" s="3281"/>
      <c r="R5" s="3286"/>
      <c r="S5" s="3287"/>
      <c r="T5" s="3286"/>
      <c r="U5" s="3287"/>
      <c r="V5" s="3290"/>
      <c r="W5" s="3290"/>
      <c r="X5" s="1815"/>
      <c r="Y5" s="3286"/>
      <c r="Z5" s="3287"/>
      <c r="AA5" s="3272"/>
      <c r="AB5" s="3272"/>
      <c r="AC5" s="3272"/>
    </row>
    <row r="6" spans="1:29" ht="15.75" thickBot="1">
      <c r="A6" s="406"/>
      <c r="B6" s="407"/>
      <c r="C6" s="3291" t="s">
        <v>2550</v>
      </c>
      <c r="D6" s="3292"/>
      <c r="E6" s="3298" t="s">
        <v>2550</v>
      </c>
      <c r="F6" s="3299"/>
      <c r="G6" s="3291" t="s">
        <v>2550</v>
      </c>
      <c r="H6" s="3292"/>
      <c r="I6" s="3291" t="s">
        <v>2550</v>
      </c>
      <c r="J6" s="3292"/>
      <c r="K6" s="610" t="s">
        <v>2551</v>
      </c>
      <c r="L6" s="1132"/>
      <c r="M6" s="1133"/>
      <c r="N6" s="1133"/>
      <c r="O6" s="1133"/>
      <c r="P6" s="3282"/>
      <c r="Q6" s="3283"/>
      <c r="R6" s="3286"/>
      <c r="S6" s="3287"/>
      <c r="T6" s="3288"/>
      <c r="U6" s="3289"/>
      <c r="V6" s="3290"/>
      <c r="W6" s="3290"/>
      <c r="X6" s="1815"/>
      <c r="Y6" s="3288"/>
      <c r="Z6" s="3289"/>
      <c r="AA6" s="3273"/>
      <c r="AB6" s="3273"/>
      <c r="AC6" s="3273"/>
    </row>
    <row r="7" spans="1:29" s="117" customFormat="1" ht="15.75" thickBot="1">
      <c r="A7" s="408" t="s">
        <v>2552</v>
      </c>
      <c r="B7" s="409"/>
      <c r="C7" s="410">
        <f>'数据-取费表'!B2</f>
        <v>43157</v>
      </c>
      <c r="D7" s="411">
        <v>100</v>
      </c>
      <c r="E7" s="412"/>
      <c r="F7" s="413">
        <f>SUMIF(46:46,YEAR(E7)&amp;"-"&amp;MONTH(E7),47:47)</f>
        <v>0</v>
      </c>
      <c r="G7" s="2701"/>
      <c r="H7" s="411">
        <f>SUMIF(46:46,YEAR(G7)&amp;"-"&amp;MONTH(G7),47:47)</f>
        <v>0</v>
      </c>
      <c r="I7" s="412"/>
      <c r="J7" s="411">
        <f>SUMIF(46:46,YEAR(I7)&amp;"-"&amp;MONTH(I7),47:47)</f>
        <v>0</v>
      </c>
      <c r="K7" s="611"/>
      <c r="L7" s="1134"/>
      <c r="M7" s="1135"/>
      <c r="N7" s="1135"/>
      <c r="O7" s="1135"/>
      <c r="P7" s="3295" t="s">
        <v>2553</v>
      </c>
      <c r="Q7" s="3297"/>
      <c r="R7" s="770" t="s">
        <v>17</v>
      </c>
      <c r="S7" s="771">
        <f t="shared" ref="S7:S14" si="0">F7</f>
        <v>0</v>
      </c>
      <c r="T7" s="770" t="s">
        <v>17</v>
      </c>
      <c r="U7" s="771">
        <f t="shared" ref="U7:U14" si="1">H7</f>
        <v>0</v>
      </c>
      <c r="V7" s="770" t="s">
        <v>17</v>
      </c>
      <c r="W7" s="771">
        <f t="shared" ref="W7:W14" si="2">J7</f>
        <v>0</v>
      </c>
      <c r="X7" s="772"/>
      <c r="Y7" s="3295" t="s">
        <v>2553</v>
      </c>
      <c r="Z7" s="3296"/>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95" t="s">
        <v>2556</v>
      </c>
      <c r="Q8" s="3296"/>
      <c r="R8" s="770" t="s">
        <v>17</v>
      </c>
      <c r="S8" s="771">
        <f t="shared" si="0"/>
        <v>0</v>
      </c>
      <c r="T8" s="770" t="s">
        <v>17</v>
      </c>
      <c r="U8" s="771">
        <f t="shared" si="1"/>
        <v>0</v>
      </c>
      <c r="V8" s="770" t="s">
        <v>17</v>
      </c>
      <c r="W8" s="771">
        <f t="shared" si="2"/>
        <v>0</v>
      </c>
      <c r="X8" s="772"/>
      <c r="Y8" s="3295" t="s">
        <v>2556</v>
      </c>
      <c r="Z8" s="3296"/>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59" t="s">
        <v>2559</v>
      </c>
      <c r="Q9" s="1797" t="str">
        <f t="shared" ref="Q9:Q14" si="6">B9</f>
        <v>用途</v>
      </c>
      <c r="R9" s="770" t="s">
        <v>17</v>
      </c>
      <c r="S9" s="771">
        <f t="shared" si="0"/>
        <v>100</v>
      </c>
      <c r="T9" s="770" t="s">
        <v>17</v>
      </c>
      <c r="U9" s="771">
        <f t="shared" si="1"/>
        <v>100</v>
      </c>
      <c r="V9" s="770" t="s">
        <v>17</v>
      </c>
      <c r="W9" s="771">
        <f t="shared" si="2"/>
        <v>100</v>
      </c>
      <c r="X9" s="772"/>
      <c r="Y9" s="3084"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59"/>
      <c r="Q10" s="1797"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59"/>
      <c r="Q11" s="1797">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59"/>
      <c r="Q12" s="1797">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2"/>
      <c r="M13" s="1133"/>
      <c r="N13" s="1133"/>
      <c r="O13" s="1141"/>
      <c r="P13" s="3259"/>
      <c r="Q13" s="1797">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40" t="s">
        <v>2563</v>
      </c>
      <c r="B14" s="69" t="s">
        <v>2713</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61" t="s">
        <v>2564</v>
      </c>
      <c r="Q14" s="1812" t="str">
        <f t="shared" si="6"/>
        <v>交通便捷度</v>
      </c>
      <c r="R14" s="774" t="s">
        <v>17</v>
      </c>
      <c r="S14" s="775">
        <f t="shared" si="0"/>
        <v>100</v>
      </c>
      <c r="T14" s="774" t="s">
        <v>17</v>
      </c>
      <c r="U14" s="775">
        <f t="shared" si="1"/>
        <v>100</v>
      </c>
      <c r="V14" s="774" t="s">
        <v>17</v>
      </c>
      <c r="W14" s="775">
        <f t="shared" si="2"/>
        <v>100</v>
      </c>
      <c r="X14" s="1815"/>
      <c r="Y14" s="3261" t="s">
        <v>2564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62"/>
      <c r="Q15" s="1812"/>
      <c r="R15" s="774"/>
      <c r="S15" s="775"/>
      <c r="T15" s="774"/>
      <c r="U15" s="775"/>
      <c r="V15" s="774"/>
      <c r="W15" s="775"/>
      <c r="X15" s="1815"/>
      <c r="Y15" s="3262"/>
      <c r="Z15" s="1816"/>
      <c r="AA15" s="1813">
        <v>1</v>
      </c>
      <c r="AB15" s="1813">
        <v>1</v>
      </c>
      <c r="AC15" s="1813">
        <v>1</v>
      </c>
    </row>
    <row r="16" spans="1:29" ht="42.75">
      <c r="A16" s="428"/>
      <c r="B16" s="451" t="s">
        <v>2692</v>
      </c>
      <c r="C16" s="2612"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62"/>
      <c r="Q16" s="1812" t="str">
        <f>B16</f>
        <v>公共配套设施</v>
      </c>
      <c r="R16" s="774" t="s">
        <v>17</v>
      </c>
      <c r="S16" s="775">
        <f>F16</f>
        <v>100</v>
      </c>
      <c r="T16" s="774" t="s">
        <v>17</v>
      </c>
      <c r="U16" s="775">
        <f>H16</f>
        <v>100</v>
      </c>
      <c r="V16" s="774" t="s">
        <v>17</v>
      </c>
      <c r="W16" s="775">
        <f>J16</f>
        <v>100</v>
      </c>
      <c r="X16" s="1815"/>
      <c r="Y16" s="3262"/>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2"/>
      <c r="M17" s="1133"/>
      <c r="N17" s="1133"/>
      <c r="O17" s="1141"/>
      <c r="P17" s="3262"/>
      <c r="Q17" s="1812"/>
      <c r="R17" s="774"/>
      <c r="S17" s="775"/>
      <c r="T17" s="774"/>
      <c r="U17" s="775"/>
      <c r="V17" s="774"/>
      <c r="W17" s="775"/>
      <c r="X17" s="1815"/>
      <c r="Y17" s="3262"/>
      <c r="Z17" s="1816"/>
      <c r="AA17" s="1813">
        <v>1</v>
      </c>
      <c r="AB17" s="1813">
        <v>1</v>
      </c>
      <c r="AC17" s="1813">
        <v>1</v>
      </c>
    </row>
    <row r="18" spans="1:29" ht="42.75">
      <c r="A18" s="428"/>
      <c r="B18" s="1386" t="s">
        <v>2693</v>
      </c>
      <c r="C18" s="2612"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62"/>
      <c r="Q18" s="1812" t="str">
        <f>B18</f>
        <v>基础设施水平</v>
      </c>
      <c r="R18" s="774" t="s">
        <v>17</v>
      </c>
      <c r="S18" s="775">
        <f>F18</f>
        <v>100</v>
      </c>
      <c r="T18" s="774" t="s">
        <v>17</v>
      </c>
      <c r="U18" s="775">
        <f>H18</f>
        <v>100</v>
      </c>
      <c r="V18" s="774" t="s">
        <v>17</v>
      </c>
      <c r="W18" s="775">
        <f>J18</f>
        <v>100</v>
      </c>
      <c r="X18" s="1815"/>
      <c r="Y18" s="3262"/>
      <c r="Z18" s="1816" t="str">
        <f>Q18</f>
        <v>基础设施水平</v>
      </c>
      <c r="AA18" s="1813">
        <f t="shared" ref="AA18" si="8">D18/F18</f>
        <v>1</v>
      </c>
      <c r="AB18" s="1813">
        <f t="shared" ref="AB18" si="9">D18/H18</f>
        <v>1</v>
      </c>
      <c r="AC18" s="1813">
        <f t="shared" ref="AC18" si="10">D18/J18</f>
        <v>1</v>
      </c>
    </row>
    <row r="19" spans="1:29" ht="15">
      <c r="A19" s="428"/>
      <c r="B19" s="1386"/>
      <c r="C19" s="2613"/>
      <c r="D19" s="450"/>
      <c r="E19" s="2613"/>
      <c r="F19" s="453"/>
      <c r="G19" s="2613"/>
      <c r="H19" s="448"/>
      <c r="I19" s="447"/>
      <c r="J19" s="448"/>
      <c r="K19" s="1385"/>
      <c r="L19" s="1142"/>
      <c r="M19" s="1133"/>
      <c r="N19" s="1133"/>
      <c r="O19" s="1141"/>
      <c r="P19" s="3262"/>
      <c r="Q19" s="1812"/>
      <c r="R19" s="774"/>
      <c r="S19" s="775"/>
      <c r="T19" s="774"/>
      <c r="U19" s="775"/>
      <c r="V19" s="774"/>
      <c r="W19" s="775"/>
      <c r="X19" s="1815"/>
      <c r="Y19" s="3262"/>
      <c r="Z19" s="1816"/>
      <c r="AA19" s="1813">
        <v>1</v>
      </c>
      <c r="AB19" s="1813">
        <v>1</v>
      </c>
      <c r="AC19" s="1813">
        <v>1</v>
      </c>
    </row>
    <row r="20" spans="1:29" ht="57">
      <c r="A20" s="428"/>
      <c r="B20" s="451" t="s">
        <v>2714</v>
      </c>
      <c r="C20" s="2612"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62"/>
      <c r="Q20" s="1812" t="str">
        <f>B20</f>
        <v>自然及人文环境</v>
      </c>
      <c r="R20" s="774" t="s">
        <v>17</v>
      </c>
      <c r="S20" s="775">
        <f>F20</f>
        <v>100</v>
      </c>
      <c r="T20" s="774" t="s">
        <v>17</v>
      </c>
      <c r="U20" s="775">
        <f>H20</f>
        <v>100</v>
      </c>
      <c r="V20" s="774" t="s">
        <v>17</v>
      </c>
      <c r="W20" s="775">
        <f>J20</f>
        <v>100</v>
      </c>
      <c r="X20" s="1815"/>
      <c r="Y20" s="326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62"/>
      <c r="Q21" s="1812"/>
      <c r="R21" s="774"/>
      <c r="S21" s="775"/>
      <c r="T21" s="774"/>
      <c r="U21" s="775"/>
      <c r="V21" s="774"/>
      <c r="W21" s="775"/>
      <c r="X21" s="1815"/>
      <c r="Y21" s="3262"/>
      <c r="Z21" s="1816"/>
      <c r="AA21" s="1813">
        <v>1</v>
      </c>
      <c r="AB21" s="1813">
        <v>1</v>
      </c>
      <c r="AC21" s="1813">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62"/>
      <c r="Q22" s="1812" t="str">
        <f>B22</f>
        <v>楼层</v>
      </c>
      <c r="R22" s="774" t="s">
        <v>17</v>
      </c>
      <c r="S22" s="775">
        <f>F22</f>
        <v>100</v>
      </c>
      <c r="T22" s="774" t="s">
        <v>17</v>
      </c>
      <c r="U22" s="775">
        <f>H22</f>
        <v>100</v>
      </c>
      <c r="V22" s="774" t="s">
        <v>17</v>
      </c>
      <c r="W22" s="775">
        <f>J22</f>
        <v>100</v>
      </c>
      <c r="X22" s="1815"/>
      <c r="Y22" s="3262"/>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62"/>
      <c r="Q23" s="1812">
        <f>B23</f>
        <v>111</v>
      </c>
      <c r="R23" s="774" t="s">
        <v>17</v>
      </c>
      <c r="S23" s="775">
        <f>F23</f>
        <v>100</v>
      </c>
      <c r="T23" s="774" t="s">
        <v>17</v>
      </c>
      <c r="U23" s="775">
        <f>H23</f>
        <v>100</v>
      </c>
      <c r="V23" s="774" t="s">
        <v>17</v>
      </c>
      <c r="W23" s="775">
        <f>J23</f>
        <v>100</v>
      </c>
      <c r="X23" s="1815"/>
      <c r="Y23" s="3262"/>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62"/>
      <c r="Q24" s="1812">
        <f t="shared" ref="Q24:Q34" si="11">B24</f>
        <v>111</v>
      </c>
      <c r="R24" s="774" t="s">
        <v>17</v>
      </c>
      <c r="S24" s="775">
        <f>F24</f>
        <v>100</v>
      </c>
      <c r="T24" s="774" t="s">
        <v>17</v>
      </c>
      <c r="U24" s="775">
        <f>H24</f>
        <v>100</v>
      </c>
      <c r="V24" s="774" t="s">
        <v>17</v>
      </c>
      <c r="W24" s="775">
        <f>J24</f>
        <v>100</v>
      </c>
      <c r="X24" s="1815"/>
      <c r="Y24" s="3262"/>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4"/>
      <c r="M25" s="1135"/>
      <c r="N25" s="1135"/>
      <c r="O25" s="1136"/>
      <c r="P25" s="3262"/>
      <c r="Q25" s="1797">
        <f t="shared" si="11"/>
        <v>111</v>
      </c>
      <c r="R25" s="770" t="s">
        <v>17</v>
      </c>
      <c r="S25" s="771">
        <f>F25</f>
        <v>100</v>
      </c>
      <c r="T25" s="770" t="s">
        <v>17</v>
      </c>
      <c r="U25" s="771">
        <f>H25</f>
        <v>100</v>
      </c>
      <c r="V25" s="770" t="s">
        <v>17</v>
      </c>
      <c r="W25" s="771">
        <f>J25</f>
        <v>100</v>
      </c>
      <c r="X25" s="772"/>
      <c r="Y25" s="3262"/>
      <c r="Z25" s="55">
        <f>Q25</f>
        <v>111</v>
      </c>
      <c r="AA25" s="1813">
        <f>D25/F25</f>
        <v>1</v>
      </c>
      <c r="AB25" s="1813">
        <f>D25/H25</f>
        <v>1</v>
      </c>
      <c r="AC25" s="1813">
        <f>D25/J25</f>
        <v>1</v>
      </c>
    </row>
    <row r="26" spans="1:29" ht="15">
      <c r="A26" s="466" t="s">
        <v>2567</v>
      </c>
      <c r="B26" s="71" t="s">
        <v>2718</v>
      </c>
      <c r="C26" s="2684"/>
      <c r="D26" s="467">
        <v>100</v>
      </c>
      <c r="E26" s="2684"/>
      <c r="F26" s="667">
        <f>SUMIF(77:77,E26,78:78)-SUMIF(77:77,C26,78:78)+100</f>
        <v>100</v>
      </c>
      <c r="G26" s="2684"/>
      <c r="H26" s="467">
        <f>SUMIF(77:77,G26,78:78)-SUMIF(77:77,C26,78:78)+100</f>
        <v>100</v>
      </c>
      <c r="I26" s="2684"/>
      <c r="J26" s="467">
        <f>SUMIF(77:77,I26,78:78)-SUMIF(77:77,C26,78:78)+100</f>
        <v>100</v>
      </c>
      <c r="K26" s="612"/>
      <c r="L26" s="1142"/>
      <c r="M26" s="1133"/>
      <c r="N26" s="1133"/>
      <c r="O26" s="1141"/>
      <c r="P26" s="3317" t="s">
        <v>2569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66" t="s">
        <v>2569</v>
      </c>
      <c r="Z26" s="1816" t="str">
        <f t="shared" ref="Z26:Z34" si="15">Q26</f>
        <v>公共部分装修</v>
      </c>
      <c r="AA26" s="1813">
        <f t="shared" si="3"/>
        <v>1</v>
      </c>
      <c r="AB26" s="1813">
        <f t="shared" si="4"/>
        <v>1</v>
      </c>
      <c r="AC26" s="1813">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66"/>
      <c r="Q27" s="776" t="str">
        <f t="shared" si="11"/>
        <v>成新率</v>
      </c>
      <c r="R27" s="777" t="s">
        <v>17</v>
      </c>
      <c r="S27" s="778" t="e">
        <f t="shared" si="12"/>
        <v>#N/A</v>
      </c>
      <c r="T27" s="777" t="s">
        <v>17</v>
      </c>
      <c r="U27" s="778" t="e">
        <f t="shared" si="13"/>
        <v>#N/A</v>
      </c>
      <c r="V27" s="777" t="s">
        <v>17</v>
      </c>
      <c r="W27" s="778" t="e">
        <f t="shared" si="14"/>
        <v>#N/A</v>
      </c>
      <c r="X27" s="779"/>
      <c r="Y27" s="3266"/>
      <c r="Z27" s="780" t="str">
        <f t="shared" si="15"/>
        <v>成新率</v>
      </c>
      <c r="AA27" s="1813" t="e">
        <f t="shared" si="3"/>
        <v>#N/A</v>
      </c>
      <c r="AB27" s="1813" t="e">
        <f t="shared" si="4"/>
        <v>#N/A</v>
      </c>
      <c r="AC27" s="1813"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66"/>
      <c r="Q28" s="1812" t="str">
        <f t="shared" si="11"/>
        <v>物业等级</v>
      </c>
      <c r="R28" s="774" t="s">
        <v>17</v>
      </c>
      <c r="S28" s="775">
        <f t="shared" si="12"/>
        <v>100</v>
      </c>
      <c r="T28" s="774" t="s">
        <v>17</v>
      </c>
      <c r="U28" s="775">
        <f t="shared" si="13"/>
        <v>100</v>
      </c>
      <c r="V28" s="774" t="s">
        <v>17</v>
      </c>
      <c r="W28" s="775">
        <f t="shared" si="14"/>
        <v>100</v>
      </c>
      <c r="X28" s="1815"/>
      <c r="Y28" s="3266"/>
      <c r="Z28" s="1816" t="str">
        <f t="shared" si="15"/>
        <v>物业等级</v>
      </c>
      <c r="AA28" s="1813">
        <f t="shared" si="3"/>
        <v>1</v>
      </c>
      <c r="AB28" s="1813">
        <f t="shared" si="4"/>
        <v>1</v>
      </c>
      <c r="AC28" s="1813">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66"/>
      <c r="Q29" s="1812" t="str">
        <f t="shared" si="11"/>
        <v>有无电梯</v>
      </c>
      <c r="R29" s="774" t="s">
        <v>17</v>
      </c>
      <c r="S29" s="775">
        <f t="shared" si="12"/>
        <v>100</v>
      </c>
      <c r="T29" s="774" t="s">
        <v>17</v>
      </c>
      <c r="U29" s="775">
        <f t="shared" si="13"/>
        <v>100</v>
      </c>
      <c r="V29" s="774" t="s">
        <v>17</v>
      </c>
      <c r="W29" s="775">
        <f t="shared" si="14"/>
        <v>100</v>
      </c>
      <c r="X29" s="1815"/>
      <c r="Y29" s="3266"/>
      <c r="Z29" s="1816" t="str">
        <f t="shared" si="15"/>
        <v>有无电梯</v>
      </c>
      <c r="AA29" s="1813">
        <f t="shared" si="3"/>
        <v>1</v>
      </c>
      <c r="AB29" s="1813">
        <f t="shared" si="4"/>
        <v>1</v>
      </c>
      <c r="AC29" s="1813">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66"/>
      <c r="Q30" s="1812" t="str">
        <f t="shared" si="11"/>
        <v>建筑面积</v>
      </c>
      <c r="R30" s="774" t="s">
        <v>17</v>
      </c>
      <c r="S30" s="775" t="e">
        <f t="shared" si="12"/>
        <v>#N/A</v>
      </c>
      <c r="T30" s="774" t="s">
        <v>17</v>
      </c>
      <c r="U30" s="775" t="e">
        <f t="shared" si="13"/>
        <v>#N/A</v>
      </c>
      <c r="V30" s="774" t="s">
        <v>17</v>
      </c>
      <c r="W30" s="775" t="e">
        <f t="shared" si="14"/>
        <v>#N/A</v>
      </c>
      <c r="X30" s="1815"/>
      <c r="Y30" s="3266"/>
      <c r="Z30" s="1816" t="str">
        <f t="shared" si="15"/>
        <v>建筑面积</v>
      </c>
      <c r="AA30" s="1813" t="e">
        <f t="shared" si="3"/>
        <v>#N/A</v>
      </c>
      <c r="AB30" s="1813" t="e">
        <f t="shared" si="4"/>
        <v>#N/A</v>
      </c>
      <c r="AC30" s="1813"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66"/>
      <c r="Q31" s="1797" t="str">
        <f t="shared" si="11"/>
        <v>是否封闭</v>
      </c>
      <c r="R31" s="770" t="s">
        <v>17</v>
      </c>
      <c r="S31" s="771">
        <f t="shared" si="12"/>
        <v>100</v>
      </c>
      <c r="T31" s="770" t="s">
        <v>17</v>
      </c>
      <c r="U31" s="771">
        <f t="shared" si="13"/>
        <v>100</v>
      </c>
      <c r="V31" s="770" t="s">
        <v>17</v>
      </c>
      <c r="W31" s="771">
        <f t="shared" si="14"/>
        <v>100</v>
      </c>
      <c r="X31" s="772"/>
      <c r="Y31" s="3266"/>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66" t="s">
        <v>2569</v>
      </c>
      <c r="Q32" s="1812">
        <f t="shared" si="11"/>
        <v>111</v>
      </c>
      <c r="R32" s="774" t="s">
        <v>17</v>
      </c>
      <c r="S32" s="775">
        <f t="shared" si="12"/>
        <v>100</v>
      </c>
      <c r="T32" s="774" t="s">
        <v>17</v>
      </c>
      <c r="U32" s="775">
        <f t="shared" si="13"/>
        <v>100</v>
      </c>
      <c r="V32" s="774" t="s">
        <v>17</v>
      </c>
      <c r="W32" s="775">
        <f t="shared" si="14"/>
        <v>100</v>
      </c>
      <c r="X32" s="1815"/>
      <c r="Y32" s="3266" t="s">
        <v>2569</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66"/>
      <c r="Q33" s="1812">
        <f t="shared" si="11"/>
        <v>111</v>
      </c>
      <c r="R33" s="774" t="s">
        <v>17</v>
      </c>
      <c r="S33" s="775">
        <f t="shared" si="12"/>
        <v>100</v>
      </c>
      <c r="T33" s="774" t="s">
        <v>17</v>
      </c>
      <c r="U33" s="775">
        <f t="shared" si="13"/>
        <v>100</v>
      </c>
      <c r="V33" s="774" t="s">
        <v>17</v>
      </c>
      <c r="W33" s="775">
        <f t="shared" si="14"/>
        <v>100</v>
      </c>
      <c r="X33" s="1815"/>
      <c r="Y33" s="3266"/>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2"/>
      <c r="M34" s="1133"/>
      <c r="N34" s="1133"/>
      <c r="O34" s="1141"/>
      <c r="P34" s="3266"/>
      <c r="Q34" s="1812">
        <f t="shared" si="11"/>
        <v>111</v>
      </c>
      <c r="R34" s="774" t="s">
        <v>17</v>
      </c>
      <c r="S34" s="775">
        <f t="shared" si="12"/>
        <v>100</v>
      </c>
      <c r="T34" s="774" t="s">
        <v>17</v>
      </c>
      <c r="U34" s="775">
        <f t="shared" si="13"/>
        <v>100</v>
      </c>
      <c r="V34" s="774" t="s">
        <v>17</v>
      </c>
      <c r="W34" s="775">
        <f t="shared" si="14"/>
        <v>100</v>
      </c>
      <c r="X34" s="1815"/>
      <c r="Y34" s="3266"/>
      <c r="Z34" s="1816">
        <f t="shared" si="15"/>
        <v>111</v>
      </c>
      <c r="AA34" s="1813">
        <f t="shared" si="3"/>
        <v>1</v>
      </c>
      <c r="AB34" s="1813">
        <f t="shared" si="4"/>
        <v>1</v>
      </c>
      <c r="AC34" s="1813">
        <f t="shared" si="5"/>
        <v>1</v>
      </c>
    </row>
    <row r="35" spans="1:29" ht="15">
      <c r="A35" s="479" t="s">
        <v>2581</v>
      </c>
      <c r="B35" s="480"/>
      <c r="C35" s="1409" t="s">
        <v>1</v>
      </c>
      <c r="D35" s="1410"/>
      <c r="E35" s="1411"/>
      <c r="F35" s="1412"/>
      <c r="G35" s="1413"/>
      <c r="H35" s="1414"/>
      <c r="I35" s="1411"/>
      <c r="J35" s="1414"/>
      <c r="K35" s="783"/>
      <c r="L35" s="1145"/>
      <c r="M35" s="1146"/>
      <c r="N35" s="1133"/>
      <c r="O35" s="1146"/>
      <c r="P35" s="3259" t="str">
        <f>A35</f>
        <v>成交单价（元/平方米）</v>
      </c>
      <c r="Q35" s="3259"/>
      <c r="R35" s="3260">
        <f>E35</f>
        <v>0</v>
      </c>
      <c r="S35" s="3260"/>
      <c r="T35" s="3260">
        <f>G35</f>
        <v>0</v>
      </c>
      <c r="U35" s="3260"/>
      <c r="V35" s="3260">
        <f>I35</f>
        <v>0</v>
      </c>
      <c r="W35" s="3260"/>
      <c r="X35" s="759"/>
      <c r="Y35" s="781"/>
      <c r="Z35" s="759"/>
      <c r="AA35" s="759"/>
      <c r="AB35" s="759"/>
      <c r="AC35" s="759"/>
    </row>
    <row r="36" spans="1:29" ht="15.75" thickBot="1">
      <c r="A36" s="486" t="s">
        <v>2673</v>
      </c>
      <c r="B36" s="487"/>
      <c r="C36" s="1415" t="e">
        <f>R37</f>
        <v>#DIV/0!</v>
      </c>
      <c r="D36" s="1416"/>
      <c r="E36" s="1417" t="e">
        <f>R36</f>
        <v>#DIV/0!</v>
      </c>
      <c r="F36" s="1417"/>
      <c r="G36" s="1415" t="e">
        <f>T36</f>
        <v>#DIV/0!</v>
      </c>
      <c r="H36" s="1416"/>
      <c r="I36" s="1417" t="e">
        <f>V36</f>
        <v>#DIV/0!</v>
      </c>
      <c r="J36" s="1416"/>
      <c r="K36" s="784"/>
      <c r="L36" s="1145"/>
      <c r="M36" s="1146"/>
      <c r="N36" s="1133"/>
      <c r="O36" s="1146"/>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2674</v>
      </c>
      <c r="B37" s="493"/>
      <c r="C37" s="1419" t="e">
        <f>R37</f>
        <v>#DIV/0!</v>
      </c>
      <c r="D37" s="1419"/>
      <c r="E37" s="1419"/>
      <c r="F37" s="1419"/>
      <c r="G37" s="1419"/>
      <c r="H37" s="1419"/>
      <c r="I37" s="1419"/>
      <c r="J37" s="1419"/>
      <c r="K37" s="785"/>
      <c r="L37" s="1145"/>
      <c r="M37" s="1146"/>
      <c r="N37" s="1146"/>
      <c r="O37" s="1146"/>
      <c r="P37" s="3256" t="str">
        <f>A37</f>
        <v>估价对象XX用房的比较价值（楼面单价，元/平方米）</v>
      </c>
      <c r="Q37" s="3257"/>
      <c r="R37" s="3258" t="e">
        <f>IF(F1="售价",ROUND(AVERAGE(R36:V36),0),ROUND(AVERAGE(R36:V36),1))</f>
        <v>#DIV/0!</v>
      </c>
      <c r="S37" s="3258"/>
      <c r="T37" s="3258"/>
      <c r="U37" s="3258"/>
      <c r="V37" s="3258"/>
      <c r="W37" s="3258"/>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6" t="str">
        <f>YEAR(C7)&amp;"-"&amp;MONTH(C7)</f>
        <v>2018-2</v>
      </c>
      <c r="D46" s="1577">
        <f>EDATE(C46,-1)</f>
        <v>43101</v>
      </c>
      <c r="E46" s="1577">
        <f t="shared" ref="E46:O46" si="16">EDATE(D46,-1)</f>
        <v>43070</v>
      </c>
      <c r="F46" s="1577">
        <f t="shared" si="16"/>
        <v>43040</v>
      </c>
      <c r="G46" s="1577">
        <f t="shared" si="16"/>
        <v>43009</v>
      </c>
      <c r="H46" s="1577">
        <f t="shared" si="16"/>
        <v>42979</v>
      </c>
      <c r="I46" s="1577">
        <f t="shared" si="16"/>
        <v>42948</v>
      </c>
      <c r="J46" s="1577">
        <f t="shared" si="16"/>
        <v>42917</v>
      </c>
      <c r="K46" s="1577">
        <f t="shared" si="16"/>
        <v>42887</v>
      </c>
      <c r="L46" s="1577">
        <f t="shared" si="16"/>
        <v>42856</v>
      </c>
      <c r="M46" s="1577">
        <f t="shared" si="16"/>
        <v>42826</v>
      </c>
      <c r="N46" s="1577">
        <f t="shared" si="16"/>
        <v>42795</v>
      </c>
      <c r="O46" s="1577">
        <f t="shared" si="16"/>
        <v>42767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2592</v>
      </c>
      <c r="B51" s="528" t="s">
        <v>2558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2567</v>
      </c>
      <c r="B77" s="528" t="s">
        <v>2620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2649</v>
      </c>
      <c r="B4" s="402"/>
      <c r="C4" s="3274" t="s">
        <v>2650</v>
      </c>
      <c r="D4" s="3275"/>
      <c r="E4" s="3276" t="s">
        <v>2651</v>
      </c>
      <c r="F4" s="3277"/>
      <c r="G4" s="3274" t="s">
        <v>2652</v>
      </c>
      <c r="H4" s="3275"/>
      <c r="I4" s="3274" t="s">
        <v>2653</v>
      </c>
      <c r="J4" s="3275"/>
      <c r="K4" s="610" t="s">
        <v>2654</v>
      </c>
      <c r="L4" s="1132"/>
      <c r="M4" s="1133"/>
      <c r="N4" s="1133"/>
      <c r="O4" s="1133"/>
      <c r="P4" s="3278" t="s">
        <v>2655</v>
      </c>
      <c r="Q4" s="3279"/>
      <c r="R4" s="3284" t="s">
        <v>2651</v>
      </c>
      <c r="S4" s="3285"/>
      <c r="T4" s="3284" t="s">
        <v>2652</v>
      </c>
      <c r="U4" s="3285"/>
      <c r="V4" s="3290" t="s">
        <v>2653</v>
      </c>
      <c r="W4" s="3290"/>
      <c r="X4" s="1815"/>
      <c r="Y4" s="3284" t="s">
        <v>2655</v>
      </c>
      <c r="Z4" s="3285"/>
      <c r="AA4" s="3271" t="s">
        <v>2651</v>
      </c>
      <c r="AB4" s="3272" t="s">
        <v>2652</v>
      </c>
      <c r="AC4" s="3271" t="s">
        <v>2653</v>
      </c>
    </row>
    <row r="5" spans="1:30" ht="15">
      <c r="A5" s="404"/>
      <c r="B5" s="405"/>
      <c r="C5" s="3293" t="s">
        <v>2546</v>
      </c>
      <c r="D5" s="3294"/>
      <c r="E5" s="3300" t="s">
        <v>2547</v>
      </c>
      <c r="F5" s="3301"/>
      <c r="G5" s="3293" t="s">
        <v>2548</v>
      </c>
      <c r="H5" s="3294"/>
      <c r="I5" s="3293" t="s">
        <v>2549</v>
      </c>
      <c r="J5" s="3294"/>
      <c r="K5" s="610"/>
      <c r="L5" s="1132"/>
      <c r="M5" s="1133"/>
      <c r="N5" s="1133"/>
      <c r="O5" s="1133"/>
      <c r="P5" s="3280"/>
      <c r="Q5" s="3281"/>
      <c r="R5" s="3286"/>
      <c r="S5" s="3287"/>
      <c r="T5" s="3286"/>
      <c r="U5" s="3287"/>
      <c r="V5" s="3290"/>
      <c r="W5" s="3290"/>
      <c r="X5" s="1815"/>
      <c r="Y5" s="3286"/>
      <c r="Z5" s="3287"/>
      <c r="AA5" s="3272"/>
      <c r="AB5" s="3272"/>
      <c r="AC5" s="3272"/>
    </row>
    <row r="6" spans="1:30" ht="15.75" thickBot="1">
      <c r="A6" s="406"/>
      <c r="B6" s="407"/>
      <c r="C6" s="3291" t="s">
        <v>2550</v>
      </c>
      <c r="D6" s="3292"/>
      <c r="E6" s="3298" t="s">
        <v>2550</v>
      </c>
      <c r="F6" s="3299"/>
      <c r="G6" s="3291" t="s">
        <v>2550</v>
      </c>
      <c r="H6" s="3292"/>
      <c r="I6" s="3291" t="s">
        <v>2550</v>
      </c>
      <c r="J6" s="3292"/>
      <c r="K6" s="610" t="s">
        <v>2551</v>
      </c>
      <c r="L6" s="1132"/>
      <c r="M6" s="1133"/>
      <c r="N6" s="1133"/>
      <c r="O6" s="1133"/>
      <c r="P6" s="3282"/>
      <c r="Q6" s="3283"/>
      <c r="R6" s="3286"/>
      <c r="S6" s="3287"/>
      <c r="T6" s="3288"/>
      <c r="U6" s="3289"/>
      <c r="V6" s="3290"/>
      <c r="W6" s="3290"/>
      <c r="X6" s="1815"/>
      <c r="Y6" s="3288"/>
      <c r="Z6" s="3289"/>
      <c r="AA6" s="3273"/>
      <c r="AB6" s="3273"/>
      <c r="AC6" s="3273"/>
    </row>
    <row r="7" spans="1:30" s="117" customFormat="1" ht="15.75" thickBot="1">
      <c r="A7" s="408" t="s">
        <v>2552</v>
      </c>
      <c r="B7" s="409"/>
      <c r="C7" s="410">
        <f>'数据-取费表'!B2</f>
        <v>43157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4"/>
      <c r="M7" s="1135"/>
      <c r="N7" s="1135"/>
      <c r="O7" s="1135"/>
      <c r="P7" s="3295" t="s">
        <v>2553</v>
      </c>
      <c r="Q7" s="3297"/>
      <c r="R7" s="770" t="s">
        <v>17</v>
      </c>
      <c r="S7" s="771">
        <f t="shared" ref="S7:S15" si="0">F7</f>
        <v>0</v>
      </c>
      <c r="T7" s="770" t="s">
        <v>17</v>
      </c>
      <c r="U7" s="771">
        <f t="shared" ref="U7:U15" si="1">H7</f>
        <v>0</v>
      </c>
      <c r="V7" s="770" t="s">
        <v>17</v>
      </c>
      <c r="W7" s="771">
        <f t="shared" ref="W7:W15" si="2">J7</f>
        <v>0</v>
      </c>
      <c r="X7" s="772"/>
      <c r="Y7" s="3295" t="s">
        <v>2553</v>
      </c>
      <c r="Z7" s="3296"/>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95" t="s">
        <v>2556</v>
      </c>
      <c r="Q8" s="3296"/>
      <c r="R8" s="770" t="s">
        <v>17</v>
      </c>
      <c r="S8" s="771">
        <f t="shared" si="0"/>
        <v>0</v>
      </c>
      <c r="T8" s="770" t="s">
        <v>17</v>
      </c>
      <c r="U8" s="771">
        <f t="shared" si="1"/>
        <v>0</v>
      </c>
      <c r="V8" s="770" t="s">
        <v>17</v>
      </c>
      <c r="W8" s="771">
        <f t="shared" si="2"/>
        <v>0</v>
      </c>
      <c r="X8" s="772"/>
      <c r="Y8" s="3295" t="s">
        <v>2556</v>
      </c>
      <c r="Z8" s="3296"/>
      <c r="AA8" s="773" t="e">
        <f t="shared" ref="AA8:AA45" si="3">D8/F8</f>
        <v>#DIV/0!</v>
      </c>
      <c r="AB8" s="773" t="e">
        <f t="shared" ref="AB8:AB45" si="4">D8/H8</f>
        <v>#DIV/0!</v>
      </c>
      <c r="AC8" s="773" t="e">
        <f t="shared" ref="AC8:AC45" si="5">D8/J8</f>
        <v>#DIV/0!</v>
      </c>
    </row>
    <row r="9" spans="1:30" s="117" customFormat="1">
      <c r="A9" s="415" t="s">
        <v>2557</v>
      </c>
      <c r="B9" s="71" t="s">
        <v>2558</v>
      </c>
      <c r="C9" s="2704"/>
      <c r="D9" s="135">
        <v>100</v>
      </c>
      <c r="E9" s="2704"/>
      <c r="F9" s="135">
        <f>SUMIF(75:75,E9,76:76)-SUMIF(75:75,C9,76:76)+100</f>
        <v>100</v>
      </c>
      <c r="G9" s="2704"/>
      <c r="H9" s="135">
        <f>SUMIF(75:75,G9,76:76)-SUMIF(75:75,C9,76:76)+100</f>
        <v>100</v>
      </c>
      <c r="I9" s="2704"/>
      <c r="J9" s="135">
        <f>SUMIF(75:75,I9,76:76)-SUMIF(75:75,C9,76:76)+100</f>
        <v>100</v>
      </c>
      <c r="K9" s="611"/>
      <c r="L9" s="1134"/>
      <c r="M9" s="1135"/>
      <c r="N9" s="1135"/>
      <c r="O9" s="1136"/>
      <c r="P9" s="3259" t="s">
        <v>2559</v>
      </c>
      <c r="Q9" s="1797"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120</v>
      </c>
      <c r="G10" s="463"/>
      <c r="H10" s="136">
        <f>ROUND(100/'数据-取费表'!G16,0)</f>
        <v>120</v>
      </c>
      <c r="I10" s="463"/>
      <c r="J10" s="136">
        <f>ROUND(100/'数据-取费表'!G16,0)</f>
        <v>120</v>
      </c>
      <c r="K10" s="672"/>
      <c r="L10" s="1137"/>
      <c r="M10" s="1138"/>
      <c r="N10" s="1138"/>
      <c r="O10" s="1139"/>
      <c r="P10" s="3259"/>
      <c r="Q10" s="1797" t="str">
        <f t="shared" si="6"/>
        <v>土地使用年限（年）</v>
      </c>
      <c r="R10" s="770" t="s">
        <v>17</v>
      </c>
      <c r="S10" s="771">
        <f t="shared" si="0"/>
        <v>120</v>
      </c>
      <c r="T10" s="770" t="s">
        <v>17</v>
      </c>
      <c r="U10" s="771">
        <f t="shared" si="1"/>
        <v>120</v>
      </c>
      <c r="V10" s="770" t="s">
        <v>17</v>
      </c>
      <c r="W10" s="771">
        <f t="shared" si="2"/>
        <v>120</v>
      </c>
      <c r="X10" s="772"/>
      <c r="Y10" s="3084"/>
      <c r="Z10" s="55" t="str">
        <f t="shared" si="7"/>
        <v>土地使用年限（年）</v>
      </c>
      <c r="AA10" s="773">
        <f t="shared" si="3"/>
        <v>0.83333333333333337</v>
      </c>
      <c r="AB10" s="773">
        <f t="shared" si="4"/>
        <v>0.83333333333333337</v>
      </c>
      <c r="AC10" s="773">
        <f t="shared" si="5"/>
        <v>0.83333333333333337</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59"/>
      <c r="Q11" s="1797"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30" s="117" customFormat="1" ht="15">
      <c r="A12" s="431"/>
      <c r="B12" s="2605" t="s">
        <v>2751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59"/>
      <c r="Q12" s="1797" t="str">
        <f t="shared" si="6"/>
        <v>配建</v>
      </c>
      <c r="R12" s="770" t="s">
        <v>17</v>
      </c>
      <c r="S12" s="771">
        <f t="shared" si="0"/>
        <v>100</v>
      </c>
      <c r="T12" s="770" t="s">
        <v>17</v>
      </c>
      <c r="U12" s="771">
        <f t="shared" si="1"/>
        <v>100</v>
      </c>
      <c r="V12" s="770" t="s">
        <v>17</v>
      </c>
      <c r="W12" s="771">
        <f t="shared" si="2"/>
        <v>100</v>
      </c>
      <c r="X12" s="772"/>
      <c r="Y12" s="3084"/>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59"/>
      <c r="Q13" s="1797">
        <f t="shared" si="6"/>
        <v>111</v>
      </c>
      <c r="R13" s="770" t="s">
        <v>17</v>
      </c>
      <c r="S13" s="771">
        <f t="shared" si="0"/>
        <v>100</v>
      </c>
      <c r="T13" s="770" t="s">
        <v>17</v>
      </c>
      <c r="U13" s="771">
        <f t="shared" si="1"/>
        <v>100</v>
      </c>
      <c r="V13" s="770" t="s">
        <v>17</v>
      </c>
      <c r="W13" s="771">
        <f t="shared" si="2"/>
        <v>100</v>
      </c>
      <c r="X13" s="772"/>
      <c r="Y13" s="3084"/>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59"/>
      <c r="Q14" s="1797">
        <f t="shared" si="6"/>
        <v>111</v>
      </c>
      <c r="R14" s="770" t="s">
        <v>17</v>
      </c>
      <c r="S14" s="771">
        <f t="shared" si="0"/>
        <v>100</v>
      </c>
      <c r="T14" s="770" t="s">
        <v>17</v>
      </c>
      <c r="U14" s="771">
        <f t="shared" si="1"/>
        <v>100</v>
      </c>
      <c r="V14" s="770" t="s">
        <v>17</v>
      </c>
      <c r="W14" s="771">
        <f t="shared" si="2"/>
        <v>100</v>
      </c>
      <c r="X14" s="772"/>
      <c r="Y14" s="3084"/>
      <c r="Z14" s="55">
        <f t="shared" si="7"/>
        <v>111</v>
      </c>
      <c r="AA14" s="773">
        <f>D14/F14</f>
        <v>1</v>
      </c>
      <c r="AB14" s="773">
        <f>D14/H14</f>
        <v>1</v>
      </c>
      <c r="AC14" s="773">
        <f>D14/J14</f>
        <v>1</v>
      </c>
    </row>
    <row r="15" spans="1:30" ht="99.75">
      <c r="A15" s="440" t="s">
        <v>2563</v>
      </c>
      <c r="B15" s="69" t="s">
        <v>2090</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61" t="s">
        <v>2564</v>
      </c>
      <c r="Q15" s="1812" t="str">
        <f t="shared" si="6"/>
        <v>居住社区成熟度</v>
      </c>
      <c r="R15" s="774" t="s">
        <v>17</v>
      </c>
      <c r="S15" s="775">
        <f t="shared" si="0"/>
        <v>100</v>
      </c>
      <c r="T15" s="774" t="s">
        <v>17</v>
      </c>
      <c r="U15" s="775">
        <f t="shared" si="1"/>
        <v>100</v>
      </c>
      <c r="V15" s="774" t="s">
        <v>17</v>
      </c>
      <c r="W15" s="775">
        <f t="shared" si="2"/>
        <v>100</v>
      </c>
      <c r="X15" s="1815"/>
      <c r="Y15" s="3261" t="s">
        <v>2564</v>
      </c>
      <c r="Z15" s="1816" t="str">
        <f t="shared" si="7"/>
        <v>居住社区成熟度</v>
      </c>
      <c r="AA15" s="1813">
        <f t="shared" si="3"/>
        <v>1</v>
      </c>
      <c r="AB15" s="1813">
        <f t="shared" si="4"/>
        <v>1</v>
      </c>
      <c r="AC15" s="1813">
        <f t="shared" si="5"/>
        <v>1</v>
      </c>
    </row>
    <row r="16" spans="1:30" ht="15">
      <c r="A16" s="428"/>
      <c r="B16" s="446"/>
      <c r="C16" s="447"/>
      <c r="D16" s="448"/>
      <c r="E16" s="2610"/>
      <c r="F16" s="448"/>
      <c r="G16" s="2610"/>
      <c r="H16" s="450"/>
      <c r="I16" s="2609"/>
      <c r="J16" s="448"/>
      <c r="K16" s="672"/>
      <c r="L16" s="1142"/>
      <c r="M16" s="1133"/>
      <c r="N16" s="1133"/>
      <c r="O16" s="1141"/>
      <c r="P16" s="3262"/>
      <c r="Q16" s="1812"/>
      <c r="R16" s="774"/>
      <c r="S16" s="775"/>
      <c r="T16" s="774"/>
      <c r="U16" s="775"/>
      <c r="V16" s="774"/>
      <c r="W16" s="775"/>
      <c r="X16" s="1815"/>
      <c r="Y16" s="3262"/>
      <c r="Z16" s="1816"/>
      <c r="AA16" s="1813">
        <v>1</v>
      </c>
      <c r="AB16" s="1813">
        <v>1</v>
      </c>
      <c r="AC16" s="1813">
        <v>1</v>
      </c>
    </row>
    <row r="17" spans="1:29" ht="71.25">
      <c r="A17" s="428"/>
      <c r="B17" s="451" t="s">
        <v>2657</v>
      </c>
      <c r="C17" s="2669" t="str">
        <f>估价对象房地状况!C16</f>
        <v>估价对象位于XX商圈，周边商业氛围成熟，人流量大，商业繁华度较好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62"/>
      <c r="Q17" s="1812" t="str">
        <f>B17</f>
        <v>商业繁华度</v>
      </c>
      <c r="R17" s="774" t="s">
        <v>17</v>
      </c>
      <c r="S17" s="775">
        <f>F17</f>
        <v>100</v>
      </c>
      <c r="T17" s="774" t="s">
        <v>17</v>
      </c>
      <c r="U17" s="775">
        <f>H17</f>
        <v>100</v>
      </c>
      <c r="V17" s="774" t="s">
        <v>17</v>
      </c>
      <c r="W17" s="775">
        <f>J17</f>
        <v>100</v>
      </c>
      <c r="X17" s="1815"/>
      <c r="Y17" s="3262"/>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2"/>
      <c r="M18" s="1133"/>
      <c r="N18" s="1133"/>
      <c r="O18" s="1141"/>
      <c r="P18" s="3262"/>
      <c r="Q18" s="1812"/>
      <c r="R18" s="774"/>
      <c r="S18" s="775"/>
      <c r="T18" s="774"/>
      <c r="U18" s="775"/>
      <c r="V18" s="774"/>
      <c r="W18" s="775"/>
      <c r="X18" s="1815"/>
      <c r="Y18" s="3262"/>
      <c r="Z18" s="1816"/>
      <c r="AA18" s="1813">
        <v>1</v>
      </c>
      <c r="AB18" s="1813">
        <v>1</v>
      </c>
      <c r="AC18" s="1813">
        <v>1</v>
      </c>
    </row>
    <row r="19" spans="1:29" ht="71.25">
      <c r="A19" s="428"/>
      <c r="B19" s="451" t="s">
        <v>2691</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62"/>
      <c r="Q19" s="1812" t="str">
        <f>B19</f>
        <v>办公集聚程度</v>
      </c>
      <c r="R19" s="774" t="s">
        <v>17</v>
      </c>
      <c r="S19" s="775">
        <f>F19</f>
        <v>100</v>
      </c>
      <c r="T19" s="774" t="s">
        <v>17</v>
      </c>
      <c r="U19" s="775">
        <f>H19</f>
        <v>100</v>
      </c>
      <c r="V19" s="774" t="s">
        <v>17</v>
      </c>
      <c r="W19" s="775">
        <f>J19</f>
        <v>100</v>
      </c>
      <c r="X19" s="1815"/>
      <c r="Y19" s="3262"/>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2"/>
      <c r="M20" s="1133"/>
      <c r="N20" s="1133"/>
      <c r="O20" s="1141"/>
      <c r="P20" s="3262"/>
      <c r="Q20" s="1812"/>
      <c r="R20" s="774"/>
      <c r="S20" s="775"/>
      <c r="T20" s="774"/>
      <c r="U20" s="775"/>
      <c r="V20" s="774"/>
      <c r="W20" s="775"/>
      <c r="X20" s="1815"/>
      <c r="Y20" s="3262"/>
      <c r="Z20" s="1816"/>
      <c r="AA20" s="1813">
        <v>1</v>
      </c>
      <c r="AB20" s="1813">
        <v>1</v>
      </c>
      <c r="AC20" s="1813">
        <v>1</v>
      </c>
    </row>
    <row r="21" spans="1:29" ht="85.5">
      <c r="A21" s="428"/>
      <c r="B21" s="451" t="s">
        <v>2713</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62"/>
      <c r="Q21" s="1812" t="str">
        <f>B21</f>
        <v>交通便捷度</v>
      </c>
      <c r="R21" s="774" t="s">
        <v>17</v>
      </c>
      <c r="S21" s="775">
        <f>F21</f>
        <v>100</v>
      </c>
      <c r="T21" s="774" t="s">
        <v>17</v>
      </c>
      <c r="U21" s="775">
        <f>H21</f>
        <v>100</v>
      </c>
      <c r="V21" s="774" t="s">
        <v>17</v>
      </c>
      <c r="W21" s="775">
        <f>J21</f>
        <v>100</v>
      </c>
      <c r="X21" s="1815"/>
      <c r="Y21" s="3262"/>
      <c r="Z21" s="1816" t="str">
        <f>Q21</f>
        <v>交通便捷度</v>
      </c>
      <c r="AA21" s="1813">
        <f t="shared" si="3"/>
        <v>1</v>
      </c>
      <c r="AB21" s="1813">
        <f t="shared" si="4"/>
        <v>1</v>
      </c>
      <c r="AC21" s="1813">
        <f t="shared" si="5"/>
        <v>1</v>
      </c>
    </row>
    <row r="22" spans="1:29" ht="15">
      <c r="A22" s="428"/>
      <c r="B22" s="1386"/>
      <c r="C22" s="447"/>
      <c r="D22" s="450"/>
      <c r="E22" s="2610"/>
      <c r="F22" s="448"/>
      <c r="G22" s="2610"/>
      <c r="H22" s="448"/>
      <c r="I22" s="2609"/>
      <c r="J22" s="448"/>
      <c r="K22" s="672"/>
      <c r="L22" s="1142"/>
      <c r="M22" s="1133"/>
      <c r="N22" s="1133"/>
      <c r="O22" s="1141"/>
      <c r="P22" s="3262"/>
      <c r="Q22" s="1812"/>
      <c r="R22" s="774"/>
      <c r="S22" s="775"/>
      <c r="T22" s="774"/>
      <c r="U22" s="775"/>
      <c r="V22" s="774"/>
      <c r="W22" s="775"/>
      <c r="X22" s="1815"/>
      <c r="Y22" s="3262"/>
      <c r="Z22" s="1816"/>
      <c r="AA22" s="1813">
        <v>1</v>
      </c>
      <c r="AB22" s="1813">
        <v>1</v>
      </c>
      <c r="AC22" s="1813">
        <v>1</v>
      </c>
    </row>
    <row r="23" spans="1:29" ht="15">
      <c r="A23" s="404"/>
      <c r="B23" s="451" t="s">
        <v>2752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62"/>
      <c r="Q23" s="1812" t="str">
        <f t="shared" ref="Q23:Q37" si="8">B23</f>
        <v>区域土地利用方向</v>
      </c>
      <c r="R23" s="774" t="s">
        <v>17</v>
      </c>
      <c r="S23" s="775">
        <f>F23</f>
        <v>100</v>
      </c>
      <c r="T23" s="774" t="s">
        <v>17</v>
      </c>
      <c r="U23" s="775">
        <f>H23</f>
        <v>100</v>
      </c>
      <c r="V23" s="774" t="s">
        <v>17</v>
      </c>
      <c r="W23" s="775">
        <f>J23</f>
        <v>100</v>
      </c>
      <c r="X23" s="1815"/>
      <c r="Y23" s="3262"/>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1"/>
      <c r="L24" s="1142"/>
      <c r="M24" s="1133"/>
      <c r="N24" s="1133"/>
      <c r="O24" s="1141"/>
      <c r="P24" s="3262"/>
      <c r="Q24" s="1812"/>
      <c r="R24" s="774"/>
      <c r="S24" s="775"/>
      <c r="T24" s="774"/>
      <c r="U24" s="775"/>
      <c r="V24" s="774"/>
      <c r="W24" s="775"/>
      <c r="X24" s="1815"/>
      <c r="Y24" s="3262"/>
      <c r="Z24" s="1816"/>
      <c r="AA24" s="1813"/>
      <c r="AB24" s="1813"/>
      <c r="AC24" s="1813"/>
    </row>
    <row r="25" spans="1:29" ht="57">
      <c r="A25" s="404"/>
      <c r="B25" s="1386" t="s">
        <v>2753</v>
      </c>
      <c r="C25" s="2669"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62"/>
      <c r="Q25" s="1812" t="str">
        <f t="shared" si="8"/>
        <v>自然及人文环境状况</v>
      </c>
      <c r="R25" s="774" t="s">
        <v>17</v>
      </c>
      <c r="S25" s="775">
        <f>F25</f>
        <v>100</v>
      </c>
      <c r="T25" s="774" t="s">
        <v>17</v>
      </c>
      <c r="U25" s="775">
        <f>H25</f>
        <v>100</v>
      </c>
      <c r="V25" s="774" t="s">
        <v>17</v>
      </c>
      <c r="W25" s="775">
        <f>J25</f>
        <v>100</v>
      </c>
      <c r="X25" s="1815"/>
      <c r="Y25" s="3262"/>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2"/>
      <c r="M26" s="1133"/>
      <c r="N26" s="1133"/>
      <c r="O26" s="1141"/>
      <c r="P26" s="3262"/>
      <c r="Q26" s="1812"/>
      <c r="R26" s="774"/>
      <c r="S26" s="775"/>
      <c r="T26" s="774"/>
      <c r="U26" s="775"/>
      <c r="V26" s="774"/>
      <c r="W26" s="775"/>
      <c r="X26" s="1815"/>
      <c r="Y26" s="3262"/>
      <c r="Z26" s="1816"/>
      <c r="AA26" s="1813">
        <v>1</v>
      </c>
      <c r="AB26" s="1813">
        <v>1</v>
      </c>
      <c r="AC26" s="1813">
        <v>1</v>
      </c>
    </row>
    <row r="27" spans="1:29" s="117" customFormat="1" ht="42.75">
      <c r="A27" s="649"/>
      <c r="B27" s="1386" t="s">
        <v>2658</v>
      </c>
      <c r="C27" s="2612"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62"/>
      <c r="Q27" s="1797" t="str">
        <f t="shared" si="8"/>
        <v>公共配套设施</v>
      </c>
      <c r="R27" s="770" t="s">
        <v>17</v>
      </c>
      <c r="S27" s="771">
        <f>F27</f>
        <v>100</v>
      </c>
      <c r="T27" s="770" t="s">
        <v>17</v>
      </c>
      <c r="U27" s="771">
        <f>H27</f>
        <v>100</v>
      </c>
      <c r="V27" s="770" t="s">
        <v>17</v>
      </c>
      <c r="W27" s="771">
        <f>J27</f>
        <v>100</v>
      </c>
      <c r="X27" s="772"/>
      <c r="Y27" s="3262"/>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4"/>
      <c r="M28" s="1135"/>
      <c r="N28" s="1135"/>
      <c r="O28" s="1136"/>
      <c r="P28" s="3262"/>
      <c r="Q28" s="1797"/>
      <c r="R28" s="770"/>
      <c r="S28" s="771"/>
      <c r="T28" s="770"/>
      <c r="U28" s="771"/>
      <c r="V28" s="770"/>
      <c r="W28" s="771"/>
      <c r="X28" s="772"/>
      <c r="Y28" s="3262"/>
      <c r="Z28" s="55"/>
      <c r="AA28" s="1813">
        <v>1</v>
      </c>
      <c r="AB28" s="1813">
        <v>1</v>
      </c>
      <c r="AC28" s="1813">
        <v>1</v>
      </c>
    </row>
    <row r="29" spans="1:29" s="117" customFormat="1" ht="42.75">
      <c r="A29" s="649"/>
      <c r="B29" s="1386" t="s">
        <v>2659</v>
      </c>
      <c r="C29" s="2612"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62"/>
      <c r="Q29" s="1797" t="str">
        <f t="shared" ref="Q29" si="9">B29</f>
        <v>基础设施水平</v>
      </c>
      <c r="R29" s="770" t="s">
        <v>17</v>
      </c>
      <c r="S29" s="771">
        <f>F29</f>
        <v>100</v>
      </c>
      <c r="T29" s="770" t="s">
        <v>17</v>
      </c>
      <c r="U29" s="771">
        <f>H29</f>
        <v>100</v>
      </c>
      <c r="V29" s="770" t="s">
        <v>17</v>
      </c>
      <c r="W29" s="771">
        <f>J29</f>
        <v>100</v>
      </c>
      <c r="X29" s="772"/>
      <c r="Y29" s="3262"/>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4"/>
      <c r="M30" s="1135"/>
      <c r="N30" s="1135"/>
      <c r="O30" s="1136"/>
      <c r="P30" s="3262"/>
      <c r="Q30" s="1797"/>
      <c r="R30" s="770"/>
      <c r="S30" s="771"/>
      <c r="T30" s="770"/>
      <c r="U30" s="771"/>
      <c r="V30" s="770"/>
      <c r="W30" s="771"/>
      <c r="X30" s="772"/>
      <c r="Y30" s="3262"/>
      <c r="Z30" s="55"/>
      <c r="AA30" s="1813">
        <v>1</v>
      </c>
      <c r="AB30" s="1813">
        <v>1</v>
      </c>
      <c r="AC30" s="1813">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6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62"/>
      <c r="Z31" s="1816" t="str">
        <f t="shared" ref="Z31:Z45" si="13">Q31</f>
        <v>临街状况</v>
      </c>
      <c r="AA31" s="1813">
        <f t="shared" si="3"/>
        <v>1</v>
      </c>
      <c r="AB31" s="1813">
        <f t="shared" si="4"/>
        <v>1</v>
      </c>
      <c r="AC31" s="1813">
        <f t="shared" si="5"/>
        <v>1</v>
      </c>
    </row>
    <row r="32" spans="1:29" ht="27">
      <c r="A32" s="428"/>
      <c r="B32" s="1386"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62"/>
      <c r="Q32" s="1812" t="str">
        <f t="shared" si="8"/>
        <v>毗邻道路的类型与等级</v>
      </c>
      <c r="R32" s="774" t="s">
        <v>17</v>
      </c>
      <c r="S32" s="775">
        <f t="shared" si="10"/>
        <v>100</v>
      </c>
      <c r="T32" s="774" t="s">
        <v>17</v>
      </c>
      <c r="U32" s="775">
        <f t="shared" si="11"/>
        <v>100</v>
      </c>
      <c r="V32" s="774" t="s">
        <v>17</v>
      </c>
      <c r="W32" s="775">
        <f t="shared" si="12"/>
        <v>100</v>
      </c>
      <c r="X32" s="1815"/>
      <c r="Y32" s="3262"/>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2"/>
      <c r="M33" s="1133"/>
      <c r="N33" s="1133"/>
      <c r="O33" s="1141"/>
      <c r="P33" s="3262"/>
      <c r="Q33" s="1812"/>
      <c r="R33" s="774"/>
      <c r="S33" s="775"/>
      <c r="T33" s="774"/>
      <c r="U33" s="775"/>
      <c r="V33" s="774"/>
      <c r="W33" s="775"/>
      <c r="X33" s="1815"/>
      <c r="Y33" s="3262"/>
      <c r="Z33" s="1816"/>
      <c r="AA33" s="1813">
        <v>1</v>
      </c>
      <c r="AB33" s="1813">
        <v>1</v>
      </c>
      <c r="AC33" s="1813">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62"/>
      <c r="Q34" s="1812" t="str">
        <f t="shared" si="8"/>
        <v>土地级别</v>
      </c>
      <c r="R34" s="774" t="s">
        <v>17</v>
      </c>
      <c r="S34" s="775">
        <f t="shared" si="10"/>
        <v>100</v>
      </c>
      <c r="T34" s="774" t="s">
        <v>17</v>
      </c>
      <c r="U34" s="775">
        <f t="shared" si="11"/>
        <v>100</v>
      </c>
      <c r="V34" s="774" t="s">
        <v>17</v>
      </c>
      <c r="W34" s="775">
        <f t="shared" si="12"/>
        <v>100</v>
      </c>
      <c r="X34" s="1815"/>
      <c r="Y34" s="3262"/>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62"/>
      <c r="Q35" s="1812">
        <f t="shared" si="8"/>
        <v>111</v>
      </c>
      <c r="R35" s="774" t="s">
        <v>17</v>
      </c>
      <c r="S35" s="775">
        <f t="shared" si="10"/>
        <v>100</v>
      </c>
      <c r="T35" s="774" t="s">
        <v>17</v>
      </c>
      <c r="U35" s="775">
        <f t="shared" si="11"/>
        <v>100</v>
      </c>
      <c r="V35" s="774" t="s">
        <v>17</v>
      </c>
      <c r="W35" s="775">
        <f t="shared" si="12"/>
        <v>100</v>
      </c>
      <c r="X35" s="1815"/>
      <c r="Y35" s="3262"/>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317" t="s">
        <v>2569</v>
      </c>
      <c r="Q36" s="1812">
        <f t="shared" si="8"/>
        <v>111</v>
      </c>
      <c r="R36" s="774" t="s">
        <v>17</v>
      </c>
      <c r="S36" s="775">
        <f t="shared" si="10"/>
        <v>100</v>
      </c>
      <c r="T36" s="774" t="s">
        <v>17</v>
      </c>
      <c r="U36" s="775">
        <f t="shared" si="11"/>
        <v>100</v>
      </c>
      <c r="V36" s="774" t="s">
        <v>17</v>
      </c>
      <c r="W36" s="775">
        <f t="shared" si="12"/>
        <v>100</v>
      </c>
      <c r="X36" s="1815"/>
      <c r="Y36" s="3266" t="s">
        <v>2569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66"/>
      <c r="Q37" s="1812">
        <f t="shared" si="8"/>
        <v>111</v>
      </c>
      <c r="R37" s="777" t="s">
        <v>17</v>
      </c>
      <c r="S37" s="778">
        <f t="shared" si="10"/>
        <v>100</v>
      </c>
      <c r="T37" s="777" t="s">
        <v>17</v>
      </c>
      <c r="U37" s="778">
        <f t="shared" si="11"/>
        <v>100</v>
      </c>
      <c r="V37" s="777" t="s">
        <v>17</v>
      </c>
      <c r="W37" s="778">
        <f t="shared" si="12"/>
        <v>100</v>
      </c>
      <c r="X37" s="779"/>
      <c r="Y37" s="3266"/>
      <c r="Z37" s="780">
        <f t="shared" si="13"/>
        <v>111</v>
      </c>
      <c r="AA37" s="1813">
        <f t="shared" si="3"/>
        <v>1</v>
      </c>
      <c r="AB37" s="1813">
        <f t="shared" si="4"/>
        <v>1</v>
      </c>
      <c r="AC37" s="1813">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66"/>
      <c r="Q38" s="1812" t="str">
        <f>B38</f>
        <v>宗地面积</v>
      </c>
      <c r="R38" s="774" t="s">
        <v>17</v>
      </c>
      <c r="S38" s="775" t="e">
        <f t="shared" si="10"/>
        <v>#N/A</v>
      </c>
      <c r="T38" s="774" t="s">
        <v>17</v>
      </c>
      <c r="U38" s="775" t="e">
        <f t="shared" si="11"/>
        <v>#N/A</v>
      </c>
      <c r="V38" s="774" t="s">
        <v>17</v>
      </c>
      <c r="W38" s="775" t="e">
        <f t="shared" si="12"/>
        <v>#N/A</v>
      </c>
      <c r="X38" s="1815"/>
      <c r="Y38" s="3266"/>
      <c r="Z38" s="1816" t="str">
        <f t="shared" si="13"/>
        <v>宗地面积</v>
      </c>
      <c r="AA38" s="1813" t="e">
        <f t="shared" si="3"/>
        <v>#N/A</v>
      </c>
      <c r="AB38" s="1813" t="e">
        <f t="shared" si="4"/>
        <v>#N/A</v>
      </c>
      <c r="AC38" s="1813" t="e">
        <f t="shared" si="5"/>
        <v>#N/A</v>
      </c>
    </row>
    <row r="39" spans="1:29" ht="15">
      <c r="A39" s="472"/>
      <c r="B39" s="422" t="s">
        <v>2756</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2"/>
      <c r="M39" s="1133"/>
      <c r="N39" s="1133"/>
      <c r="O39" s="1141"/>
      <c r="P39" s="3266"/>
      <c r="Q39" s="1812" t="str">
        <f t="shared" ref="Q39:Q45" si="14">B39</f>
        <v>宗地形状</v>
      </c>
      <c r="R39" s="774" t="s">
        <v>17</v>
      </c>
      <c r="S39" s="775">
        <f t="shared" si="10"/>
        <v>100</v>
      </c>
      <c r="T39" s="774" t="s">
        <v>17</v>
      </c>
      <c r="U39" s="775">
        <f t="shared" si="11"/>
        <v>100</v>
      </c>
      <c r="V39" s="774" t="s">
        <v>17</v>
      </c>
      <c r="W39" s="775">
        <f t="shared" si="12"/>
        <v>100</v>
      </c>
      <c r="X39" s="1815"/>
      <c r="Y39" s="3266"/>
      <c r="Z39" s="1816" t="str">
        <f t="shared" si="13"/>
        <v>宗地形状</v>
      </c>
      <c r="AA39" s="1813">
        <f t="shared" si="3"/>
        <v>1</v>
      </c>
      <c r="AB39" s="1813">
        <f t="shared" si="4"/>
        <v>1</v>
      </c>
      <c r="AC39" s="1813">
        <f t="shared" si="5"/>
        <v>1</v>
      </c>
    </row>
    <row r="40" spans="1:29" ht="15">
      <c r="A40" s="472"/>
      <c r="B40" s="422" t="s">
        <v>2757</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2"/>
      <c r="M40" s="1133"/>
      <c r="N40" s="1133"/>
      <c r="O40" s="1141"/>
      <c r="P40" s="3266"/>
      <c r="Q40" s="1812" t="str">
        <f t="shared" si="14"/>
        <v>临街宽度及深度</v>
      </c>
      <c r="R40" s="774" t="s">
        <v>17</v>
      </c>
      <c r="S40" s="775">
        <f t="shared" si="10"/>
        <v>100</v>
      </c>
      <c r="T40" s="774" t="s">
        <v>17</v>
      </c>
      <c r="U40" s="775">
        <f t="shared" si="11"/>
        <v>100</v>
      </c>
      <c r="V40" s="774" t="s">
        <v>17</v>
      </c>
      <c r="W40" s="775">
        <f t="shared" si="12"/>
        <v>100</v>
      </c>
      <c r="X40" s="1815"/>
      <c r="Y40" s="3266"/>
      <c r="Z40" s="1816" t="str">
        <f t="shared" si="13"/>
        <v>临街宽度及深度</v>
      </c>
      <c r="AA40" s="1813">
        <f t="shared" si="3"/>
        <v>1</v>
      </c>
      <c r="AB40" s="1813">
        <f t="shared" si="4"/>
        <v>1</v>
      </c>
      <c r="AC40" s="1813">
        <f t="shared" si="5"/>
        <v>1</v>
      </c>
    </row>
    <row r="41" spans="1:29" s="117" customFormat="1" ht="15">
      <c r="A41" s="473"/>
      <c r="B41" s="422" t="s">
        <v>2758</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4"/>
      <c r="M41" s="1135"/>
      <c r="N41" s="1135"/>
      <c r="O41" s="1136"/>
      <c r="P41" s="3266"/>
      <c r="Q41" s="1812" t="str">
        <f t="shared" si="14"/>
        <v>宗地开发程度</v>
      </c>
      <c r="R41" s="770" t="s">
        <v>17</v>
      </c>
      <c r="S41" s="771">
        <f t="shared" si="10"/>
        <v>100</v>
      </c>
      <c r="T41" s="770" t="s">
        <v>17</v>
      </c>
      <c r="U41" s="771">
        <f t="shared" si="11"/>
        <v>100</v>
      </c>
      <c r="V41" s="770" t="s">
        <v>17</v>
      </c>
      <c r="W41" s="771">
        <f t="shared" si="12"/>
        <v>100</v>
      </c>
      <c r="X41" s="772"/>
      <c r="Y41" s="3266"/>
      <c r="Z41" s="55" t="str">
        <f t="shared" si="13"/>
        <v>宗地开发程度</v>
      </c>
      <c r="AA41" s="773">
        <f t="shared" si="3"/>
        <v>1</v>
      </c>
      <c r="AB41" s="773">
        <f t="shared" si="4"/>
        <v>1</v>
      </c>
      <c r="AC41" s="773">
        <f t="shared" si="5"/>
        <v>1</v>
      </c>
    </row>
    <row r="42" spans="1:29" ht="15">
      <c r="A42" s="472"/>
      <c r="B42" s="422" t="s">
        <v>2759</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2"/>
      <c r="M42" s="1133"/>
      <c r="N42" s="1133"/>
      <c r="O42" s="1141"/>
      <c r="P42" s="3266" t="s">
        <v>2569</v>
      </c>
      <c r="Q42" s="1812" t="str">
        <f t="shared" si="14"/>
        <v>工程地质条件</v>
      </c>
      <c r="R42" s="774" t="s">
        <v>17</v>
      </c>
      <c r="S42" s="775">
        <f t="shared" si="10"/>
        <v>100</v>
      </c>
      <c r="T42" s="774" t="s">
        <v>17</v>
      </c>
      <c r="U42" s="775">
        <f t="shared" si="11"/>
        <v>100</v>
      </c>
      <c r="V42" s="774" t="s">
        <v>17</v>
      </c>
      <c r="W42" s="775">
        <f t="shared" si="12"/>
        <v>100</v>
      </c>
      <c r="X42" s="1815"/>
      <c r="Y42" s="3266" t="s">
        <v>2569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66"/>
      <c r="Q43" s="1812">
        <f t="shared" si="14"/>
        <v>111</v>
      </c>
      <c r="R43" s="774" t="s">
        <v>17</v>
      </c>
      <c r="S43" s="775">
        <f t="shared" si="10"/>
        <v>100</v>
      </c>
      <c r="T43" s="774" t="s">
        <v>17</v>
      </c>
      <c r="U43" s="775">
        <f t="shared" si="11"/>
        <v>100</v>
      </c>
      <c r="V43" s="774" t="s">
        <v>17</v>
      </c>
      <c r="W43" s="775">
        <f t="shared" si="12"/>
        <v>100</v>
      </c>
      <c r="X43" s="1815"/>
      <c r="Y43" s="3266"/>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66"/>
      <c r="Q44" s="1812">
        <f t="shared" si="14"/>
        <v>111</v>
      </c>
      <c r="R44" s="774" t="s">
        <v>17</v>
      </c>
      <c r="S44" s="775">
        <f t="shared" si="10"/>
        <v>100</v>
      </c>
      <c r="T44" s="774" t="s">
        <v>17</v>
      </c>
      <c r="U44" s="775">
        <f t="shared" si="11"/>
        <v>100</v>
      </c>
      <c r="V44" s="774" t="s">
        <v>17</v>
      </c>
      <c r="W44" s="775">
        <f t="shared" si="12"/>
        <v>100</v>
      </c>
      <c r="X44" s="1815"/>
      <c r="Y44" s="3266"/>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66"/>
      <c r="Q45" s="1812">
        <f t="shared" si="14"/>
        <v>111</v>
      </c>
      <c r="R45" s="777" t="s">
        <v>17</v>
      </c>
      <c r="S45" s="778">
        <f t="shared" si="10"/>
        <v>100</v>
      </c>
      <c r="T45" s="777" t="s">
        <v>17</v>
      </c>
      <c r="U45" s="778">
        <f t="shared" si="11"/>
        <v>100</v>
      </c>
      <c r="V45" s="777" t="s">
        <v>17</v>
      </c>
      <c r="W45" s="778">
        <f t="shared" si="12"/>
        <v>100</v>
      </c>
      <c r="X45" s="779"/>
      <c r="Y45" s="3266"/>
      <c r="Z45" s="780">
        <f t="shared" si="13"/>
        <v>111</v>
      </c>
      <c r="AA45" s="1813">
        <f t="shared" si="3"/>
        <v>1</v>
      </c>
      <c r="AB45" s="1813">
        <f t="shared" si="4"/>
        <v>1</v>
      </c>
      <c r="AC45" s="1813">
        <f t="shared" si="5"/>
        <v>1</v>
      </c>
    </row>
    <row r="46" spans="1:29" ht="15">
      <c r="A46" s="479" t="s">
        <v>2724</v>
      </c>
      <c r="B46" s="2709" t="s">
        <v>2760</v>
      </c>
      <c r="C46" s="682" t="s">
        <v>1</v>
      </c>
      <c r="D46" s="481"/>
      <c r="E46" s="482"/>
      <c r="F46" s="483"/>
      <c r="G46" s="484"/>
      <c r="H46" s="485"/>
      <c r="I46" s="482"/>
      <c r="J46" s="485"/>
      <c r="K46" s="783"/>
      <c r="L46" s="1145"/>
      <c r="M46" s="1146"/>
      <c r="N46" s="1133"/>
      <c r="O46" s="1146"/>
      <c r="P46" s="3259" t="str">
        <f>A46</f>
        <v>成交单价</v>
      </c>
      <c r="Q46" s="3259"/>
      <c r="R46" s="3290">
        <f>E46</f>
        <v>0</v>
      </c>
      <c r="S46" s="3290"/>
      <c r="T46" s="3290">
        <f>G46</f>
        <v>0</v>
      </c>
      <c r="U46" s="3290"/>
      <c r="V46" s="3290">
        <f>I46</f>
        <v>0</v>
      </c>
      <c r="W46" s="3290"/>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5"/>
      <c r="M47" s="1146"/>
      <c r="N47" s="1146"/>
      <c r="O47" s="1146"/>
      <c r="P47" s="3259" t="str">
        <f>A47</f>
        <v>比较价值（元/平方米）</v>
      </c>
      <c r="Q47" s="3259"/>
      <c r="R47" s="3338" t="e">
        <f>ROUND(PRODUCT(R46,AA7:AA45),0)</f>
        <v>#DIV/0!</v>
      </c>
      <c r="S47" s="3338"/>
      <c r="T47" s="3338" t="e">
        <f>ROUND(PRODUCT(T46,AB7:AB45),0)</f>
        <v>#DIV/0!</v>
      </c>
      <c r="U47" s="3338"/>
      <c r="V47" s="3338" t="e">
        <f>ROUND(PRODUCT(V46,AC7:AC45),0)</f>
        <v>#DIV/0!</v>
      </c>
      <c r="W47" s="3338"/>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45"/>
      <c r="M48" s="1146"/>
      <c r="N48" s="1146"/>
      <c r="O48" s="1146"/>
      <c r="P48" s="3256" t="str">
        <f>A48</f>
        <v>估价对象XX用房的比较价值（楼面单价，元/平方米）</v>
      </c>
      <c r="Q48" s="3257"/>
      <c r="R48" s="3339" t="e">
        <f>ROUND(AVERAGE(R47:V47),0)</f>
        <v>#DIV/0!</v>
      </c>
      <c r="S48" s="3339"/>
      <c r="T48" s="3339"/>
      <c r="U48" s="3339"/>
      <c r="V48" s="3339"/>
      <c r="W48" s="3339"/>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2762</v>
      </c>
      <c r="B55" s="685" t="s">
        <v>2763</v>
      </c>
      <c r="C55" s="2710" t="s">
        <v>2764</v>
      </c>
      <c r="D55" s="2711" t="s">
        <v>2765</v>
      </c>
      <c r="E55" s="686" t="s">
        <v>2766</v>
      </c>
      <c r="F55" s="1109" t="s">
        <v>2767</v>
      </c>
      <c r="G55" s="3274" t="s">
        <v>2768</v>
      </c>
      <c r="H55" s="3340"/>
      <c r="I55" s="144" t="s">
        <v>2769</v>
      </c>
      <c r="J55" s="2712">
        <f>项目基本情况!F35</f>
        <v>0</v>
      </c>
      <c r="K55" s="2713" t="s">
        <v>2770</v>
      </c>
      <c r="L55" s="1108"/>
      <c r="M55" s="1146"/>
      <c r="N55" s="1146"/>
      <c r="O55" s="1146"/>
    </row>
    <row r="56" spans="1:15" s="692" customFormat="1">
      <c r="A56" s="688" t="s">
        <v>2771</v>
      </c>
      <c r="B56" s="689" t="e">
        <f>C48</f>
        <v>#DIV/0!</v>
      </c>
      <c r="C56" s="690">
        <v>1</v>
      </c>
      <c r="D56" s="1165">
        <v>1</v>
      </c>
      <c r="E56" s="690">
        <f>'数据-汇总表'!E8+'数据-汇总表'!E9</f>
        <v>6284.07</v>
      </c>
      <c r="F56" s="1105" t="e">
        <f t="shared" ref="F56:F65" si="15">ROUND(B56*E56/10000,0)</f>
        <v>#DIV/0!</v>
      </c>
      <c r="G56" s="3270"/>
      <c r="H56" s="3259"/>
      <c r="I56" s="1110">
        <v>1</v>
      </c>
      <c r="J56" s="1113">
        <v>1</v>
      </c>
      <c r="K56" s="1147"/>
      <c r="L56" s="943"/>
      <c r="M56" s="943"/>
      <c r="N56" s="943"/>
      <c r="O56" s="943"/>
    </row>
    <row r="57" spans="1:15" s="692" customFormat="1">
      <c r="A57" s="693" t="s">
        <v>2772</v>
      </c>
      <c r="B57" s="262" t="e">
        <f>ROUND($C$48*C57*D57,0)</f>
        <v>#DIV/0!</v>
      </c>
      <c r="C57" s="200">
        <f t="shared" ref="C57:C65" si="16">IF($C$55="北京市系数",I57,J57)</f>
        <v>0.8</v>
      </c>
      <c r="D57" s="1166">
        <v>0.25</v>
      </c>
      <c r="E57" s="694"/>
      <c r="F57" s="1105" t="e">
        <f t="shared" si="15"/>
        <v>#DIV/0!</v>
      </c>
      <c r="G57" s="3341" t="s">
        <v>2773</v>
      </c>
      <c r="H57" s="1106" t="str">
        <f>项目基本情况!B37</f>
        <v>一级</v>
      </c>
      <c r="I57" s="1110">
        <f>SUMIF(修正!A45:A56,H57,修正!B45:B56)</f>
        <v>0.8</v>
      </c>
      <c r="J57" s="1114"/>
      <c r="K57" s="1146"/>
      <c r="L57" s="943"/>
      <c r="M57" s="943"/>
      <c r="N57" s="943"/>
      <c r="O57" s="943"/>
    </row>
    <row r="58" spans="1:15" s="692" customFormat="1">
      <c r="A58" s="693" t="s">
        <v>2774</v>
      </c>
      <c r="B58" s="262" t="e">
        <f t="shared" ref="B58:B65" si="17">ROUND($C$48*C58*D58,0)</f>
        <v>#DIV/0!</v>
      </c>
      <c r="C58" s="200">
        <f t="shared" si="16"/>
        <v>0.5</v>
      </c>
      <c r="D58" s="1166">
        <v>0.25</v>
      </c>
      <c r="E58" s="694"/>
      <c r="F58" s="1105" t="e">
        <f t="shared" si="15"/>
        <v>#DIV/0!</v>
      </c>
      <c r="G58" s="3341"/>
      <c r="H58" s="1106" t="str">
        <f>项目基本情况!B37</f>
        <v>一级</v>
      </c>
      <c r="I58" s="1110">
        <f>SUMIF(修正!A45:A56,H58,修正!C45:C56)</f>
        <v>0.5</v>
      </c>
      <c r="J58" s="1114"/>
      <c r="K58" s="1147"/>
      <c r="L58" s="943"/>
      <c r="M58" s="943"/>
      <c r="N58" s="943"/>
      <c r="O58" s="943"/>
    </row>
    <row r="59" spans="1:15" s="692" customFormat="1">
      <c r="A59" s="693" t="s">
        <v>2775</v>
      </c>
      <c r="B59" s="262" t="e">
        <f t="shared" si="17"/>
        <v>#DIV/0!</v>
      </c>
      <c r="C59" s="200">
        <f t="shared" si="16"/>
        <v>0.36</v>
      </c>
      <c r="D59" s="1166">
        <v>0.25</v>
      </c>
      <c r="E59" s="694"/>
      <c r="F59" s="1105" t="e">
        <f t="shared" si="15"/>
        <v>#DIV/0!</v>
      </c>
      <c r="G59" s="3341"/>
      <c r="H59" s="1106" t="str">
        <f>项目基本情况!B37</f>
        <v>一级</v>
      </c>
      <c r="I59" s="1110">
        <f>SUMIF(修正!A45:A56,H59,修正!D45:D56)</f>
        <v>0.36</v>
      </c>
      <c r="J59" s="1114"/>
      <c r="K59" s="1146"/>
      <c r="L59" s="943"/>
      <c r="M59" s="943"/>
      <c r="N59" s="943"/>
      <c r="O59" s="943"/>
    </row>
    <row r="60" spans="1:15" s="692" customFormat="1">
      <c r="A60" s="693" t="s">
        <v>2776</v>
      </c>
      <c r="B60" s="262" t="e">
        <f t="shared" si="17"/>
        <v>#DIV/0!</v>
      </c>
      <c r="C60" s="200">
        <f t="shared" si="16"/>
        <v>0.3</v>
      </c>
      <c r="D60" s="1166">
        <v>0.25</v>
      </c>
      <c r="E60" s="694"/>
      <c r="F60" s="1105" t="e">
        <f t="shared" si="15"/>
        <v>#DIV/0!</v>
      </c>
      <c r="G60" s="3341"/>
      <c r="H60" s="1106" t="str">
        <f>项目基本情况!B37</f>
        <v>一级</v>
      </c>
      <c r="I60" s="1110">
        <f>SUMIF(修正!A45:A56,H60,修正!E45:E56)</f>
        <v>0.3</v>
      </c>
      <c r="J60" s="1114"/>
      <c r="K60" s="1147"/>
      <c r="L60" s="943"/>
      <c r="M60" s="943"/>
      <c r="N60" s="943"/>
      <c r="O60" s="943"/>
    </row>
    <row r="61" spans="1:15" s="692" customFormat="1">
      <c r="A61" s="693" t="s">
        <v>2777</v>
      </c>
      <c r="B61" s="262" t="e">
        <f t="shared" si="17"/>
        <v>#DIV/0!</v>
      </c>
      <c r="C61" s="200">
        <f t="shared" si="16"/>
        <v>0</v>
      </c>
      <c r="D61" s="1166">
        <v>0.25</v>
      </c>
      <c r="E61" s="261">
        <f>'数据-汇总表'!E11</f>
        <v>0</v>
      </c>
      <c r="F61" s="1105" t="e">
        <f t="shared" si="15"/>
        <v>#DIV/0!</v>
      </c>
      <c r="G61" s="2714" t="s">
        <v>2778</v>
      </c>
      <c r="H61" s="1106">
        <f>项目基本情况!C37</f>
        <v>0</v>
      </c>
      <c r="I61" s="1110">
        <f>SUMIF(修正!A45:A56,H61,修正!F45:F56)</f>
        <v>0</v>
      </c>
      <c r="J61" s="1114"/>
      <c r="K61" s="1146"/>
      <c r="L61" s="943"/>
      <c r="M61" s="943"/>
      <c r="N61" s="943"/>
      <c r="O61" s="943"/>
    </row>
    <row r="62" spans="1:15" s="692" customFormat="1">
      <c r="A62" s="693" t="s">
        <v>2779</v>
      </c>
      <c r="B62" s="262" t="e">
        <f t="shared" si="17"/>
        <v>#DIV/0!</v>
      </c>
      <c r="C62" s="200">
        <f t="shared" si="16"/>
        <v>0</v>
      </c>
      <c r="D62" s="1166">
        <v>0.25</v>
      </c>
      <c r="E62" s="261">
        <f>'数据-汇总表'!E12</f>
        <v>0</v>
      </c>
      <c r="F62" s="1105" t="e">
        <f t="shared" si="15"/>
        <v>#DIV/0!</v>
      </c>
      <c r="G62" s="1111" t="s">
        <v>2780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2781</v>
      </c>
      <c r="B63" s="262" t="e">
        <f t="shared" si="17"/>
        <v>#DIV/0!</v>
      </c>
      <c r="C63" s="200">
        <f t="shared" si="16"/>
        <v>0</v>
      </c>
      <c r="D63" s="1166">
        <v>0.25</v>
      </c>
      <c r="E63" s="261">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2783</v>
      </c>
      <c r="B64" s="262" t="e">
        <f t="shared" si="17"/>
        <v>#DIV/0!</v>
      </c>
      <c r="C64" s="200">
        <f t="shared" si="16"/>
        <v>0.25</v>
      </c>
      <c r="D64" s="1166">
        <v>0.25</v>
      </c>
      <c r="E64" s="261">
        <f>'数据-汇总表'!E14</f>
        <v>16503.55</v>
      </c>
      <c r="F64" s="1105" t="e">
        <f t="shared" si="15"/>
        <v>#DIV/0!</v>
      </c>
      <c r="G64" s="2714" t="s">
        <v>2773</v>
      </c>
      <c r="H64" s="1106" t="str">
        <f>项目基本情况!B37</f>
        <v>一级</v>
      </c>
      <c r="I64" s="1110">
        <f>SUMIF(修正!A45:A56,H64,修正!H45:H56)</f>
        <v>0.25</v>
      </c>
      <c r="J64" s="1114"/>
      <c r="K64" s="1147"/>
      <c r="L64" s="943"/>
      <c r="M64" s="943"/>
      <c r="N64" s="943"/>
      <c r="O64" s="943"/>
    </row>
    <row r="65" spans="1:17" s="692" customFormat="1" ht="15" thickBot="1">
      <c r="A65" s="693" t="s">
        <v>2784</v>
      </c>
      <c r="B65" s="262" t="e">
        <f t="shared" si="17"/>
        <v>#DIV/0!</v>
      </c>
      <c r="C65" s="200">
        <f t="shared" si="16"/>
        <v>0</v>
      </c>
      <c r="D65" s="1166">
        <v>0.25</v>
      </c>
      <c r="E65" s="261">
        <f>'数据-汇总表'!E15</f>
        <v>0</v>
      </c>
      <c r="F65" s="1105" t="e">
        <f t="shared" si="15"/>
        <v>#DIV/0!</v>
      </c>
      <c r="G65" s="2715" t="s">
        <v>2778</v>
      </c>
      <c r="H65" s="1116">
        <f>项目基本情况!C37</f>
        <v>0</v>
      </c>
      <c r="I65" s="1112">
        <f>SUMIF(修正!A45:A56,H65,修正!H45:H56)</f>
        <v>0</v>
      </c>
      <c r="J65" s="1115"/>
      <c r="K65" s="1146"/>
      <c r="L65" s="943"/>
      <c r="M65" s="943"/>
      <c r="N65" s="943"/>
      <c r="O65" s="943"/>
    </row>
    <row r="66" spans="1:17" s="692" customFormat="1" ht="13.5" thickBot="1">
      <c r="A66" s="695" t="s">
        <v>2785</v>
      </c>
      <c r="B66" s="696" t="s">
        <v>28</v>
      </c>
      <c r="C66" s="696" t="s">
        <v>29</v>
      </c>
      <c r="D66" s="696" t="s">
        <v>1029</v>
      </c>
      <c r="E66" s="696">
        <f>IF(B46="楼面地价",SUM(E56:E65),'数据-汇总表'!D3)</f>
        <v>22787.62</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2678</v>
      </c>
      <c r="B69" s="759"/>
      <c r="C69" s="764"/>
      <c r="D69" s="764"/>
      <c r="E69" s="764"/>
      <c r="F69" s="765"/>
      <c r="G69" s="765"/>
      <c r="H69" s="764"/>
      <c r="I69" s="764"/>
      <c r="J69" s="1161"/>
      <c r="K69" s="1162"/>
      <c r="L69" s="1163"/>
      <c r="M69" s="1161"/>
      <c r="N69" s="1161"/>
      <c r="O69" s="1161"/>
      <c r="P69" s="503"/>
      <c r="Q69" s="504"/>
    </row>
    <row r="70" spans="1:17" s="508" customFormat="1" ht="15">
      <c r="A70" s="2716" t="s">
        <v>2786</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7" t="s">
        <v>2787</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2589</v>
      </c>
      <c r="B72" s="516"/>
      <c r="C72" s="517"/>
      <c r="D72" s="518"/>
      <c r="E72" s="518"/>
      <c r="F72" s="518"/>
      <c r="G72" s="518"/>
      <c r="H72" s="518"/>
      <c r="I72" s="518"/>
      <c r="J72" s="518"/>
      <c r="K72" s="518"/>
      <c r="L72" s="518"/>
      <c r="M72" s="519"/>
      <c r="N72" s="518"/>
      <c r="O72" s="1164"/>
      <c r="P72" s="504"/>
      <c r="Q72" s="504"/>
    </row>
    <row r="73" spans="1:17" s="117" customFormat="1" ht="15">
      <c r="A73" s="521" t="s">
        <v>2554</v>
      </c>
      <c r="B73" s="510"/>
      <c r="C73" s="522" t="s">
        <v>2656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2592</v>
      </c>
      <c r="B75" s="528" t="s">
        <v>2558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74" t="s">
        <v>2650</v>
      </c>
      <c r="D4" s="3275"/>
      <c r="E4" s="3276" t="s">
        <v>2651</v>
      </c>
      <c r="F4" s="3277"/>
      <c r="G4" s="3274" t="s">
        <v>2652</v>
      </c>
      <c r="H4" s="3275"/>
      <c r="I4" s="3274" t="s">
        <v>2653</v>
      </c>
      <c r="J4" s="3275"/>
      <c r="K4" s="610" t="s">
        <v>2654</v>
      </c>
      <c r="L4" s="1132"/>
      <c r="M4" s="1133"/>
      <c r="N4" s="1133"/>
      <c r="O4" s="1133"/>
      <c r="P4" s="3278" t="s">
        <v>2655</v>
      </c>
      <c r="Q4" s="3279"/>
      <c r="R4" s="3284" t="s">
        <v>2651</v>
      </c>
      <c r="S4" s="3285"/>
      <c r="T4" s="3284" t="s">
        <v>2652</v>
      </c>
      <c r="U4" s="3285"/>
      <c r="V4" s="3290" t="s">
        <v>2653</v>
      </c>
      <c r="W4" s="3290"/>
      <c r="X4" s="1815"/>
      <c r="Y4" s="3284" t="s">
        <v>2655</v>
      </c>
      <c r="Z4" s="3285"/>
      <c r="AA4" s="3271" t="s">
        <v>2651</v>
      </c>
      <c r="AB4" s="3272" t="s">
        <v>2652</v>
      </c>
      <c r="AC4" s="3271" t="s">
        <v>2653</v>
      </c>
    </row>
    <row r="5" spans="1:29" ht="15">
      <c r="A5" s="404"/>
      <c r="B5" s="405"/>
      <c r="C5" s="3293" t="s">
        <v>2546</v>
      </c>
      <c r="D5" s="3294"/>
      <c r="E5" s="3300" t="s">
        <v>2547</v>
      </c>
      <c r="F5" s="3301"/>
      <c r="G5" s="3293" t="s">
        <v>2548</v>
      </c>
      <c r="H5" s="3294"/>
      <c r="I5" s="3293" t="s">
        <v>2549</v>
      </c>
      <c r="J5" s="3294"/>
      <c r="K5" s="610"/>
      <c r="L5" s="1132"/>
      <c r="M5" s="1133"/>
      <c r="N5" s="1133"/>
      <c r="O5" s="1133"/>
      <c r="P5" s="3280"/>
      <c r="Q5" s="3281"/>
      <c r="R5" s="3286"/>
      <c r="S5" s="3287"/>
      <c r="T5" s="3286"/>
      <c r="U5" s="3287"/>
      <c r="V5" s="3290"/>
      <c r="W5" s="3290"/>
      <c r="X5" s="1815"/>
      <c r="Y5" s="3286"/>
      <c r="Z5" s="3287"/>
      <c r="AA5" s="3272"/>
      <c r="AB5" s="3272"/>
      <c r="AC5" s="3272"/>
    </row>
    <row r="6" spans="1:29" ht="15.75" thickBot="1">
      <c r="A6" s="406"/>
      <c r="B6" s="407"/>
      <c r="C6" s="3342" t="s">
        <v>2801</v>
      </c>
      <c r="D6" s="3343"/>
      <c r="E6" s="3344" t="s">
        <v>2801</v>
      </c>
      <c r="F6" s="3345"/>
      <c r="G6" s="3342" t="s">
        <v>2801</v>
      </c>
      <c r="H6" s="3343"/>
      <c r="I6" s="3342" t="s">
        <v>2801</v>
      </c>
      <c r="J6" s="3343"/>
      <c r="K6" s="610" t="s">
        <v>2551</v>
      </c>
      <c r="L6" s="1132"/>
      <c r="M6" s="1133"/>
      <c r="N6" s="1133"/>
      <c r="O6" s="1133"/>
      <c r="P6" s="3282"/>
      <c r="Q6" s="3283"/>
      <c r="R6" s="3286"/>
      <c r="S6" s="3287"/>
      <c r="T6" s="3288"/>
      <c r="U6" s="3289"/>
      <c r="V6" s="3290"/>
      <c r="W6" s="3290"/>
      <c r="X6" s="1815"/>
      <c r="Y6" s="3288"/>
      <c r="Z6" s="3289"/>
      <c r="AA6" s="3273"/>
      <c r="AB6" s="3273"/>
      <c r="AC6" s="3273"/>
    </row>
    <row r="7" spans="1:29" s="117" customFormat="1" ht="15.75" thickBot="1">
      <c r="A7" s="408" t="s">
        <v>2552</v>
      </c>
      <c r="B7" s="409"/>
      <c r="C7" s="410">
        <f>'数据-取费表'!B2</f>
        <v>43157</v>
      </c>
      <c r="D7" s="411">
        <v>100</v>
      </c>
      <c r="E7" s="412"/>
      <c r="F7" s="413">
        <f>SUMIF(65:65,YEAR(E7)&amp;"-"&amp;INT((MONTH(E7)+2)/3),66:66)</f>
        <v>0</v>
      </c>
      <c r="G7" s="2701"/>
      <c r="H7" s="411">
        <f>SUMIF(65:65,YEAR(G7)&amp;"-"&amp;INT((MONTH(G7)+2)/3),66:66)</f>
        <v>0</v>
      </c>
      <c r="I7" s="2701"/>
      <c r="J7" s="411">
        <f>SUMIF(65:65,YEAR(I7)&amp;"-"&amp;INT((MONTH(I7)+2)/3),66:66)</f>
        <v>0</v>
      </c>
      <c r="K7" s="611"/>
      <c r="L7" s="1134"/>
      <c r="M7" s="1135"/>
      <c r="N7" s="1135"/>
      <c r="O7" s="1135"/>
      <c r="P7" s="3295" t="s">
        <v>2553</v>
      </c>
      <c r="Q7" s="3297"/>
      <c r="R7" s="770" t="s">
        <v>17</v>
      </c>
      <c r="S7" s="771">
        <f t="shared" ref="S7:S15" si="0">F7</f>
        <v>0</v>
      </c>
      <c r="T7" s="770" t="s">
        <v>17</v>
      </c>
      <c r="U7" s="771">
        <f t="shared" ref="U7:U15" si="1">H7</f>
        <v>0</v>
      </c>
      <c r="V7" s="770" t="s">
        <v>17</v>
      </c>
      <c r="W7" s="771">
        <f t="shared" ref="W7:W15" si="2">J7</f>
        <v>0</v>
      </c>
      <c r="X7" s="772"/>
      <c r="Y7" s="3295" t="s">
        <v>2553</v>
      </c>
      <c r="Z7" s="3296"/>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95" t="s">
        <v>2556</v>
      </c>
      <c r="Q8" s="3296"/>
      <c r="R8" s="770" t="s">
        <v>17</v>
      </c>
      <c r="S8" s="771">
        <f t="shared" si="0"/>
        <v>0</v>
      </c>
      <c r="T8" s="770" t="s">
        <v>17</v>
      </c>
      <c r="U8" s="771">
        <f t="shared" si="1"/>
        <v>0</v>
      </c>
      <c r="V8" s="770" t="s">
        <v>17</v>
      </c>
      <c r="W8" s="771">
        <f t="shared" si="2"/>
        <v>0</v>
      </c>
      <c r="X8" s="772"/>
      <c r="Y8" s="3295" t="s">
        <v>2556</v>
      </c>
      <c r="Z8" s="3296"/>
      <c r="AA8" s="773" t="e">
        <f t="shared" ref="AA8:AA40" si="3">D8/F8</f>
        <v>#DIV/0!</v>
      </c>
      <c r="AB8" s="773" t="e">
        <f t="shared" ref="AB8:AB40" si="4">D8/H8</f>
        <v>#DIV/0!</v>
      </c>
      <c r="AC8" s="773" t="e">
        <f t="shared" ref="AC8:AC40" si="5">D8/J8</f>
        <v>#DIV/0!</v>
      </c>
    </row>
    <row r="9" spans="1:29" s="117" customFormat="1">
      <c r="A9" s="415" t="s">
        <v>2557</v>
      </c>
      <c r="B9" s="71" t="s">
        <v>2558</v>
      </c>
      <c r="C9" s="2704"/>
      <c r="D9" s="135">
        <v>100</v>
      </c>
      <c r="E9" s="2704"/>
      <c r="F9" s="135">
        <f>SUMIF(70:70,E9,71:71)-SUMIF(70:70,C9,71:71)+100</f>
        <v>100</v>
      </c>
      <c r="G9" s="2704"/>
      <c r="H9" s="135">
        <f>SUMIF(70:70,G9,71:71)-SUMIF(70:70,C9,71:71)+100</f>
        <v>100</v>
      </c>
      <c r="I9" s="2704"/>
      <c r="J9" s="135">
        <f>SUMIF(70:70,I9,71:71)-SUMIF(70:70,C9,71:71)+100</f>
        <v>100</v>
      </c>
      <c r="K9" s="611"/>
      <c r="L9" s="1134"/>
      <c r="M9" s="1135"/>
      <c r="N9" s="1135"/>
      <c r="O9" s="1136"/>
      <c r="P9" s="3259" t="s">
        <v>2559</v>
      </c>
      <c r="Q9" s="1797"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120</v>
      </c>
      <c r="G10" s="432"/>
      <c r="H10" s="136">
        <f>ROUND(100/'数据-取费表'!G16,0)</f>
        <v>120</v>
      </c>
      <c r="I10" s="432"/>
      <c r="J10" s="136">
        <f>ROUND(100/'数据-取费表'!G16,0)</f>
        <v>120</v>
      </c>
      <c r="K10" s="672"/>
      <c r="L10" s="1137"/>
      <c r="M10" s="1138"/>
      <c r="N10" s="1138"/>
      <c r="O10" s="1139"/>
      <c r="P10" s="3259"/>
      <c r="Q10" s="1797" t="str">
        <f t="shared" si="6"/>
        <v>土地使用年限（年）</v>
      </c>
      <c r="R10" s="770" t="s">
        <v>17</v>
      </c>
      <c r="S10" s="771">
        <f t="shared" si="0"/>
        <v>120</v>
      </c>
      <c r="T10" s="770" t="s">
        <v>17</v>
      </c>
      <c r="U10" s="771">
        <f t="shared" si="1"/>
        <v>120</v>
      </c>
      <c r="V10" s="770" t="s">
        <v>17</v>
      </c>
      <c r="W10" s="771">
        <f t="shared" si="2"/>
        <v>120</v>
      </c>
      <c r="X10" s="772"/>
      <c r="Y10" s="3084"/>
      <c r="Z10" s="55" t="str">
        <f t="shared" si="7"/>
        <v>土地使用年限（年）</v>
      </c>
      <c r="AA10" s="773">
        <f t="shared" si="3"/>
        <v>0.83333333333333337</v>
      </c>
      <c r="AB10" s="773">
        <f t="shared" si="4"/>
        <v>0.83333333333333337</v>
      </c>
      <c r="AC10" s="773">
        <f t="shared" si="5"/>
        <v>0.83333333333333337</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59"/>
      <c r="Q11" s="1797"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59"/>
      <c r="Q12" s="1797">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59"/>
      <c r="Q13" s="1797">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59"/>
      <c r="Q14" s="1797">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57">
      <c r="A15" s="440" t="s">
        <v>2563</v>
      </c>
      <c r="B15" s="629" t="s">
        <v>2802</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61" t="s">
        <v>2564</v>
      </c>
      <c r="Q15" s="1812" t="str">
        <f t="shared" si="6"/>
        <v>产业集聚程度</v>
      </c>
      <c r="R15" s="774" t="s">
        <v>17</v>
      </c>
      <c r="S15" s="775">
        <f t="shared" si="0"/>
        <v>100</v>
      </c>
      <c r="T15" s="774" t="s">
        <v>17</v>
      </c>
      <c r="U15" s="775">
        <f t="shared" si="1"/>
        <v>100</v>
      </c>
      <c r="V15" s="774" t="s">
        <v>17</v>
      </c>
      <c r="W15" s="775">
        <f t="shared" si="2"/>
        <v>100</v>
      </c>
      <c r="X15" s="1815"/>
      <c r="Y15" s="3261" t="s">
        <v>2564</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2"/>
      <c r="M16" s="1133"/>
      <c r="N16" s="1133"/>
      <c r="O16" s="1141"/>
      <c r="P16" s="3262"/>
      <c r="Q16" s="1812"/>
      <c r="R16" s="774"/>
      <c r="S16" s="775"/>
      <c r="T16" s="774"/>
      <c r="U16" s="775"/>
      <c r="V16" s="774"/>
      <c r="W16" s="775"/>
      <c r="X16" s="1815"/>
      <c r="Y16" s="3262"/>
      <c r="Z16" s="1816"/>
      <c r="AA16" s="1813">
        <v>1</v>
      </c>
      <c r="AB16" s="1813">
        <v>1</v>
      </c>
      <c r="AC16" s="1813">
        <v>1</v>
      </c>
    </row>
    <row r="17" spans="1:29" ht="85.5">
      <c r="A17" s="428"/>
      <c r="B17" s="631" t="s">
        <v>2713</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62"/>
      <c r="Q17" s="1812" t="str">
        <f>B17</f>
        <v>交通便捷度</v>
      </c>
      <c r="R17" s="774" t="s">
        <v>17</v>
      </c>
      <c r="S17" s="775">
        <f>F17</f>
        <v>100</v>
      </c>
      <c r="T17" s="774" t="s">
        <v>17</v>
      </c>
      <c r="U17" s="775">
        <f>H17</f>
        <v>100</v>
      </c>
      <c r="V17" s="774" t="s">
        <v>17</v>
      </c>
      <c r="W17" s="775">
        <f>J17</f>
        <v>100</v>
      </c>
      <c r="X17" s="1815"/>
      <c r="Y17" s="3262"/>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2"/>
      <c r="M18" s="1133"/>
      <c r="N18" s="1133"/>
      <c r="O18" s="1141"/>
      <c r="P18" s="3262"/>
      <c r="Q18" s="1812"/>
      <c r="R18" s="774"/>
      <c r="S18" s="775"/>
      <c r="T18" s="774"/>
      <c r="U18" s="775"/>
      <c r="V18" s="774"/>
      <c r="W18" s="775"/>
      <c r="X18" s="1815"/>
      <c r="Y18" s="3262"/>
      <c r="Z18" s="1816"/>
      <c r="AA18" s="1813">
        <v>1</v>
      </c>
      <c r="AB18" s="1813">
        <v>1</v>
      </c>
      <c r="AC18" s="1813">
        <v>1</v>
      </c>
    </row>
    <row r="19" spans="1:29" ht="15">
      <c r="A19" s="428"/>
      <c r="B19" s="631" t="s">
        <v>2752</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62"/>
      <c r="Q19" s="1812" t="str">
        <f t="shared" ref="Q19:Q33" si="8">B19</f>
        <v>区域土地利用方向</v>
      </c>
      <c r="R19" s="774" t="s">
        <v>17</v>
      </c>
      <c r="S19" s="775">
        <f>F19</f>
        <v>100</v>
      </c>
      <c r="T19" s="774" t="s">
        <v>17</v>
      </c>
      <c r="U19" s="775">
        <f>H19</f>
        <v>100</v>
      </c>
      <c r="V19" s="774" t="s">
        <v>17</v>
      </c>
      <c r="W19" s="775">
        <f>J19</f>
        <v>100</v>
      </c>
      <c r="X19" s="1815"/>
      <c r="Y19" s="3262"/>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1"/>
      <c r="L20" s="1142"/>
      <c r="M20" s="1133"/>
      <c r="N20" s="1133"/>
      <c r="O20" s="1141"/>
      <c r="P20" s="3262"/>
      <c r="Q20" s="1812"/>
      <c r="R20" s="774"/>
      <c r="S20" s="775"/>
      <c r="T20" s="774"/>
      <c r="U20" s="775"/>
      <c r="V20" s="774"/>
      <c r="W20" s="775"/>
      <c r="X20" s="1815"/>
      <c r="Y20" s="3262"/>
      <c r="Z20" s="1816"/>
      <c r="AA20" s="1813"/>
      <c r="AB20" s="1813"/>
      <c r="AC20" s="1813"/>
    </row>
    <row r="21" spans="1:29" ht="71.25">
      <c r="A21" s="404"/>
      <c r="B21" s="631" t="s">
        <v>2803</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62"/>
      <c r="Q21" s="1812" t="str">
        <f t="shared" si="8"/>
        <v>环境状况</v>
      </c>
      <c r="R21" s="774" t="s">
        <v>17</v>
      </c>
      <c r="S21" s="775">
        <f>F21</f>
        <v>100</v>
      </c>
      <c r="T21" s="774" t="s">
        <v>17</v>
      </c>
      <c r="U21" s="775">
        <f>H21</f>
        <v>100</v>
      </c>
      <c r="V21" s="774" t="s">
        <v>17</v>
      </c>
      <c r="W21" s="775">
        <f>J21</f>
        <v>100</v>
      </c>
      <c r="X21" s="1815"/>
      <c r="Y21" s="3262"/>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2"/>
      <c r="M22" s="1133"/>
      <c r="N22" s="1133"/>
      <c r="O22" s="1141"/>
      <c r="P22" s="3262"/>
      <c r="Q22" s="1812"/>
      <c r="R22" s="774"/>
      <c r="S22" s="775"/>
      <c r="T22" s="774"/>
      <c r="U22" s="775"/>
      <c r="V22" s="774"/>
      <c r="W22" s="775"/>
      <c r="X22" s="1815"/>
      <c r="Y22" s="3262"/>
      <c r="Z22" s="1816"/>
      <c r="AA22" s="1813">
        <v>1</v>
      </c>
      <c r="AB22" s="1813">
        <v>1</v>
      </c>
      <c r="AC22" s="1813">
        <v>1</v>
      </c>
    </row>
    <row r="23" spans="1:29" s="117" customFormat="1" ht="42.75">
      <c r="A23" s="649"/>
      <c r="B23" s="633" t="s">
        <v>2658</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62"/>
      <c r="Q23" s="1797" t="str">
        <f t="shared" si="8"/>
        <v>公共配套设施</v>
      </c>
      <c r="R23" s="770" t="s">
        <v>17</v>
      </c>
      <c r="S23" s="771">
        <f>F23</f>
        <v>100</v>
      </c>
      <c r="T23" s="770" t="s">
        <v>17</v>
      </c>
      <c r="U23" s="771">
        <f>H23</f>
        <v>100</v>
      </c>
      <c r="V23" s="770" t="s">
        <v>17</v>
      </c>
      <c r="W23" s="771">
        <f>J23</f>
        <v>100</v>
      </c>
      <c r="X23" s="772"/>
      <c r="Y23" s="3262"/>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4"/>
      <c r="M24" s="1135"/>
      <c r="N24" s="1135"/>
      <c r="O24" s="1136"/>
      <c r="P24" s="3262"/>
      <c r="Q24" s="1797"/>
      <c r="R24" s="770"/>
      <c r="S24" s="771"/>
      <c r="T24" s="770"/>
      <c r="U24" s="771"/>
      <c r="V24" s="770"/>
      <c r="W24" s="771"/>
      <c r="X24" s="772"/>
      <c r="Y24" s="3262"/>
      <c r="Z24" s="55"/>
      <c r="AA24" s="773">
        <v>1</v>
      </c>
      <c r="AB24" s="773">
        <v>1</v>
      </c>
      <c r="AC24" s="773">
        <v>1</v>
      </c>
    </row>
    <row r="25" spans="1:29" s="117" customFormat="1" ht="28.5">
      <c r="A25" s="649"/>
      <c r="B25" s="633" t="s">
        <v>2659</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62"/>
      <c r="Q25" s="1797" t="str">
        <f t="shared" ref="Q25" si="9">B25</f>
        <v>基础设施水平</v>
      </c>
      <c r="R25" s="770" t="s">
        <v>17</v>
      </c>
      <c r="S25" s="771">
        <f>F25</f>
        <v>100</v>
      </c>
      <c r="T25" s="770" t="s">
        <v>17</v>
      </c>
      <c r="U25" s="771">
        <f>H25</f>
        <v>100</v>
      </c>
      <c r="V25" s="770" t="s">
        <v>17</v>
      </c>
      <c r="W25" s="771">
        <f>J25</f>
        <v>100</v>
      </c>
      <c r="X25" s="772"/>
      <c r="Y25" s="3262"/>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4"/>
      <c r="M26" s="1135"/>
      <c r="N26" s="1135"/>
      <c r="O26" s="1136"/>
      <c r="P26" s="3262"/>
      <c r="Q26" s="1797"/>
      <c r="R26" s="770"/>
      <c r="S26" s="771"/>
      <c r="T26" s="770"/>
      <c r="U26" s="771"/>
      <c r="V26" s="770"/>
      <c r="W26" s="771"/>
      <c r="X26" s="772"/>
      <c r="Y26" s="3262"/>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6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62"/>
      <c r="Z27" s="1816" t="str">
        <f t="shared" ref="Z27:Z40" si="13">Q27</f>
        <v>临街状况</v>
      </c>
      <c r="AA27" s="1813">
        <f t="shared" si="3"/>
        <v>1</v>
      </c>
      <c r="AB27" s="1813">
        <f t="shared" si="4"/>
        <v>1</v>
      </c>
      <c r="AC27" s="1813">
        <f t="shared" si="5"/>
        <v>1</v>
      </c>
    </row>
    <row r="28" spans="1:29" ht="27">
      <c r="A28" s="428"/>
      <c r="B28" s="633" t="s">
        <v>2695</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62"/>
      <c r="Q28" s="1812" t="str">
        <f t="shared" si="8"/>
        <v>毗邻道路的类型与等级</v>
      </c>
      <c r="R28" s="774" t="s">
        <v>17</v>
      </c>
      <c r="S28" s="775">
        <f t="shared" si="10"/>
        <v>100</v>
      </c>
      <c r="T28" s="774" t="s">
        <v>17</v>
      </c>
      <c r="U28" s="775">
        <f t="shared" si="11"/>
        <v>100</v>
      </c>
      <c r="V28" s="774" t="s">
        <v>17</v>
      </c>
      <c r="W28" s="775">
        <f t="shared" si="12"/>
        <v>100</v>
      </c>
      <c r="X28" s="1815"/>
      <c r="Y28" s="3262"/>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2"/>
      <c r="M29" s="1133"/>
      <c r="N29" s="1133"/>
      <c r="O29" s="1141"/>
      <c r="P29" s="3262"/>
      <c r="Q29" s="1812"/>
      <c r="R29" s="774"/>
      <c r="S29" s="775"/>
      <c r="T29" s="774"/>
      <c r="U29" s="775"/>
      <c r="V29" s="774"/>
      <c r="W29" s="775"/>
      <c r="X29" s="1815"/>
      <c r="Y29" s="3262"/>
      <c r="Z29" s="1816"/>
      <c r="AA29" s="1813">
        <v>1</v>
      </c>
      <c r="AB29" s="1813">
        <v>1</v>
      </c>
      <c r="AC29" s="1813">
        <v>1</v>
      </c>
    </row>
    <row r="30" spans="1:29" ht="15">
      <c r="A30" s="428"/>
      <c r="B30" s="654" t="s">
        <v>2754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62"/>
      <c r="Q30" s="1812" t="str">
        <f t="shared" si="8"/>
        <v>土地级别</v>
      </c>
      <c r="R30" s="774" t="s">
        <v>17</v>
      </c>
      <c r="S30" s="775">
        <f t="shared" si="10"/>
        <v>100</v>
      </c>
      <c r="T30" s="774" t="s">
        <v>17</v>
      </c>
      <c r="U30" s="775">
        <f t="shared" si="11"/>
        <v>100</v>
      </c>
      <c r="V30" s="774" t="s">
        <v>17</v>
      </c>
      <c r="W30" s="775">
        <f t="shared" si="12"/>
        <v>100</v>
      </c>
      <c r="X30" s="1815"/>
      <c r="Y30" s="3262"/>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62"/>
      <c r="Q31" s="1812">
        <f t="shared" si="8"/>
        <v>111</v>
      </c>
      <c r="R31" s="774" t="s">
        <v>17</v>
      </c>
      <c r="S31" s="775">
        <f t="shared" si="10"/>
        <v>100</v>
      </c>
      <c r="T31" s="774" t="s">
        <v>17</v>
      </c>
      <c r="U31" s="775">
        <f t="shared" si="11"/>
        <v>100</v>
      </c>
      <c r="V31" s="774" t="s">
        <v>17</v>
      </c>
      <c r="W31" s="775">
        <f t="shared" si="12"/>
        <v>100</v>
      </c>
      <c r="X31" s="1815"/>
      <c r="Y31" s="3262"/>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317" t="s">
        <v>2569</v>
      </c>
      <c r="Q32" s="1812">
        <f t="shared" si="8"/>
        <v>111</v>
      </c>
      <c r="R32" s="774" t="s">
        <v>17</v>
      </c>
      <c r="S32" s="775">
        <f t="shared" si="10"/>
        <v>100</v>
      </c>
      <c r="T32" s="774" t="s">
        <v>17</v>
      </c>
      <c r="U32" s="775">
        <f t="shared" si="11"/>
        <v>100</v>
      </c>
      <c r="V32" s="774" t="s">
        <v>17</v>
      </c>
      <c r="W32" s="775">
        <f t="shared" si="12"/>
        <v>100</v>
      </c>
      <c r="X32" s="1815"/>
      <c r="Y32" s="3266" t="s">
        <v>2569</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66"/>
      <c r="Q33" s="1812">
        <f t="shared" si="8"/>
        <v>111</v>
      </c>
      <c r="R33" s="777" t="s">
        <v>17</v>
      </c>
      <c r="S33" s="778">
        <f t="shared" si="10"/>
        <v>100</v>
      </c>
      <c r="T33" s="777" t="s">
        <v>17</v>
      </c>
      <c r="U33" s="778">
        <f t="shared" si="11"/>
        <v>100</v>
      </c>
      <c r="V33" s="777" t="s">
        <v>17</v>
      </c>
      <c r="W33" s="778">
        <f t="shared" si="12"/>
        <v>100</v>
      </c>
      <c r="X33" s="779"/>
      <c r="Y33" s="3266"/>
      <c r="Z33" s="780">
        <f t="shared" si="13"/>
        <v>111</v>
      </c>
      <c r="AA33" s="1813">
        <f t="shared" si="3"/>
        <v>1</v>
      </c>
      <c r="AB33" s="1813">
        <f t="shared" si="4"/>
        <v>1</v>
      </c>
      <c r="AC33" s="1813">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66"/>
      <c r="Q34" s="1812" t="str">
        <f>B34</f>
        <v>宗地面积</v>
      </c>
      <c r="R34" s="774" t="s">
        <v>17</v>
      </c>
      <c r="S34" s="775" t="e">
        <f t="shared" si="10"/>
        <v>#N/A</v>
      </c>
      <c r="T34" s="774" t="s">
        <v>17</v>
      </c>
      <c r="U34" s="775" t="e">
        <f t="shared" si="11"/>
        <v>#N/A</v>
      </c>
      <c r="V34" s="774" t="s">
        <v>17</v>
      </c>
      <c r="W34" s="775" t="e">
        <f t="shared" si="12"/>
        <v>#N/A</v>
      </c>
      <c r="X34" s="1815"/>
      <c r="Y34" s="3266"/>
      <c r="Z34" s="1816" t="str">
        <f t="shared" si="13"/>
        <v>宗地面积</v>
      </c>
      <c r="AA34" s="1813" t="e">
        <f t="shared" si="3"/>
        <v>#N/A</v>
      </c>
      <c r="AB34" s="1813" t="e">
        <f t="shared" si="4"/>
        <v>#N/A</v>
      </c>
      <c r="AC34" s="1813" t="e">
        <f t="shared" si="5"/>
        <v>#N/A</v>
      </c>
    </row>
    <row r="35" spans="1:29" ht="15">
      <c r="A35" s="472"/>
      <c r="B35" s="422" t="s">
        <v>2756</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2"/>
      <c r="M35" s="1133"/>
      <c r="N35" s="1133"/>
      <c r="O35" s="1141"/>
      <c r="P35" s="3266"/>
      <c r="Q35" s="1812" t="str">
        <f t="shared" ref="Q35:Q40" si="14">B35</f>
        <v>宗地形状</v>
      </c>
      <c r="R35" s="774" t="s">
        <v>17</v>
      </c>
      <c r="S35" s="775">
        <f t="shared" si="10"/>
        <v>100</v>
      </c>
      <c r="T35" s="774" t="s">
        <v>17</v>
      </c>
      <c r="U35" s="775">
        <f t="shared" si="11"/>
        <v>100</v>
      </c>
      <c r="V35" s="774" t="s">
        <v>17</v>
      </c>
      <c r="W35" s="775">
        <f t="shared" si="12"/>
        <v>100</v>
      </c>
      <c r="X35" s="1815"/>
      <c r="Y35" s="3266"/>
      <c r="Z35" s="1816" t="str">
        <f t="shared" si="13"/>
        <v>宗地形状</v>
      </c>
      <c r="AA35" s="1813">
        <f t="shared" si="3"/>
        <v>1</v>
      </c>
      <c r="AB35" s="1813">
        <f t="shared" si="4"/>
        <v>1</v>
      </c>
      <c r="AC35" s="1813">
        <f t="shared" si="5"/>
        <v>1</v>
      </c>
    </row>
    <row r="36" spans="1:29" s="117" customFormat="1" ht="15">
      <c r="A36" s="473"/>
      <c r="B36" s="422" t="s">
        <v>2758</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4"/>
      <c r="M36" s="1135"/>
      <c r="N36" s="1135"/>
      <c r="O36" s="1136"/>
      <c r="P36" s="3266"/>
      <c r="Q36" s="1812" t="str">
        <f t="shared" si="14"/>
        <v>宗地开发程度</v>
      </c>
      <c r="R36" s="770" t="s">
        <v>17</v>
      </c>
      <c r="S36" s="771">
        <f t="shared" si="10"/>
        <v>100</v>
      </c>
      <c r="T36" s="770" t="s">
        <v>17</v>
      </c>
      <c r="U36" s="771">
        <f t="shared" si="11"/>
        <v>100</v>
      </c>
      <c r="V36" s="770" t="s">
        <v>17</v>
      </c>
      <c r="W36" s="771">
        <f t="shared" si="12"/>
        <v>100</v>
      </c>
      <c r="X36" s="772"/>
      <c r="Y36" s="3266"/>
      <c r="Z36" s="55" t="str">
        <f t="shared" si="13"/>
        <v>宗地开发程度</v>
      </c>
      <c r="AA36" s="773">
        <f t="shared" si="3"/>
        <v>1</v>
      </c>
      <c r="AB36" s="773">
        <f t="shared" si="4"/>
        <v>1</v>
      </c>
      <c r="AC36" s="773">
        <f t="shared" si="5"/>
        <v>1</v>
      </c>
    </row>
    <row r="37" spans="1:29" ht="15">
      <c r="A37" s="472"/>
      <c r="B37" s="422" t="s">
        <v>2759</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2"/>
      <c r="M37" s="1133"/>
      <c r="N37" s="1133"/>
      <c r="O37" s="1141"/>
      <c r="P37" s="3266" t="s">
        <v>2569</v>
      </c>
      <c r="Q37" s="1812" t="str">
        <f t="shared" si="14"/>
        <v>工程地质条件</v>
      </c>
      <c r="R37" s="774" t="s">
        <v>17</v>
      </c>
      <c r="S37" s="775">
        <f t="shared" si="10"/>
        <v>100</v>
      </c>
      <c r="T37" s="774" t="s">
        <v>17</v>
      </c>
      <c r="U37" s="775">
        <f t="shared" si="11"/>
        <v>100</v>
      </c>
      <c r="V37" s="774" t="s">
        <v>17</v>
      </c>
      <c r="W37" s="775">
        <f t="shared" si="12"/>
        <v>100</v>
      </c>
      <c r="X37" s="1815"/>
      <c r="Y37" s="3266" t="s">
        <v>2569</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66"/>
      <c r="Q38" s="1812">
        <f t="shared" si="14"/>
        <v>111</v>
      </c>
      <c r="R38" s="774" t="s">
        <v>17</v>
      </c>
      <c r="S38" s="775">
        <f t="shared" si="10"/>
        <v>100</v>
      </c>
      <c r="T38" s="774" t="s">
        <v>17</v>
      </c>
      <c r="U38" s="775">
        <f t="shared" si="11"/>
        <v>100</v>
      </c>
      <c r="V38" s="774" t="s">
        <v>17</v>
      </c>
      <c r="W38" s="775">
        <f t="shared" si="12"/>
        <v>100</v>
      </c>
      <c r="X38" s="1815"/>
      <c r="Y38" s="3266"/>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66"/>
      <c r="Q39" s="1812">
        <f t="shared" si="14"/>
        <v>111</v>
      </c>
      <c r="R39" s="774" t="s">
        <v>17</v>
      </c>
      <c r="S39" s="775">
        <f t="shared" si="10"/>
        <v>100</v>
      </c>
      <c r="T39" s="774" t="s">
        <v>17</v>
      </c>
      <c r="U39" s="775">
        <f t="shared" si="11"/>
        <v>100</v>
      </c>
      <c r="V39" s="774" t="s">
        <v>17</v>
      </c>
      <c r="W39" s="775">
        <f t="shared" si="12"/>
        <v>100</v>
      </c>
      <c r="X39" s="1815"/>
      <c r="Y39" s="3266"/>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66"/>
      <c r="Q40" s="1812">
        <f t="shared" si="14"/>
        <v>111</v>
      </c>
      <c r="R40" s="777" t="s">
        <v>17</v>
      </c>
      <c r="S40" s="778">
        <f t="shared" si="10"/>
        <v>100</v>
      </c>
      <c r="T40" s="777" t="s">
        <v>17</v>
      </c>
      <c r="U40" s="778">
        <f t="shared" si="11"/>
        <v>100</v>
      </c>
      <c r="V40" s="777" t="s">
        <v>17</v>
      </c>
      <c r="W40" s="778">
        <f t="shared" si="12"/>
        <v>100</v>
      </c>
      <c r="X40" s="779"/>
      <c r="Y40" s="3266"/>
      <c r="Z40" s="780">
        <f t="shared" si="13"/>
        <v>111</v>
      </c>
      <c r="AA40" s="1813">
        <f t="shared" si="3"/>
        <v>1</v>
      </c>
      <c r="AB40" s="1813">
        <f t="shared" si="4"/>
        <v>1</v>
      </c>
      <c r="AC40" s="1813">
        <f t="shared" si="5"/>
        <v>1</v>
      </c>
    </row>
    <row r="41" spans="1:29" ht="15">
      <c r="A41" s="479" t="s">
        <v>2724</v>
      </c>
      <c r="B41" s="2709" t="s">
        <v>2804</v>
      </c>
      <c r="C41" s="682" t="s">
        <v>1</v>
      </c>
      <c r="D41" s="481"/>
      <c r="E41" s="482"/>
      <c r="F41" s="483"/>
      <c r="G41" s="484"/>
      <c r="H41" s="485"/>
      <c r="I41" s="482"/>
      <c r="J41" s="485"/>
      <c r="K41" s="783"/>
      <c r="L41" s="1145"/>
      <c r="M41" s="1133"/>
      <c r="N41" s="1133"/>
      <c r="O41" s="1146"/>
      <c r="P41" s="3259" t="str">
        <f>A41</f>
        <v>成交单价</v>
      </c>
      <c r="Q41" s="3259"/>
      <c r="R41" s="3290">
        <f>E41</f>
        <v>0</v>
      </c>
      <c r="S41" s="3290"/>
      <c r="T41" s="3290">
        <f>G41</f>
        <v>0</v>
      </c>
      <c r="U41" s="3290"/>
      <c r="V41" s="3290">
        <f>I41</f>
        <v>0</v>
      </c>
      <c r="W41" s="3290"/>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5"/>
      <c r="M42" s="1133"/>
      <c r="N42" s="1133"/>
      <c r="O42" s="1146"/>
      <c r="P42" s="3259" t="str">
        <f>A42</f>
        <v>比较价值（元/平方米）</v>
      </c>
      <c r="Q42" s="3259"/>
      <c r="R42" s="3338" t="e">
        <f>ROUND(PRODUCT(R41,AA7:AA40),0)</f>
        <v>#DIV/0!</v>
      </c>
      <c r="S42" s="3338"/>
      <c r="T42" s="3338" t="e">
        <f>ROUND(PRODUCT(T41,AB7:AB40),0)</f>
        <v>#DIV/0!</v>
      </c>
      <c r="U42" s="3338"/>
      <c r="V42" s="3338" t="e">
        <f>ROUND(PRODUCT(V41,AC7:AC40),0)</f>
        <v>#DIV/0!</v>
      </c>
      <c r="W42" s="3338"/>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5"/>
      <c r="M43" s="1133"/>
      <c r="N43" s="1133"/>
      <c r="O43" s="1146"/>
      <c r="P43" s="3256" t="str">
        <f>A43</f>
        <v>估价对象XX用房的比较价值（楼面单价，元/平方米）</v>
      </c>
      <c r="Q43" s="3257"/>
      <c r="R43" s="3339" t="e">
        <f>ROUND(AVERAGE(R42:V42),0)</f>
        <v>#DIV/0!</v>
      </c>
      <c r="S43" s="3339"/>
      <c r="T43" s="3339"/>
      <c r="U43" s="3339"/>
      <c r="V43" s="3339"/>
      <c r="W43" s="3339"/>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2762</v>
      </c>
      <c r="B50" s="685" t="s">
        <v>2763</v>
      </c>
      <c r="C50" s="2710" t="s">
        <v>2764</v>
      </c>
      <c r="D50" s="2711" t="s">
        <v>2765</v>
      </c>
      <c r="E50" s="686" t="s">
        <v>2766</v>
      </c>
      <c r="F50" s="687" t="s">
        <v>2767</v>
      </c>
      <c r="G50" s="3274" t="s">
        <v>2768</v>
      </c>
      <c r="H50" s="3340"/>
      <c r="I50" s="1816" t="s">
        <v>2805</v>
      </c>
      <c r="J50" s="1816">
        <f>项目基本情况!F35</f>
        <v>0</v>
      </c>
      <c r="K50" s="2713" t="s">
        <v>2770</v>
      </c>
      <c r="L50" s="1108"/>
      <c r="M50" s="1146"/>
      <c r="N50" s="1146"/>
      <c r="O50" s="1146"/>
    </row>
    <row r="51" spans="1:17" s="692" customFormat="1">
      <c r="A51" s="688" t="s">
        <v>2771</v>
      </c>
      <c r="B51" s="689" t="e">
        <f>C43</f>
        <v>#DIV/0!</v>
      </c>
      <c r="C51" s="690">
        <v>1</v>
      </c>
      <c r="D51" s="1165">
        <v>1</v>
      </c>
      <c r="E51" s="690">
        <f>'数据-汇总表'!E8+'数据-汇总表'!E9</f>
        <v>6284.07</v>
      </c>
      <c r="F51" s="691" t="e">
        <f t="shared" ref="F51:F60" si="15">ROUND(B51*E51/10000,0)</f>
        <v>#DIV/0!</v>
      </c>
      <c r="G51" s="3270"/>
      <c r="H51" s="3259"/>
      <c r="I51" s="944">
        <v>1</v>
      </c>
      <c r="J51" s="944">
        <v>1</v>
      </c>
      <c r="K51" s="1147"/>
      <c r="L51" s="943"/>
      <c r="M51" s="943"/>
      <c r="N51" s="943"/>
      <c r="O51" s="943"/>
    </row>
    <row r="52" spans="1:17" s="692" customFormat="1">
      <c r="A52" s="693" t="s">
        <v>2772</v>
      </c>
      <c r="B52" s="262" t="e">
        <f>ROUND($C$43*C52*D52,0)</f>
        <v>#DIV/0!</v>
      </c>
      <c r="C52" s="200">
        <f t="shared" ref="C52:C60" si="16">IF($C$50="北京市系数",I52,J52)</f>
        <v>0.8</v>
      </c>
      <c r="D52" s="1166">
        <v>0.25</v>
      </c>
      <c r="E52" s="694"/>
      <c r="F52" s="691" t="e">
        <f t="shared" si="15"/>
        <v>#DIV/0!</v>
      </c>
      <c r="G52" s="3341" t="s">
        <v>2773</v>
      </c>
      <c r="H52" s="1106" t="str">
        <f>项目基本情况!B37</f>
        <v>一级</v>
      </c>
      <c r="I52" s="944">
        <f>SUMIF(修正!A45:A56,H52,修正!B45:B56)</f>
        <v>0.8</v>
      </c>
      <c r="J52" s="945"/>
      <c r="K52" s="1146"/>
      <c r="L52" s="943"/>
      <c r="M52" s="943"/>
      <c r="N52" s="943"/>
      <c r="O52" s="943"/>
    </row>
    <row r="53" spans="1:17" s="692" customFormat="1">
      <c r="A53" s="693" t="s">
        <v>2774</v>
      </c>
      <c r="B53" s="262" t="e">
        <f t="shared" ref="B53:B60" si="17">ROUND($C$43*C53*D53,0)</f>
        <v>#DIV/0!</v>
      </c>
      <c r="C53" s="200">
        <f t="shared" si="16"/>
        <v>0.5</v>
      </c>
      <c r="D53" s="1166">
        <v>0.25</v>
      </c>
      <c r="E53" s="694"/>
      <c r="F53" s="691" t="e">
        <f t="shared" si="15"/>
        <v>#DIV/0!</v>
      </c>
      <c r="G53" s="3341"/>
      <c r="H53" s="1106" t="str">
        <f>项目基本情况!B37</f>
        <v>一级</v>
      </c>
      <c r="I53" s="944">
        <f>SUMIF(修正!A45:A56,H53,修正!C45:C56)</f>
        <v>0.5</v>
      </c>
      <c r="J53" s="945"/>
      <c r="K53" s="1147"/>
      <c r="L53" s="943"/>
      <c r="M53" s="943"/>
      <c r="N53" s="943"/>
      <c r="O53" s="943"/>
    </row>
    <row r="54" spans="1:17" s="692" customFormat="1">
      <c r="A54" s="693" t="s">
        <v>2775</v>
      </c>
      <c r="B54" s="262" t="e">
        <f t="shared" si="17"/>
        <v>#DIV/0!</v>
      </c>
      <c r="C54" s="200">
        <f t="shared" si="16"/>
        <v>0.36</v>
      </c>
      <c r="D54" s="1166">
        <v>0.25</v>
      </c>
      <c r="E54" s="694"/>
      <c r="F54" s="691" t="e">
        <f t="shared" si="15"/>
        <v>#DIV/0!</v>
      </c>
      <c r="G54" s="3341"/>
      <c r="H54" s="1106" t="str">
        <f>项目基本情况!B37</f>
        <v>一级</v>
      </c>
      <c r="I54" s="944">
        <f>SUMIF(修正!A45:A56,H54,修正!D45:D56)</f>
        <v>0.36</v>
      </c>
      <c r="J54" s="945"/>
      <c r="K54" s="1146"/>
      <c r="L54" s="943"/>
      <c r="M54" s="943"/>
      <c r="N54" s="943"/>
      <c r="O54" s="943"/>
    </row>
    <row r="55" spans="1:17" s="692" customFormat="1">
      <c r="A55" s="693" t="s">
        <v>2776</v>
      </c>
      <c r="B55" s="262" t="e">
        <f t="shared" si="17"/>
        <v>#DIV/0!</v>
      </c>
      <c r="C55" s="200">
        <f t="shared" si="16"/>
        <v>0.3</v>
      </c>
      <c r="D55" s="1166">
        <v>0.25</v>
      </c>
      <c r="E55" s="694"/>
      <c r="F55" s="691" t="e">
        <f t="shared" si="15"/>
        <v>#DIV/0!</v>
      </c>
      <c r="G55" s="3341"/>
      <c r="H55" s="1106" t="str">
        <f>项目基本情况!B37</f>
        <v>一级</v>
      </c>
      <c r="I55" s="944">
        <f>SUMIF(修正!A45:A56,H55,修正!E45:E56)</f>
        <v>0.3</v>
      </c>
      <c r="J55" s="945"/>
      <c r="K55" s="1147"/>
      <c r="L55" s="943"/>
      <c r="M55" s="943"/>
      <c r="N55" s="943"/>
      <c r="O55" s="943"/>
    </row>
    <row r="56" spans="1:17" s="692" customFormat="1">
      <c r="A56" s="693" t="s">
        <v>2777</v>
      </c>
      <c r="B56" s="262" t="e">
        <f t="shared" si="17"/>
        <v>#DIV/0!</v>
      </c>
      <c r="C56" s="200">
        <f t="shared" si="16"/>
        <v>0</v>
      </c>
      <c r="D56" s="1166">
        <v>0.25</v>
      </c>
      <c r="E56" s="261">
        <f>'数据-汇总表'!E11</f>
        <v>0</v>
      </c>
      <c r="F56" s="691" t="e">
        <f t="shared" si="15"/>
        <v>#DIV/0!</v>
      </c>
      <c r="G56" s="2714" t="s">
        <v>2778</v>
      </c>
      <c r="H56" s="1106">
        <f>项目基本情况!C37</f>
        <v>0</v>
      </c>
      <c r="I56" s="944">
        <f>SUMIF(修正!A45:A56,H56,修正!F45:F56)</f>
        <v>0</v>
      </c>
      <c r="J56" s="945"/>
      <c r="K56" s="1146"/>
      <c r="L56" s="943"/>
      <c r="M56" s="943"/>
      <c r="N56" s="943"/>
      <c r="O56" s="943"/>
    </row>
    <row r="57" spans="1:17" s="692" customFormat="1">
      <c r="A57" s="693" t="s">
        <v>2779</v>
      </c>
      <c r="B57" s="262" t="e">
        <f t="shared" si="17"/>
        <v>#DIV/0!</v>
      </c>
      <c r="C57" s="200">
        <f t="shared" si="16"/>
        <v>0</v>
      </c>
      <c r="D57" s="1166">
        <v>0.25</v>
      </c>
      <c r="E57" s="261">
        <f>'数据-汇总表'!E12</f>
        <v>0</v>
      </c>
      <c r="F57" s="691" t="e">
        <f t="shared" si="15"/>
        <v>#DIV/0!</v>
      </c>
      <c r="G57" s="1111" t="s">
        <v>2780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2781</v>
      </c>
      <c r="B58" s="262" t="e">
        <f t="shared" si="17"/>
        <v>#DIV/0!</v>
      </c>
      <c r="C58" s="200">
        <f t="shared" si="16"/>
        <v>0</v>
      </c>
      <c r="D58" s="1166">
        <v>0.25</v>
      </c>
      <c r="E58" s="261">
        <f>'数据-汇总表'!E13</f>
        <v>0</v>
      </c>
      <c r="F58" s="691"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2783</v>
      </c>
      <c r="B59" s="262" t="e">
        <f t="shared" si="17"/>
        <v>#DIV/0!</v>
      </c>
      <c r="C59" s="200">
        <f t="shared" si="16"/>
        <v>0.25</v>
      </c>
      <c r="D59" s="1166">
        <v>0.25</v>
      </c>
      <c r="E59" s="261">
        <f>'数据-汇总表'!E14</f>
        <v>16503.55</v>
      </c>
      <c r="F59" s="691" t="e">
        <f t="shared" si="15"/>
        <v>#DIV/0!</v>
      </c>
      <c r="G59" s="2714" t="s">
        <v>2773</v>
      </c>
      <c r="H59" s="1106" t="str">
        <f>项目基本情况!B37</f>
        <v>一级</v>
      </c>
      <c r="I59" s="944">
        <f>SUMIF(修正!A45:A56,H59,修正!H45:H56)</f>
        <v>0.25</v>
      </c>
      <c r="J59" s="945"/>
      <c r="K59" s="1147"/>
      <c r="L59" s="943"/>
      <c r="M59" s="943"/>
      <c r="N59" s="943"/>
      <c r="O59" s="943"/>
    </row>
    <row r="60" spans="1:17" s="692" customFormat="1" ht="15" thickBot="1">
      <c r="A60" s="693" t="s">
        <v>2784</v>
      </c>
      <c r="B60" s="262" t="e">
        <f t="shared" si="17"/>
        <v>#DIV/0!</v>
      </c>
      <c r="C60" s="200">
        <f t="shared" si="16"/>
        <v>0</v>
      </c>
      <c r="D60" s="1166">
        <v>0.25</v>
      </c>
      <c r="E60" s="261">
        <f>'数据-汇总表'!E15</f>
        <v>0</v>
      </c>
      <c r="F60" s="691" t="e">
        <f t="shared" si="15"/>
        <v>#DIV/0!</v>
      </c>
      <c r="G60" s="2715" t="s">
        <v>2778</v>
      </c>
      <c r="H60" s="1116">
        <f>项目基本情况!C37</f>
        <v>0</v>
      </c>
      <c r="I60" s="944">
        <f>SUMIF(修正!A45:A56,H60,修正!H45:H56)</f>
        <v>0</v>
      </c>
      <c r="J60" s="945"/>
      <c r="K60" s="1146"/>
      <c r="L60" s="943"/>
      <c r="M60" s="943"/>
      <c r="N60" s="943"/>
      <c r="O60" s="943"/>
    </row>
    <row r="61" spans="1:17" s="692" customFormat="1" ht="15" thickBot="1">
      <c r="A61" s="695" t="s">
        <v>2785</v>
      </c>
      <c r="B61" s="696" t="s">
        <v>28</v>
      </c>
      <c r="C61" s="696" t="s">
        <v>29</v>
      </c>
      <c r="D61" s="696" t="s">
        <v>1029</v>
      </c>
      <c r="E61" s="696">
        <f>IF(B41="楼面地价",SUM(E51:E60),'数据-汇总表'!D3)</f>
        <v>3781.7</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2678</v>
      </c>
      <c r="B64" s="759"/>
      <c r="C64" s="764"/>
      <c r="D64" s="764"/>
      <c r="E64" s="764"/>
      <c r="F64" s="765"/>
      <c r="G64" s="765"/>
      <c r="H64" s="764"/>
      <c r="I64" s="764"/>
      <c r="J64" s="764"/>
      <c r="K64" s="766"/>
      <c r="L64" s="767"/>
      <c r="M64" s="764"/>
      <c r="N64" s="764"/>
      <c r="O64" s="1161"/>
      <c r="P64" s="503"/>
      <c r="Q64" s="504"/>
    </row>
    <row r="65" spans="1:17" s="508" customFormat="1" ht="15">
      <c r="A65" s="2716" t="s">
        <v>2786</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21" t="s">
        <v>2806</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2592</v>
      </c>
      <c r="B70" s="528" t="s">
        <v>2558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2796</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2798</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2799</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5"/>
      <c r="C2" s="3045"/>
      <c r="D2" s="3045"/>
      <c r="E2" s="3045"/>
    </row>
    <row r="3" spans="1:5" ht="18">
      <c r="A3" s="3046" t="str">
        <f>IF(项目基本情况!B9="房地产市场价值","估价结果一览表（市场价值不需“结果表-1”）","估价结果一览表")</f>
        <v>估价结果一览表</v>
      </c>
      <c r="B3" s="3046"/>
      <c r="C3" s="3046"/>
      <c r="D3" s="3046"/>
      <c r="E3" s="3046"/>
    </row>
    <row r="4" spans="1:5" ht="19.5" thickBot="1">
      <c r="A4" s="1963"/>
      <c r="B4" s="3044" t="s">
        <v>1631</v>
      </c>
      <c r="C4" s="3044"/>
      <c r="D4" s="3044"/>
      <c r="E4" s="1963"/>
    </row>
    <row r="5" spans="1:5" ht="16.5" thickTop="1">
      <c r="A5" s="1961"/>
      <c r="B5" s="3042" t="s">
        <v>1623</v>
      </c>
      <c r="C5" s="1964" t="s">
        <v>1624</v>
      </c>
      <c r="D5" s="1042">
        <f ca="1">'结果表-酒店配套'!H101</f>
        <v>17124</v>
      </c>
      <c r="E5" s="1961"/>
    </row>
    <row r="6" spans="1:5" ht="15.75">
      <c r="A6" s="1961"/>
      <c r="B6" s="3042"/>
      <c r="C6" s="1964" t="s">
        <v>1625</v>
      </c>
      <c r="D6" s="1042" t="str">
        <f ca="1">NUMBERSTRING(INT(D5*10000),2)&amp;"元整"</f>
        <v>壹亿柒仟壹佰贰拾肆万元整</v>
      </c>
      <c r="E6" s="1961"/>
    </row>
    <row r="7" spans="1:5" ht="15.75">
      <c r="A7" s="1961"/>
      <c r="B7" s="3047"/>
      <c r="C7" s="1965" t="s">
        <v>1626</v>
      </c>
      <c r="D7" s="1043">
        <f ca="1">'结果表-酒店配套'!H102</f>
        <v>34471</v>
      </c>
      <c r="E7" s="1961"/>
    </row>
    <row r="8" spans="1:5" ht="15.75">
      <c r="A8" s="1961"/>
      <c r="B8" s="3048" t="str">
        <f>'结果表-酒店配套'!E103</f>
        <v>2.估价师知悉的法定优先受偿款</v>
      </c>
      <c r="C8" s="1966" t="s">
        <v>1627</v>
      </c>
      <c r="D8" s="1043">
        <f>'结果表-酒店配套'!H103</f>
        <v>0</v>
      </c>
      <c r="E8" s="1961"/>
    </row>
    <row r="9" spans="1:5" ht="15.75">
      <c r="A9" s="1961"/>
      <c r="B9" s="3050"/>
      <c r="C9" s="1964" t="s">
        <v>1625</v>
      </c>
      <c r="D9" s="1042" t="str">
        <f>NUMBERSTRING(INT(D8*10000),2)&amp;"元整"</f>
        <v>零元整</v>
      </c>
      <c r="E9" s="1961"/>
    </row>
    <row r="10" spans="1:5" ht="15">
      <c r="A10" s="1961"/>
      <c r="B10" s="1967" t="s">
        <v>1630</v>
      </c>
      <c r="C10" s="1968" t="s">
        <v>1628</v>
      </c>
      <c r="D10" s="1044">
        <f>'结果表-酒店配套'!H104</f>
        <v>0</v>
      </c>
      <c r="E10" s="1961"/>
    </row>
    <row r="11" spans="1:5" ht="15">
      <c r="A11" s="1961"/>
      <c r="B11" s="1967" t="s">
        <v>1632</v>
      </c>
      <c r="C11" s="1968" t="s">
        <v>1633</v>
      </c>
      <c r="D11" s="1044">
        <f>'结果表-酒店配套'!H105</f>
        <v>0</v>
      </c>
      <c r="E11" s="1961"/>
    </row>
    <row r="12" spans="1:5" ht="15">
      <c r="A12" s="1961"/>
      <c r="B12" s="1967" t="s">
        <v>1634</v>
      </c>
      <c r="C12" s="1968" t="s">
        <v>1633</v>
      </c>
      <c r="D12" s="1044">
        <f>'结果表-酒店配套'!H106</f>
        <v>0</v>
      </c>
      <c r="E12" s="1961"/>
    </row>
    <row r="13" spans="1:5" ht="15.75">
      <c r="A13" s="1961"/>
      <c r="B13" s="3041" t="str">
        <f>'结果表-酒店配套'!E107</f>
        <v>3.房地产抵押价值</v>
      </c>
      <c r="C13" s="1969" t="s">
        <v>1624</v>
      </c>
      <c r="D13" s="1045">
        <f ca="1">'结果表-酒店配套'!H107</f>
        <v>17124</v>
      </c>
      <c r="E13" s="1961"/>
    </row>
    <row r="14" spans="1:5" ht="15.75">
      <c r="A14" s="1961"/>
      <c r="B14" s="3042"/>
      <c r="C14" s="1964" t="s">
        <v>1625</v>
      </c>
      <c r="D14" s="1042" t="str">
        <f ca="1">NUMBERSTRING(INT(D13*10000),2)&amp;"元整"</f>
        <v>壹亿柒仟壹佰贰拾肆万元整</v>
      </c>
      <c r="E14" s="1961"/>
    </row>
    <row r="15" spans="1:5" ht="15">
      <c r="A15" s="1961"/>
      <c r="B15" s="3047"/>
      <c r="C15" s="1965" t="s">
        <v>1635</v>
      </c>
      <c r="D15" s="1054">
        <f ca="1">'结果表-酒店配套'!H108</f>
        <v>6362</v>
      </c>
      <c r="E15" s="1961"/>
    </row>
    <row r="16" spans="1:5" ht="15">
      <c r="A16" s="1961"/>
      <c r="B16" s="3048" t="str">
        <f>'结果表-酒店配套'!E109</f>
        <v>——</v>
      </c>
      <c r="C16" s="1969" t="s">
        <v>1636</v>
      </c>
      <c r="D16" s="1970" t="str">
        <f>'结果表-酒店配套'!H109</f>
        <v>——</v>
      </c>
      <c r="E16" s="1961"/>
    </row>
    <row r="17" spans="1:5" ht="15.75">
      <c r="A17" s="1961"/>
      <c r="B17" s="3049"/>
      <c r="C17" s="1964" t="s">
        <v>1637</v>
      </c>
      <c r="D17" s="1042" t="e">
        <f>NUMBERSTRING(INT(D16*10000),2)&amp;"元整"</f>
        <v>#VALUE!</v>
      </c>
      <c r="E17" s="1961"/>
    </row>
    <row r="18" spans="1:5" ht="15">
      <c r="A18" s="1961"/>
      <c r="B18" s="3050"/>
      <c r="C18" s="1965" t="s">
        <v>1626</v>
      </c>
      <c r="D18" s="1054" t="str">
        <f>'结果表-酒店配套'!H110</f>
        <v>——</v>
      </c>
      <c r="E18" s="1961"/>
    </row>
    <row r="19" spans="1:5" ht="15.75">
      <c r="A19" s="1961"/>
      <c r="B19" s="3041" t="str">
        <f>'结果表-酒店配套'!E111</f>
        <v>——</v>
      </c>
      <c r="C19" s="1969" t="s">
        <v>1624</v>
      </c>
      <c r="D19" s="1043" t="str">
        <f>'结果表-酒店配套'!H111</f>
        <v>——</v>
      </c>
      <c r="E19" s="1961"/>
    </row>
    <row r="20" spans="1:5" ht="15.75">
      <c r="A20" s="1961"/>
      <c r="B20" s="3042"/>
      <c r="C20" s="1964" t="s">
        <v>1637</v>
      </c>
      <c r="D20" s="1042" t="e">
        <f>NUMBERSTRING(INT(D19*10000),2)&amp;"元整"</f>
        <v>#VALUE!</v>
      </c>
      <c r="E20" s="1961"/>
    </row>
    <row r="21" spans="1:5" ht="15.75" thickBot="1">
      <c r="A21" s="1961"/>
      <c r="B21" s="3043"/>
      <c r="C21" s="1971" t="s">
        <v>1635</v>
      </c>
      <c r="D21" s="1055" t="str">
        <f>'结果表-酒店配套'!H112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G30" sqref="G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48</v>
      </c>
      <c r="D1" s="1822" t="s">
        <v>70</v>
      </c>
      <c r="E1" s="1823" t="s">
        <v>1387</v>
      </c>
      <c r="F1" s="1285">
        <f ca="1">J53</f>
        <v>33.71</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6941</v>
      </c>
      <c r="C2" s="1847" t="s">
        <v>1517</v>
      </c>
      <c r="D2" s="1847"/>
      <c r="E2" s="1848"/>
      <c r="F2" s="1849"/>
      <c r="G2" s="1850"/>
      <c r="H2" s="1842"/>
      <c r="I2" s="1842"/>
      <c r="J2" s="1842"/>
      <c r="K2" s="1843"/>
      <c r="L2" s="1842"/>
      <c r="M2" s="1842"/>
    </row>
    <row r="3" spans="1:37" ht="18" customHeight="1" thickBot="1">
      <c r="A3" s="1851" t="s">
        <v>1518</v>
      </c>
      <c r="B3" s="1852">
        <f ca="1">IF(ISERROR(B2*10000/F43),0,ROUND(B2*10000/F43,0))</f>
        <v>4206</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470</v>
      </c>
      <c r="D5" s="1824" t="s">
        <v>1402</v>
      </c>
      <c r="E5" s="1295"/>
      <c r="F5" s="1296"/>
      <c r="G5" s="1853"/>
      <c r="H5" s="344">
        <v>1</v>
      </c>
      <c r="I5" s="345" t="s">
        <v>1401</v>
      </c>
      <c r="J5" s="1294">
        <f ca="1">J6+J10+J12</f>
        <v>0</v>
      </c>
      <c r="K5" s="1824" t="s">
        <v>1402</v>
      </c>
      <c r="L5" s="1295"/>
      <c r="M5" s="1296"/>
    </row>
    <row r="6" spans="1:37" ht="18" customHeight="1">
      <c r="A6" s="1293" t="s">
        <v>1035</v>
      </c>
      <c r="B6" s="3231" t="s">
        <v>1403</v>
      </c>
      <c r="C6" s="1298">
        <f ca="1">ROUND(F6*F8*F7*(1-F9)/10000,0)</f>
        <v>470</v>
      </c>
      <c r="D6" s="164" t="s">
        <v>3038</v>
      </c>
      <c r="E6" s="347" t="s">
        <v>1405</v>
      </c>
      <c r="F6" s="348">
        <f ca="1">INDIRECT("'数据-取费表'!u"&amp;$G$1)</f>
        <v>1400</v>
      </c>
      <c r="G6" s="1853"/>
      <c r="H6" s="1293" t="s">
        <v>1035</v>
      </c>
      <c r="I6" s="3231" t="s">
        <v>1403</v>
      </c>
      <c r="J6" s="346">
        <f ca="1">ROUND(M6*M8*M7*(1-M9)/10000,0)</f>
        <v>0</v>
      </c>
      <c r="K6" s="164" t="s">
        <v>3037</v>
      </c>
      <c r="L6" s="347" t="s">
        <v>1405</v>
      </c>
      <c r="M6" s="348">
        <f ca="1">INDIRECT("'数据-取费表'!z"&amp;$G$1)</f>
        <v>0</v>
      </c>
    </row>
    <row r="7" spans="1:37" ht="18" customHeight="1">
      <c r="A7" s="1297"/>
      <c r="B7" s="3232"/>
      <c r="C7" s="1299"/>
      <c r="D7" s="352"/>
      <c r="E7" s="2939" t="s">
        <v>1406</v>
      </c>
      <c r="F7" s="348">
        <f ca="1">IF(INDIRECT("'数据-取费表'!ah"&amp;$G$1)="",INDIRECT("'数据-取费表'!k"&amp;$G$1),INDIRECT("'数据-取费表'!ah"&amp;$G$1))</f>
        <v>311</v>
      </c>
      <c r="G7" s="1853"/>
      <c r="H7" s="349"/>
      <c r="I7" s="3232"/>
      <c r="J7" s="351"/>
      <c r="K7" s="352"/>
      <c r="L7" s="347" t="s">
        <v>1406</v>
      </c>
      <c r="M7" s="348">
        <f ca="1">F7</f>
        <v>311</v>
      </c>
    </row>
    <row r="8" spans="1:37" ht="18" customHeight="1">
      <c r="A8" s="349"/>
      <c r="B8" s="3232"/>
      <c r="C8" s="351"/>
      <c r="D8" s="352"/>
      <c r="E8" s="347" t="s">
        <v>1407</v>
      </c>
      <c r="F8" s="348">
        <f ca="1">INDIRECT("'数据-取费表'!ai"&amp;$G$1)</f>
        <v>12</v>
      </c>
      <c r="G8" s="1853"/>
      <c r="H8" s="349"/>
      <c r="I8" s="3232"/>
      <c r="J8" s="351"/>
      <c r="K8" s="352"/>
      <c r="L8" s="347" t="s">
        <v>1407</v>
      </c>
      <c r="M8" s="348">
        <f ca="1">INDIRECT("'数据-取费表'!ai"&amp;$G$1)</f>
        <v>12</v>
      </c>
    </row>
    <row r="9" spans="1:37" ht="18" customHeight="1">
      <c r="A9" s="349"/>
      <c r="B9" s="3233"/>
      <c r="C9" s="351"/>
      <c r="D9" s="352"/>
      <c r="E9" s="347" t="s">
        <v>1408</v>
      </c>
      <c r="F9" s="357">
        <f ca="1">INDIRECT("'数据-取费表'!w"&amp;$G$1)</f>
        <v>0.1</v>
      </c>
      <c r="G9" s="1853"/>
      <c r="H9" s="349"/>
      <c r="I9" s="323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3039</v>
      </c>
      <c r="E10" s="358" t="s">
        <v>1411</v>
      </c>
      <c r="F10" s="1368"/>
      <c r="G10" s="1853"/>
      <c r="H10" s="1293" t="s">
        <v>1039</v>
      </c>
      <c r="I10" s="1825" t="s">
        <v>1409</v>
      </c>
      <c r="J10" s="346">
        <f ca="1">ROUND(IF(M10="押一",M6*M8*M7/12*M11,IF(M10="押二",M6*M8*M7/12*2*M11,IF(M10="押三",M6*M8*M7/12*3*M11,J11*M11)))/10000,0)</f>
        <v>0</v>
      </c>
      <c r="K10" s="1826" t="s">
        <v>3039</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3923</v>
      </c>
      <c r="D13" s="1333" t="s">
        <v>1416</v>
      </c>
      <c r="E13" s="1333" t="s">
        <v>1417</v>
      </c>
      <c r="F13" s="1334">
        <f ca="1">INDIRECT("'数据-取费表'!y"&amp;$G$1)</f>
        <v>0.82</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2971</v>
      </c>
      <c r="D14" s="2948" t="s">
        <v>1419</v>
      </c>
      <c r="E14" s="2947"/>
      <c r="F14" s="364"/>
      <c r="G14" s="1853"/>
      <c r="H14" s="1203" t="s">
        <v>1035</v>
      </c>
      <c r="I14" s="347" t="s">
        <v>1420</v>
      </c>
      <c r="J14" s="24">
        <f ca="1">C29</f>
        <v>4784</v>
      </c>
      <c r="K14" s="2938"/>
      <c r="L14" s="981"/>
      <c r="M14" s="982"/>
    </row>
    <row r="15" spans="1:37" s="1860" customFormat="1" ht="18" customHeight="1" thickBot="1">
      <c r="A15" s="1203" t="s">
        <v>1036</v>
      </c>
      <c r="B15" s="347" t="s">
        <v>1421</v>
      </c>
      <c r="C15" s="24">
        <f ca="1">ROUND(C14*F15,0)</f>
        <v>119</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119</v>
      </c>
      <c r="K16" s="1339" t="s">
        <v>1426</v>
      </c>
      <c r="L16" s="2951"/>
      <c r="M16" s="1296"/>
    </row>
    <row r="17" spans="1:37" s="1860" customFormat="1" ht="18" customHeight="1">
      <c r="A17" s="1203" t="s">
        <v>1390</v>
      </c>
      <c r="B17" s="347" t="s">
        <v>1427</v>
      </c>
      <c r="C17" s="24">
        <f ca="1">ROUND(F17*(F43+INDIRECT("'数据-取费表'!S"&amp;$G$1))/10000,0)</f>
        <v>330</v>
      </c>
      <c r="D17" s="347" t="s">
        <v>1428</v>
      </c>
      <c r="E17" s="347" t="s">
        <v>1429</v>
      </c>
      <c r="F17" s="26">
        <f>'数据-取费表'!B35</f>
        <v>200</v>
      </c>
      <c r="G17" s="1856"/>
      <c r="H17" s="1203" t="s">
        <v>1035</v>
      </c>
      <c r="I17" s="347" t="s">
        <v>1430</v>
      </c>
      <c r="J17" s="24">
        <f ca="1">ROUND(IF(项目基本情况!B11="自然人",J5*M17,J18+J19+J20),1)</f>
        <v>47.2</v>
      </c>
      <c r="K17" s="2948" t="s">
        <v>1431</v>
      </c>
      <c r="L17" s="295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45</v>
      </c>
      <c r="D18" s="347" t="s">
        <v>1422</v>
      </c>
      <c r="E18" s="347" t="s">
        <v>1423</v>
      </c>
      <c r="F18" s="367">
        <f>'数据-取费表'!B36</f>
        <v>1.4999999999999999E-2</v>
      </c>
      <c r="G18" s="1856"/>
      <c r="H18" s="1203" t="s">
        <v>1034</v>
      </c>
      <c r="I18" s="347" t="s">
        <v>1434</v>
      </c>
      <c r="J18" s="24">
        <f ca="1">ROUND(J5*M18/(1+'数据-取费表'!C42),2)</f>
        <v>0</v>
      </c>
      <c r="K18" s="295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3465</v>
      </c>
      <c r="D19" s="140" t="s">
        <v>1437</v>
      </c>
      <c r="E19" s="2936"/>
      <c r="F19" s="26"/>
      <c r="G19" s="1853"/>
      <c r="H19" s="1203" t="s">
        <v>1036</v>
      </c>
      <c r="I19" s="347" t="s">
        <v>1438</v>
      </c>
      <c r="J19" s="24">
        <f ca="1">IF(K19="按租金收入计税",ROUND(J5*M19,2),ROUND(C29*M19*0.7,2))</f>
        <v>40.19</v>
      </c>
      <c r="K19" s="1830" t="s">
        <v>1439</v>
      </c>
      <c r="L19" s="347" t="s">
        <v>1423</v>
      </c>
      <c r="M19" s="367">
        <f>IF(K19="按租金收入计税",'数据-取费表'!B51,'数据-取费表'!B50)</f>
        <v>1.2E-2</v>
      </c>
    </row>
    <row r="20" spans="1:37" s="1860" customFormat="1" ht="18" customHeight="1">
      <c r="A20" s="1203" t="s">
        <v>1039</v>
      </c>
      <c r="B20" s="347" t="s">
        <v>1440</v>
      </c>
      <c r="C20" s="24">
        <f ca="1">ROUND(C19*F20,0)</f>
        <v>69</v>
      </c>
      <c r="D20" s="369" t="s">
        <v>1441</v>
      </c>
      <c r="E20" s="347" t="s">
        <v>1423</v>
      </c>
      <c r="F20" s="367">
        <f>'数据-取费表'!B37</f>
        <v>0.02</v>
      </c>
      <c r="G20" s="1856"/>
      <c r="H20" s="1203" t="s">
        <v>1389</v>
      </c>
      <c r="I20" s="164" t="s">
        <v>1442</v>
      </c>
      <c r="J20" s="25">
        <f ca="1">ROUND(M20*M21/10000,2)</f>
        <v>6.96</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2318.62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36"/>
      <c r="F22" s="26"/>
      <c r="G22" s="1853"/>
      <c r="H22" s="1203" t="s">
        <v>1039</v>
      </c>
      <c r="I22" s="347" t="s">
        <v>1450</v>
      </c>
      <c r="J22" s="24">
        <f ca="1">ROUND(J14*M22,1)</f>
        <v>71.8</v>
      </c>
      <c r="K22" s="295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168</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295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36"/>
      <c r="F25" s="26"/>
      <c r="G25" s="1853"/>
      <c r="H25" s="1331" t="s">
        <v>1031</v>
      </c>
      <c r="I25" s="1346" t="s">
        <v>1464</v>
      </c>
      <c r="J25" s="355">
        <f ca="1">J5-J16</f>
        <v>-119</v>
      </c>
      <c r="K25" s="1347" t="s">
        <v>1465</v>
      </c>
      <c r="L25" s="1348"/>
      <c r="M25" s="1349"/>
    </row>
    <row r="26" spans="1:37">
      <c r="A26" s="1203" t="s">
        <v>1034</v>
      </c>
      <c r="B26" s="347" t="s">
        <v>1466</v>
      </c>
      <c r="C26" s="24">
        <f ca="1">ROUND((C19+C20)*F26,0)</f>
        <v>707</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3" t="s">
        <v>1036</v>
      </c>
      <c r="B27" s="347" t="s">
        <v>1472</v>
      </c>
      <c r="C27" s="24">
        <f ca="1">ROUND(F21*F26,4)</f>
        <v>4.0000000000000001E-3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4784</v>
      </c>
      <c r="D29" s="1344"/>
      <c r="E29" s="1342"/>
      <c r="F29" s="1345"/>
      <c r="G29" s="1856"/>
      <c r="H29" s="380" t="s">
        <v>1033</v>
      </c>
      <c r="I29" s="381" t="s">
        <v>1480</v>
      </c>
      <c r="J29" s="382">
        <f ca="1">ROUND(J26/(1+F40)^F41,0)</f>
        <v>0</v>
      </c>
      <c r="K29" s="383" t="s">
        <v>1481</v>
      </c>
      <c r="L29" s="384"/>
      <c r="M29" s="385">
        <f ca="1">INDIRECT("'数据-取费表'!k"&amp;$G$1)</f>
        <v>16503.55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159</v>
      </c>
      <c r="D30" s="1339" t="s">
        <v>1426</v>
      </c>
      <c r="E30" s="2951"/>
      <c r="F30" s="1296"/>
      <c r="G30" s="1853"/>
      <c r="H30" s="745"/>
      <c r="I30" s="746"/>
      <c r="J30" s="747"/>
      <c r="K30" s="748"/>
      <c r="L30" s="749"/>
      <c r="M30" s="750"/>
    </row>
    <row r="31" spans="1:37" ht="18" customHeight="1">
      <c r="A31" s="1203" t="s">
        <v>1035</v>
      </c>
      <c r="B31" s="347" t="s">
        <v>1430</v>
      </c>
      <c r="C31" s="24">
        <f ca="1">ROUND(IF(项目基本情况!B11="自然人",C5*F31,C32+C33+C34),1)</f>
        <v>72.2</v>
      </c>
      <c r="D31" s="2948" t="s">
        <v>1431</v>
      </c>
      <c r="E31" s="295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25.07</v>
      </c>
      <c r="D32" s="295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40.19</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6.96</v>
      </c>
      <c r="D34" s="370" t="s">
        <v>1443</v>
      </c>
      <c r="E34" s="347" t="s">
        <v>1444</v>
      </c>
      <c r="F34" s="371">
        <f>'数据-取费表'!B52</f>
        <v>30</v>
      </c>
      <c r="G34" s="1853"/>
      <c r="H34" s="745"/>
      <c r="I34" s="1862"/>
      <c r="J34" s="1863"/>
      <c r="K34" s="1865"/>
      <c r="L34" s="1866"/>
      <c r="M34" s="1866"/>
    </row>
    <row r="35" spans="1:18" ht="18" customHeight="1">
      <c r="A35" s="1355"/>
      <c r="B35" s="1353"/>
      <c r="C35" s="29"/>
      <c r="D35" s="373"/>
      <c r="E35" s="347" t="s">
        <v>1448</v>
      </c>
      <c r="F35" s="348">
        <f ca="1">INDIRECT("'数据-取费表'!r"&amp;$G$1)</f>
        <v>2318.62</v>
      </c>
      <c r="G35" s="1853"/>
      <c r="H35" s="745"/>
      <c r="I35" s="1862"/>
      <c r="J35" s="1863"/>
      <c r="K35" s="1864"/>
      <c r="L35" s="1861"/>
      <c r="M35" s="1861"/>
    </row>
    <row r="36" spans="1:18" ht="18" customHeight="1">
      <c r="A36" s="1354" t="s">
        <v>1039</v>
      </c>
      <c r="B36" s="347" t="s">
        <v>1450</v>
      </c>
      <c r="C36" s="24">
        <f ca="1">ROUND(C29*F36,1)</f>
        <v>71.8</v>
      </c>
      <c r="D36" s="2950"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5.9</v>
      </c>
      <c r="D37" s="2950" t="s">
        <v>1455</v>
      </c>
      <c r="E37" s="347" t="s">
        <v>1456</v>
      </c>
      <c r="F37" s="376">
        <f ca="1">INDIRECT("'数据-取费表'!Al"&amp;$G$1)</f>
        <v>1.5E-3</v>
      </c>
      <c r="G37" s="1853"/>
      <c r="H37" s="1861"/>
      <c r="I37" s="1862"/>
      <c r="J37" s="1863"/>
      <c r="K37" s="751"/>
      <c r="L37" s="1861"/>
      <c r="M37" s="1861"/>
    </row>
    <row r="38" spans="1:18" ht="18" customHeight="1" thickBot="1">
      <c r="A38" s="1341" t="s">
        <v>1392</v>
      </c>
      <c r="B38" s="1342" t="s">
        <v>1440</v>
      </c>
      <c r="C38" s="1343">
        <f ca="1">ROUND(C5*F38,1)</f>
        <v>9.4</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1464</v>
      </c>
      <c r="C39" s="355">
        <f ca="1">C5-C30</f>
        <v>311</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6941</v>
      </c>
      <c r="D40" s="370" t="s">
        <v>1470</v>
      </c>
      <c r="E40" s="347" t="s">
        <v>1471</v>
      </c>
      <c r="F40" s="357">
        <f ca="1">INDIRECT("'数据-取费表'!I"&amp;$G$1)</f>
        <v>4.4999999999999998E-2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33.71</v>
      </c>
      <c r="G41" s="1853"/>
      <c r="H41" s="732"/>
      <c r="I41" s="1862"/>
      <c r="J41" s="1863"/>
      <c r="K41" s="751"/>
      <c r="L41" s="732"/>
      <c r="M41" s="732"/>
    </row>
    <row r="42" spans="1:18" ht="18" customHeight="1">
      <c r="A42" s="353"/>
      <c r="B42" s="354"/>
      <c r="C42" s="355"/>
      <c r="D42" s="373"/>
      <c r="E42" s="347" t="s">
        <v>1478</v>
      </c>
      <c r="F42" s="357">
        <f ca="1">INDIRECT("'数据-取费表'!v"&amp;$G$1)</f>
        <v>0.02</v>
      </c>
      <c r="G42" s="1853"/>
      <c r="H42" s="732"/>
      <c r="I42" s="1862"/>
      <c r="J42" s="1863"/>
      <c r="K42" s="751"/>
      <c r="L42" s="732"/>
      <c r="M42" s="732"/>
    </row>
    <row r="43" spans="1:18" ht="18" customHeight="1" thickBot="1">
      <c r="A43" s="380" t="s">
        <v>1033</v>
      </c>
      <c r="B43" s="381" t="s">
        <v>1488</v>
      </c>
      <c r="C43" s="382">
        <f ca="1">ROUND(C40*10000/F43,0)</f>
        <v>4206</v>
      </c>
      <c r="D43" s="383" t="s">
        <v>1489</v>
      </c>
      <c r="E43" s="384" t="s">
        <v>1490</v>
      </c>
      <c r="F43" s="385">
        <f ca="1">INDIRECT("'数据-取费表'!k"&amp;$G$1)</f>
        <v>16503.55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-9089</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3083</v>
      </c>
      <c r="K47" s="1884" t="s">
        <v>1528</v>
      </c>
      <c r="L47" s="1885">
        <f ca="1">INDIRECT("'数据-取费表'!d"&amp;$G$1)</f>
        <v>50</v>
      </c>
      <c r="M47" s="1840" t="str">
        <f>IF(ISNUMBER(FIND("住宅",C1)),"住宅","非住宅")</f>
        <v>非住宅</v>
      </c>
      <c r="O47" s="1886" t="s">
        <v>1040</v>
      </c>
      <c r="P47" s="1887" t="s">
        <v>1529</v>
      </c>
      <c r="Q47" s="1888">
        <f ca="1">C40+J29</f>
        <v>6941</v>
      </c>
      <c r="R47" s="1888" t="s">
        <v>1530</v>
      </c>
    </row>
    <row r="48" spans="1:18" s="1844" customFormat="1" ht="28.5" thickBot="1">
      <c r="A48" s="1362" t="s">
        <v>1135</v>
      </c>
      <c r="B48" s="345" t="s">
        <v>1401</v>
      </c>
      <c r="C48" s="2935">
        <f ca="1">C49+C53+C55</f>
        <v>0</v>
      </c>
      <c r="D48" s="1364"/>
      <c r="E48" s="1365"/>
      <c r="F48" s="1183"/>
      <c r="G48" s="792"/>
      <c r="H48" s="793"/>
      <c r="I48" s="1889" t="s">
        <v>1531</v>
      </c>
      <c r="J48" s="1890" t="s">
        <v>3084</v>
      </c>
      <c r="K48" s="1891" t="s">
        <v>1532</v>
      </c>
      <c r="L48" s="1892">
        <f ca="1">INDIRECT("'数据-取费表'!f"&amp;$G$1)</f>
        <v>33.71</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3041</v>
      </c>
      <c r="E49" s="1832" t="s">
        <v>1492</v>
      </c>
      <c r="F49" s="1283"/>
      <c r="G49" s="1893"/>
      <c r="H49" s="793"/>
      <c r="I49" s="1889" t="s">
        <v>1535</v>
      </c>
      <c r="J49" s="1894">
        <v>2007</v>
      </c>
      <c r="K49" s="1891" t="s">
        <v>1536</v>
      </c>
      <c r="L49" s="1895"/>
      <c r="O49" s="1896" t="s">
        <v>1042</v>
      </c>
      <c r="P49" s="1887" t="s">
        <v>1537</v>
      </c>
      <c r="Q49" s="1888">
        <f ca="1">C29</f>
        <v>4784</v>
      </c>
      <c r="R49" s="1888" t="s">
        <v>1530</v>
      </c>
    </row>
    <row r="50" spans="1:18" s="1844" customFormat="1" ht="13.5" thickBot="1">
      <c r="A50" s="1197"/>
      <c r="B50" s="1200"/>
      <c r="C50" s="1370"/>
      <c r="D50" s="1174"/>
      <c r="E50" s="1279" t="s">
        <v>1406</v>
      </c>
      <c r="F50" s="1280">
        <f ca="1">F7</f>
        <v>311</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12</v>
      </c>
      <c r="I51" s="1900" t="s">
        <v>1541</v>
      </c>
      <c r="J51" s="1901">
        <f>IF(J49="",J50,J49+J50-YEAR('数据-取费表'!B2))</f>
        <v>49</v>
      </c>
      <c r="K51" s="1902" t="s">
        <v>1542</v>
      </c>
      <c r="L51" s="1903">
        <f ca="1">ROUND(-PV(INDIRECT("'数据-取费表'!h"&amp;$G$1),L48,(C39-C13*C76),0),0)</f>
        <v>-52</v>
      </c>
      <c r="M51" s="1904"/>
      <c r="O51" s="1896" t="s">
        <v>1044</v>
      </c>
      <c r="P51" s="1887" t="s">
        <v>1543</v>
      </c>
      <c r="Q51" s="1899">
        <f>J52</f>
        <v>8.5000000000000006E-2</v>
      </c>
      <c r="R51" s="1888"/>
    </row>
    <row r="52" spans="1:18" s="1844" customFormat="1" ht="13.5" thickBot="1">
      <c r="A52" s="1198"/>
      <c r="B52" s="1200"/>
      <c r="C52" s="1201"/>
      <c r="D52" s="1174"/>
      <c r="E52" s="1202" t="s">
        <v>1408</v>
      </c>
      <c r="F52" s="1277"/>
      <c r="I52" s="1905" t="s">
        <v>1544</v>
      </c>
      <c r="J52" s="1906">
        <v>8.5000000000000006E-2</v>
      </c>
      <c r="K52" s="1905" t="s">
        <v>1545</v>
      </c>
      <c r="L52" s="1906"/>
      <c r="O52" s="1896" t="s">
        <v>1045</v>
      </c>
      <c r="P52" s="1887" t="s">
        <v>1546</v>
      </c>
      <c r="Q52" s="1888">
        <f ca="1">J53</f>
        <v>33.71</v>
      </c>
      <c r="R52" s="1888" t="s">
        <v>1547</v>
      </c>
    </row>
    <row r="53" spans="1:18" s="1844" customFormat="1" ht="24.75" thickBot="1">
      <c r="A53" s="1407" t="s">
        <v>1137</v>
      </c>
      <c r="B53" s="1833" t="s">
        <v>1409</v>
      </c>
      <c r="C53" s="361">
        <f ca="1">ROUND(IF(F53="押一",F49*F51*F50/12*F11,IF(F53="押二",F49*F51*F50/12*2*F11,IF(F53="押三",F49*F51*F50/12*3*F11,C54*F11)))/10000,0)</f>
        <v>0</v>
      </c>
      <c r="D53" s="1826" t="s">
        <v>3039</v>
      </c>
      <c r="E53" s="358" t="s">
        <v>1411</v>
      </c>
      <c r="F53" s="1368"/>
      <c r="I53" s="1907" t="s">
        <v>1548</v>
      </c>
      <c r="J53" s="1908">
        <f ca="1">IF(M47="住宅",J51,IF(D1="——",MIN(J51,L48),IF(D1="在建（套用方法）",MIN(J51,L48-'数据-取费表'!B24),IF(D1="土地（套用方法）",MIN(J51,L48-'数据-取费表'!B20)))))</f>
        <v>33.71</v>
      </c>
      <c r="K53" s="3229" t="s">
        <v>1549</v>
      </c>
      <c r="L53" s="3230"/>
      <c r="O53" s="1886" t="s">
        <v>1046</v>
      </c>
      <c r="P53" s="1887" t="s">
        <v>1550</v>
      </c>
      <c r="Q53" s="1888">
        <f ca="1">Q47+Q48</f>
        <v>6941</v>
      </c>
      <c r="R53" s="1888" t="s">
        <v>1047</v>
      </c>
    </row>
    <row r="54" spans="1:18" s="1844" customFormat="1" ht="13.5" thickBot="1">
      <c r="A54" s="1408"/>
      <c r="B54" s="1827" t="s">
        <v>1388</v>
      </c>
      <c r="C54" s="1180"/>
      <c r="D54" s="1826"/>
      <c r="E54" s="294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40"/>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3923</v>
      </c>
      <c r="D56" s="1916"/>
      <c r="E56" s="1917"/>
      <c r="F56" s="1909"/>
      <c r="I56" s="1918" t="s">
        <v>1555</v>
      </c>
      <c r="J56" s="1919" t="s">
        <v>3054</v>
      </c>
      <c r="K56" s="1889" t="s">
        <v>1556</v>
      </c>
      <c r="L56" s="1892" t="str">
        <f ca="1">IF(L48&lt;J51,"——",L48-J53)</f>
        <v>——</v>
      </c>
      <c r="O56" s="1886" t="s">
        <v>1040</v>
      </c>
      <c r="P56" s="1887" t="s">
        <v>1529</v>
      </c>
      <c r="Q56" s="1888">
        <f ca="1">C40+J29</f>
        <v>6941</v>
      </c>
      <c r="R56" s="1888" t="s">
        <v>1530</v>
      </c>
    </row>
    <row r="57" spans="1:18" s="1844" customFormat="1" ht="24.75" thickBot="1">
      <c r="A57" s="1920"/>
      <c r="B57" s="1171" t="s">
        <v>1479</v>
      </c>
      <c r="C57" s="282">
        <f ca="1">C29</f>
        <v>4784</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125</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47.2</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40.19</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1442</v>
      </c>
      <c r="C62" s="25">
        <f ca="1">IF(项目基本情况!B11="自然人","——",ROUND(F62*F63/10000,2))</f>
        <v>6.96</v>
      </c>
      <c r="D62" s="1186" t="s">
        <v>1498</v>
      </c>
      <c r="E62" s="1171" t="s">
        <v>1499</v>
      </c>
      <c r="F62" s="371">
        <f t="shared" si="0"/>
        <v>30</v>
      </c>
      <c r="I62" s="1931" t="s">
        <v>1571</v>
      </c>
      <c r="J62" s="1932" t="s">
        <v>1572</v>
      </c>
      <c r="K62" s="1932" t="s">
        <v>1573</v>
      </c>
      <c r="L62" s="1932" t="s">
        <v>1574</v>
      </c>
      <c r="M62" s="1933" t="s">
        <v>1575</v>
      </c>
      <c r="O62" s="1886" t="s">
        <v>1046</v>
      </c>
      <c r="P62" s="1887" t="s">
        <v>1576</v>
      </c>
      <c r="Q62" s="1888">
        <f ca="1">Q56+Q57</f>
        <v>6941</v>
      </c>
      <c r="R62" s="1888" t="s">
        <v>1047</v>
      </c>
    </row>
    <row r="63" spans="1:18" s="1844" customFormat="1" ht="13.5" thickBot="1">
      <c r="A63" s="372"/>
      <c r="B63" s="1177"/>
      <c r="C63" s="29"/>
      <c r="D63" s="1187"/>
      <c r="E63" s="1171" t="s">
        <v>1500</v>
      </c>
      <c r="F63" s="348">
        <f t="shared" ca="1" si="0"/>
        <v>2318.62</v>
      </c>
      <c r="I63" s="1931" t="s">
        <v>1577</v>
      </c>
      <c r="J63" s="1932">
        <v>70</v>
      </c>
      <c r="K63" s="1932">
        <v>50</v>
      </c>
      <c r="L63" s="1932">
        <v>80</v>
      </c>
      <c r="M63" s="1934">
        <v>0.02</v>
      </c>
      <c r="O63" s="1871" t="s">
        <v>1578</v>
      </c>
      <c r="P63" s="1841"/>
      <c r="Q63" s="1841"/>
      <c r="R63" s="1841"/>
    </row>
    <row r="64" spans="1:18" s="1844" customFormat="1" ht="13.5" thickBot="1">
      <c r="A64" s="1203" t="s">
        <v>1501</v>
      </c>
      <c r="B64" s="1171" t="s">
        <v>1450</v>
      </c>
      <c r="C64" s="24">
        <f ca="1">ROUND(C57*F64,1)</f>
        <v>71.8</v>
      </c>
      <c r="D64" s="1185" t="s">
        <v>1483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5.9</v>
      </c>
      <c r="D65" s="1185" t="s">
        <v>1455</v>
      </c>
      <c r="E65" s="1171" t="s">
        <v>1456</v>
      </c>
      <c r="F65" s="376">
        <f t="shared" ca="1" si="0"/>
        <v>1.5E-3</v>
      </c>
      <c r="I65" s="1931" t="s">
        <v>1580</v>
      </c>
      <c r="J65" s="1932">
        <v>40</v>
      </c>
      <c r="K65" s="1932">
        <v>30</v>
      </c>
      <c r="L65" s="1932">
        <v>50</v>
      </c>
      <c r="M65" s="1934">
        <v>0.02</v>
      </c>
      <c r="O65" s="1886" t="s">
        <v>1040</v>
      </c>
      <c r="P65" s="1887" t="s">
        <v>1529</v>
      </c>
      <c r="Q65" s="1888">
        <f ca="1">C40+J29</f>
        <v>6941</v>
      </c>
      <c r="R65" s="1888" t="s">
        <v>1530</v>
      </c>
    </row>
    <row r="66" spans="1:18" s="1844" customFormat="1" ht="16.5" thickBot="1">
      <c r="A66" s="1203" t="s">
        <v>1505</v>
      </c>
      <c r="B66" s="1171" t="s">
        <v>1440</v>
      </c>
      <c r="C66" s="24">
        <f ca="1">ROUND(C48*F66,1)</f>
        <v>0</v>
      </c>
      <c r="D66" s="1185" t="s">
        <v>1460</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-125</v>
      </c>
      <c r="D67" s="1184" t="s">
        <v>1465</v>
      </c>
      <c r="E67" s="1189"/>
      <c r="F67" s="1190"/>
      <c r="O67" s="1896" t="s">
        <v>1042</v>
      </c>
      <c r="P67" s="1887" t="s">
        <v>1563</v>
      </c>
      <c r="Q67" s="1935">
        <f ca="1">L51</f>
        <v>-52</v>
      </c>
      <c r="R67" s="1888" t="s">
        <v>1583</v>
      </c>
    </row>
    <row r="68" spans="1:18" s="1844" customFormat="1" ht="16.5" thickBot="1">
      <c r="A68" s="1168" t="s">
        <v>1032</v>
      </c>
      <c r="B68" s="1169" t="s">
        <v>1486</v>
      </c>
      <c r="C68" s="346">
        <f ca="1">ROUND(C67*(1-((1+F70)/(1+F68))^F69)/(F68-F70),0)</f>
        <v>-2148</v>
      </c>
      <c r="D68" s="1186" t="s">
        <v>1470</v>
      </c>
      <c r="E68" s="1171" t="s">
        <v>1471</v>
      </c>
      <c r="F68" s="357">
        <f ca="1">F40</f>
        <v>4.4999999999999998E-2</v>
      </c>
      <c r="O68" s="1896" t="s">
        <v>1043</v>
      </c>
      <c r="P68" s="1936" t="s">
        <v>1584</v>
      </c>
      <c r="Q68" s="1888">
        <f ca="1">ROUND(Q69-Q70*Q71,0)</f>
        <v>-3</v>
      </c>
      <c r="R68" s="1888" t="s">
        <v>1051</v>
      </c>
    </row>
    <row r="69" spans="1:18" s="1844" customFormat="1" ht="13.5" thickBot="1">
      <c r="A69" s="1172"/>
      <c r="B69" s="1173"/>
      <c r="C69" s="351"/>
      <c r="D69" s="1191" t="s">
        <v>1474</v>
      </c>
      <c r="E69" s="1171" t="s">
        <v>1475</v>
      </c>
      <c r="F69" s="379">
        <f ca="1">F41</f>
        <v>33.71</v>
      </c>
      <c r="O69" s="1896" t="s">
        <v>1048</v>
      </c>
      <c r="P69" s="1936" t="s">
        <v>1585</v>
      </c>
      <c r="Q69" s="1888">
        <f ca="1">C39</f>
        <v>311</v>
      </c>
      <c r="R69" s="1888" t="s">
        <v>1530</v>
      </c>
    </row>
    <row r="70" spans="1:18" s="1844" customFormat="1" ht="13.5" thickBot="1">
      <c r="A70" s="1175"/>
      <c r="B70" s="1176"/>
      <c r="C70" s="355"/>
      <c r="D70" s="1187"/>
      <c r="E70" s="1171" t="s">
        <v>1478</v>
      </c>
      <c r="F70" s="1277"/>
      <c r="O70" s="1896" t="s">
        <v>1049</v>
      </c>
      <c r="P70" s="1936" t="s">
        <v>1586</v>
      </c>
      <c r="Q70" s="1888">
        <f ca="1">C13</f>
        <v>3923</v>
      </c>
      <c r="R70" s="1888" t="s">
        <v>1530</v>
      </c>
    </row>
    <row r="71" spans="1:18" s="1844" customFormat="1" ht="13.5" thickBot="1">
      <c r="A71" s="1192" t="s">
        <v>1033</v>
      </c>
      <c r="B71" s="1193" t="s">
        <v>1488</v>
      </c>
      <c r="C71" s="382">
        <f ca="1">ROUND(C68*10000/F71,0)</f>
        <v>-1302</v>
      </c>
      <c r="D71" s="1194" t="s">
        <v>1489</v>
      </c>
      <c r="E71" s="1195" t="s">
        <v>1490</v>
      </c>
      <c r="F71" s="385">
        <f ca="1">F43</f>
        <v>16503.55</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314</v>
      </c>
      <c r="D75" s="1844"/>
      <c r="E75" s="1844"/>
      <c r="F75" s="1844"/>
      <c r="K75" s="1870"/>
      <c r="L75" s="1844"/>
      <c r="O75" s="1886" t="s">
        <v>1046</v>
      </c>
      <c r="P75" s="1887" t="s">
        <v>1550</v>
      </c>
      <c r="Q75" s="1888">
        <f ca="1">Q65+Q66</f>
        <v>6941</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-1.0000000000000009E-2</v>
      </c>
    </row>
    <row r="80" spans="1:18">
      <c r="B80" s="386" t="s">
        <v>1512</v>
      </c>
      <c r="C80" s="318">
        <f ca="1">ROUND(C75/C39,3)</f>
        <v>1.01</v>
      </c>
    </row>
    <row r="81" spans="2:3">
      <c r="B81" s="314" t="s">
        <v>1513</v>
      </c>
      <c r="C81" s="282"/>
    </row>
    <row r="82" spans="2:3">
      <c r="B82" s="317" t="s">
        <v>1514</v>
      </c>
      <c r="C82" s="319">
        <f ca="1">1-C83</f>
        <v>0.43500000000000005</v>
      </c>
    </row>
    <row r="83" spans="2:3">
      <c r="B83" s="317" t="s">
        <v>1515</v>
      </c>
      <c r="C83" s="318">
        <f ca="1">ROUND(C13/C40,3)</f>
        <v>0.56499999999999995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E54" sqref="E5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7" t="s">
        <v>2646</v>
      </c>
      <c r="C1" s="1636" t="s">
        <v>2534</v>
      </c>
      <c r="D1" s="1623" t="s">
        <v>3051</v>
      </c>
      <c r="E1" s="2662"/>
      <c r="F1" s="2589" t="s">
        <v>3085</v>
      </c>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8" customFormat="1" ht="28.5" customHeight="1" thickTop="1">
      <c r="A2" s="1619" t="s">
        <v>2331</v>
      </c>
      <c r="B2" s="1420" t="e">
        <f>IF(C2="——",ROUND(C49*D3/10000,0),ROUND(C49*D3/10000,0)-D2)</f>
        <v>#N/A</v>
      </c>
      <c r="C2" s="2591" t="s">
        <v>70</v>
      </c>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8" customFormat="1" ht="28.5" customHeight="1" thickBot="1">
      <c r="A3" s="247" t="s">
        <v>2333</v>
      </c>
      <c r="B3" s="609" t="e">
        <f>IF(C2="——",C49,ROUND(B2*10000/D3,0))</f>
        <v>#N/A</v>
      </c>
      <c r="C3" s="400" t="s">
        <v>2648</v>
      </c>
      <c r="D3" s="399">
        <f>IF(D1="",'数据-汇总表'!E3,SUMIF('数据-汇总表'!$C19:$C33,D1,'数据-汇总表'!$E19:$E33))</f>
        <v>4129.8999999999996</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1" t="s">
        <v>2649</v>
      </c>
      <c r="B4" s="402"/>
      <c r="C4" s="3274" t="s">
        <v>2650</v>
      </c>
      <c r="D4" s="3275"/>
      <c r="E4" s="3276" t="s">
        <v>2651</v>
      </c>
      <c r="F4" s="3277"/>
      <c r="G4" s="3274" t="s">
        <v>2652</v>
      </c>
      <c r="H4" s="3275"/>
      <c r="I4" s="3274" t="s">
        <v>2653</v>
      </c>
      <c r="J4" s="3275"/>
      <c r="K4" s="610" t="s">
        <v>2654</v>
      </c>
      <c r="L4" s="1132"/>
      <c r="M4" s="1133"/>
      <c r="N4" s="1133"/>
      <c r="O4" s="1133"/>
      <c r="P4" s="3278" t="s">
        <v>2655</v>
      </c>
      <c r="Q4" s="3279"/>
      <c r="R4" s="3284" t="s">
        <v>2651</v>
      </c>
      <c r="S4" s="3285"/>
      <c r="T4" s="3284" t="s">
        <v>2652</v>
      </c>
      <c r="U4" s="3285"/>
      <c r="V4" s="3290" t="s">
        <v>2653</v>
      </c>
      <c r="W4" s="3290"/>
      <c r="X4" s="1815"/>
      <c r="Y4" s="3284" t="s">
        <v>2655</v>
      </c>
      <c r="Z4" s="3285"/>
      <c r="AA4" s="3271" t="s">
        <v>2651</v>
      </c>
      <c r="AB4" s="3290" t="s">
        <v>2652</v>
      </c>
      <c r="AC4" s="3271" t="s">
        <v>2653</v>
      </c>
    </row>
    <row r="5" spans="1:29" ht="15">
      <c r="A5" s="404"/>
      <c r="B5" s="405"/>
      <c r="C5" s="3293" t="s">
        <v>2546</v>
      </c>
      <c r="D5" s="3294"/>
      <c r="E5" s="3300" t="str">
        <f>Sheet2!A1</f>
        <v>日坛上街</v>
      </c>
      <c r="F5" s="3301"/>
      <c r="G5" s="3293" t="str">
        <f>Sheet2!A2</f>
        <v>中国红街</v>
      </c>
      <c r="H5" s="3294"/>
      <c r="I5" s="3293" t="str">
        <f>Sheet2!A3</f>
        <v>泰悦豪庭</v>
      </c>
      <c r="J5" s="3294"/>
      <c r="K5" s="610"/>
      <c r="L5" s="1132"/>
      <c r="M5" s="1133"/>
      <c r="N5" s="1133"/>
      <c r="O5" s="1133"/>
      <c r="P5" s="3280"/>
      <c r="Q5" s="3281"/>
      <c r="R5" s="3286"/>
      <c r="S5" s="3287"/>
      <c r="T5" s="3286"/>
      <c r="U5" s="3287"/>
      <c r="V5" s="3290"/>
      <c r="W5" s="3290"/>
      <c r="X5" s="1815"/>
      <c r="Y5" s="3286"/>
      <c r="Z5" s="3287"/>
      <c r="AA5" s="3272"/>
      <c r="AB5" s="3290"/>
      <c r="AC5" s="3272"/>
    </row>
    <row r="6" spans="1:29" ht="15.75" thickBot="1">
      <c r="A6" s="406"/>
      <c r="B6" s="407"/>
      <c r="C6" s="3291" t="s">
        <v>2550</v>
      </c>
      <c r="D6" s="3292"/>
      <c r="E6" s="3298" t="s">
        <v>2550</v>
      </c>
      <c r="F6" s="3299"/>
      <c r="G6" s="3291" t="s">
        <v>2550</v>
      </c>
      <c r="H6" s="3292"/>
      <c r="I6" s="3291" t="s">
        <v>2550</v>
      </c>
      <c r="J6" s="3292"/>
      <c r="K6" s="610" t="s">
        <v>2551</v>
      </c>
      <c r="L6" s="1132"/>
      <c r="M6" s="1133"/>
      <c r="N6" s="1133"/>
      <c r="O6" s="1133"/>
      <c r="P6" s="3282"/>
      <c r="Q6" s="3283"/>
      <c r="R6" s="3286"/>
      <c r="S6" s="3287"/>
      <c r="T6" s="3288"/>
      <c r="U6" s="3289"/>
      <c r="V6" s="3290"/>
      <c r="W6" s="3290"/>
      <c r="X6" s="1815"/>
      <c r="Y6" s="3288"/>
      <c r="Z6" s="3289"/>
      <c r="AA6" s="3273"/>
      <c r="AB6" s="3290"/>
      <c r="AC6" s="3273"/>
    </row>
    <row r="7" spans="1:29" s="117" customFormat="1" ht="15.75" thickBot="1">
      <c r="A7" s="408" t="s">
        <v>2552</v>
      </c>
      <c r="B7" s="409"/>
      <c r="C7" s="410">
        <f>'数据-取费表'!B2</f>
        <v>43157</v>
      </c>
      <c r="D7" s="411">
        <v>100</v>
      </c>
      <c r="E7" s="412">
        <v>43132</v>
      </c>
      <c r="F7" s="413">
        <f>SUMIF(58:58,YEAR(E7)&amp;"-"&amp;MONTH(E7),59:59)</f>
        <v>100</v>
      </c>
      <c r="G7" s="412">
        <v>43132</v>
      </c>
      <c r="H7" s="411">
        <f>SUMIF(58:58,YEAR(G7)&amp;"-"&amp;MONTH(G7),59:59)</f>
        <v>100</v>
      </c>
      <c r="I7" s="412">
        <v>43132</v>
      </c>
      <c r="J7" s="411">
        <f>SUMIF(58:58,YEAR(I7)&amp;"-"&amp;MONTH(I7),59:59)</f>
        <v>100</v>
      </c>
      <c r="K7" s="611"/>
      <c r="L7" s="1134"/>
      <c r="M7" s="1135"/>
      <c r="N7" s="1135"/>
      <c r="O7" s="1135"/>
      <c r="P7" s="3295" t="s">
        <v>2553</v>
      </c>
      <c r="Q7" s="3297"/>
      <c r="R7" s="770" t="s">
        <v>17</v>
      </c>
      <c r="S7" s="771">
        <f t="shared" ref="S7:S15" si="0">F7</f>
        <v>100</v>
      </c>
      <c r="T7" s="770" t="s">
        <v>17</v>
      </c>
      <c r="U7" s="771">
        <f t="shared" ref="U7:U15" si="1">H7</f>
        <v>100</v>
      </c>
      <c r="V7" s="770" t="s">
        <v>17</v>
      </c>
      <c r="W7" s="771">
        <f t="shared" ref="W7:W15" si="2">J7</f>
        <v>100</v>
      </c>
      <c r="X7" s="772"/>
      <c r="Y7" s="3295" t="s">
        <v>2553</v>
      </c>
      <c r="Z7" s="3296"/>
      <c r="AA7" s="773">
        <f>D7/F7</f>
        <v>1</v>
      </c>
      <c r="AB7" s="773">
        <f>D7/H7</f>
        <v>1</v>
      </c>
      <c r="AC7" s="773">
        <f>D7/J7</f>
        <v>1</v>
      </c>
    </row>
    <row r="8" spans="1:29" s="117" customFormat="1" ht="15.75" thickBot="1">
      <c r="A8" s="408" t="s">
        <v>2554</v>
      </c>
      <c r="B8" s="409"/>
      <c r="C8" s="414" t="s">
        <v>2656</v>
      </c>
      <c r="D8" s="411">
        <v>100</v>
      </c>
      <c r="E8" s="2968" t="s">
        <v>3155</v>
      </c>
      <c r="F8" s="413">
        <f>SUMIF(61:61,E8,62:62)-SUMIF(61:61,C8,62:62)+100</f>
        <v>100</v>
      </c>
      <c r="G8" s="2968" t="s">
        <v>3155</v>
      </c>
      <c r="H8" s="411">
        <f>SUMIF(61:61,G8,62:62)-SUMIF(61:61,C8,62:62)+100</f>
        <v>100</v>
      </c>
      <c r="I8" s="2968" t="s">
        <v>3155</v>
      </c>
      <c r="J8" s="411">
        <f>SUMIF(61:61,I8,62:62)-SUMIF(61:61,C8,62:62)+100</f>
        <v>100</v>
      </c>
      <c r="K8" s="611"/>
      <c r="L8" s="1134"/>
      <c r="M8" s="1135"/>
      <c r="N8" s="1135"/>
      <c r="O8" s="1135"/>
      <c r="P8" s="3295" t="s">
        <v>2556</v>
      </c>
      <c r="Q8" s="3296"/>
      <c r="R8" s="770" t="s">
        <v>17</v>
      </c>
      <c r="S8" s="771">
        <f t="shared" si="0"/>
        <v>100</v>
      </c>
      <c r="T8" s="770" t="s">
        <v>17</v>
      </c>
      <c r="U8" s="771">
        <f t="shared" si="1"/>
        <v>100</v>
      </c>
      <c r="V8" s="770" t="s">
        <v>17</v>
      </c>
      <c r="W8" s="771">
        <f t="shared" si="2"/>
        <v>100</v>
      </c>
      <c r="X8" s="772"/>
      <c r="Y8" s="3295" t="s">
        <v>2556</v>
      </c>
      <c r="Z8" s="3296"/>
      <c r="AA8" s="773">
        <f t="shared" ref="AA8:AA46" si="3">D8/F8</f>
        <v>1</v>
      </c>
      <c r="AB8" s="773">
        <f t="shared" ref="AB8:AB46" si="4">D8/H8</f>
        <v>1</v>
      </c>
      <c r="AC8" s="773">
        <f t="shared" ref="AC8:AC46" si="5">D8/J8</f>
        <v>1</v>
      </c>
    </row>
    <row r="9" spans="1:29" s="117" customFormat="1">
      <c r="A9" s="415" t="s">
        <v>2557</v>
      </c>
      <c r="B9" s="71" t="s">
        <v>2558</v>
      </c>
      <c r="C9" s="2969" t="s">
        <v>3156</v>
      </c>
      <c r="D9" s="135">
        <v>100</v>
      </c>
      <c r="E9" s="2971" t="s">
        <v>3156</v>
      </c>
      <c r="F9" s="418">
        <f>SUMIF(63:63,E9,64:64)-SUMIF(63:63,C9,64:64)+100</f>
        <v>100</v>
      </c>
      <c r="G9" s="2971" t="s">
        <v>3156</v>
      </c>
      <c r="H9" s="135">
        <f>SUMIF(63:63,G9,64:64)-SUMIF(63:63,C9,64:64)+100</f>
        <v>100</v>
      </c>
      <c r="I9" s="2971" t="s">
        <v>3156</v>
      </c>
      <c r="J9" s="135">
        <f>SUMIF(63:63,I9,64:64)-SUMIF(63:63,C9,64:64)+100</f>
        <v>100</v>
      </c>
      <c r="K9" s="611"/>
      <c r="L9" s="1134"/>
      <c r="M9" s="1135"/>
      <c r="N9" s="1135"/>
      <c r="O9" s="1135"/>
      <c r="P9" s="3270" t="s">
        <v>2559</v>
      </c>
      <c r="Q9" s="1797" t="str">
        <f t="shared" ref="Q9:Q15" si="6">B9</f>
        <v>用途</v>
      </c>
      <c r="R9" s="770" t="s">
        <v>17</v>
      </c>
      <c r="S9" s="771">
        <f t="shared" si="0"/>
        <v>100</v>
      </c>
      <c r="T9" s="770" t="s">
        <v>17</v>
      </c>
      <c r="U9" s="771">
        <f t="shared" si="1"/>
        <v>100</v>
      </c>
      <c r="V9" s="770" t="s">
        <v>17</v>
      </c>
      <c r="W9" s="771">
        <f t="shared" si="2"/>
        <v>100</v>
      </c>
      <c r="X9" s="772"/>
      <c r="Y9" s="3084" t="s">
        <v>2560</v>
      </c>
      <c r="Z9" s="55" t="str">
        <f t="shared" ref="Z9:Z15" si="7">Q9</f>
        <v>用途</v>
      </c>
      <c r="AA9" s="773">
        <f t="shared" si="3"/>
        <v>1</v>
      </c>
      <c r="AB9" s="773">
        <f t="shared" si="4"/>
        <v>1</v>
      </c>
      <c r="AC9" s="773">
        <f t="shared" si="5"/>
        <v>1</v>
      </c>
    </row>
    <row r="10" spans="1:29" s="427" customFormat="1" ht="27">
      <c r="A10" s="421"/>
      <c r="B10" s="422" t="s">
        <v>2561</v>
      </c>
      <c r="C10" s="423" t="s">
        <v>3157</v>
      </c>
      <c r="D10" s="136">
        <v>100</v>
      </c>
      <c r="E10" s="424" t="s">
        <v>3157</v>
      </c>
      <c r="F10" s="425">
        <f>SUMIF(65:65,E10,66:66)-SUMIF(65:65,C10,66:66)+100</f>
        <v>100</v>
      </c>
      <c r="G10" s="423" t="s">
        <v>3157</v>
      </c>
      <c r="H10" s="136">
        <f>SUMIF(65:65,G10,66:66)-SUMIF(65:65,C10,66:66)+100</f>
        <v>100</v>
      </c>
      <c r="I10" s="423" t="s">
        <v>3157</v>
      </c>
      <c r="J10" s="136">
        <f>SUMIF(65:65,I10,66:66)-SUMIF(65:65,C10,66:66)+100</f>
        <v>100</v>
      </c>
      <c r="K10" s="612"/>
      <c r="L10" s="1137"/>
      <c r="M10" s="1138"/>
      <c r="N10" s="1138"/>
      <c r="O10" s="1138"/>
      <c r="P10" s="3270"/>
      <c r="Q10" s="1797"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2562</v>
      </c>
      <c r="C11" s="429">
        <v>7</v>
      </c>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70"/>
      <c r="Q11" s="1797" t="str">
        <f t="shared" si="6"/>
        <v>容积率</v>
      </c>
      <c r="R11" s="770" t="s">
        <v>17</v>
      </c>
      <c r="S11" s="771">
        <f t="shared" si="0"/>
        <v>100</v>
      </c>
      <c r="T11" s="770" t="s">
        <v>17</v>
      </c>
      <c r="U11" s="771">
        <f t="shared" si="1"/>
        <v>100</v>
      </c>
      <c r="V11" s="770" t="s">
        <v>17</v>
      </c>
      <c r="W11" s="771">
        <f t="shared" si="2"/>
        <v>100</v>
      </c>
      <c r="X11" s="772"/>
      <c r="Y11" s="3084"/>
      <c r="Z11" s="55" t="str">
        <f t="shared" si="7"/>
        <v>容积率</v>
      </c>
      <c r="AA11" s="773">
        <f t="shared" si="3"/>
        <v>1</v>
      </c>
      <c r="AB11" s="773">
        <f t="shared" si="4"/>
        <v>1</v>
      </c>
      <c r="AC11" s="773">
        <f t="shared" si="5"/>
        <v>1</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70"/>
      <c r="Q12" s="1797">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70"/>
      <c r="Q13" s="1797">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70"/>
      <c r="Q14" s="1797">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71.25">
      <c r="A15" s="440" t="s">
        <v>2563</v>
      </c>
      <c r="B15" s="69" t="s">
        <v>2657</v>
      </c>
      <c r="C15" s="2608" t="str">
        <f>估价对象房地状况!C4</f>
        <v>估价对象位于XX商圈，周边商业氛围成熟，人流量大，商业繁华度较好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68" t="s">
        <v>2564</v>
      </c>
      <c r="Q15" s="1812" t="str">
        <f t="shared" si="6"/>
        <v>商业繁华度</v>
      </c>
      <c r="R15" s="774" t="s">
        <v>17</v>
      </c>
      <c r="S15" s="775">
        <f t="shared" si="0"/>
        <v>100</v>
      </c>
      <c r="T15" s="774" t="s">
        <v>17</v>
      </c>
      <c r="U15" s="775">
        <f t="shared" si="1"/>
        <v>100</v>
      </c>
      <c r="V15" s="774" t="s">
        <v>17</v>
      </c>
      <c r="W15" s="775">
        <f t="shared" si="2"/>
        <v>100</v>
      </c>
      <c r="X15" s="1815"/>
      <c r="Y15" s="3261" t="s">
        <v>2564</v>
      </c>
      <c r="Z15" s="1816" t="str">
        <f t="shared" si="7"/>
        <v>商业繁华度</v>
      </c>
      <c r="AA15" s="1813">
        <f t="shared" si="3"/>
        <v>1</v>
      </c>
      <c r="AB15" s="1813">
        <f t="shared" si="4"/>
        <v>1</v>
      </c>
      <c r="AC15" s="1813">
        <f t="shared" si="5"/>
        <v>1</v>
      </c>
    </row>
    <row r="16" spans="1:29" ht="15">
      <c r="A16" s="428"/>
      <c r="B16" s="446"/>
      <c r="C16" s="447" t="s">
        <v>3100</v>
      </c>
      <c r="D16" s="448"/>
      <c r="E16" s="447" t="s">
        <v>3100</v>
      </c>
      <c r="F16" s="449"/>
      <c r="G16" s="447" t="s">
        <v>3100</v>
      </c>
      <c r="H16" s="450"/>
      <c r="I16" s="447" t="s">
        <v>3100</v>
      </c>
      <c r="J16" s="448"/>
      <c r="K16" s="615"/>
      <c r="L16" s="1142"/>
      <c r="M16" s="1133"/>
      <c r="N16" s="1133"/>
      <c r="O16" s="1133"/>
      <c r="P16" s="3269"/>
      <c r="Q16" s="1812"/>
      <c r="R16" s="774"/>
      <c r="S16" s="775"/>
      <c r="T16" s="774"/>
      <c r="U16" s="775"/>
      <c r="V16" s="774"/>
      <c r="W16" s="775"/>
      <c r="X16" s="1815"/>
      <c r="Y16" s="3262"/>
      <c r="Z16" s="1816"/>
      <c r="AA16" s="1813">
        <v>1</v>
      </c>
      <c r="AB16" s="1813">
        <v>1</v>
      </c>
      <c r="AC16" s="1813">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69"/>
      <c r="Q17" s="1812" t="str">
        <f>B17</f>
        <v>交通便捷度</v>
      </c>
      <c r="R17" s="774" t="s">
        <v>17</v>
      </c>
      <c r="S17" s="775">
        <f>F17</f>
        <v>100</v>
      </c>
      <c r="T17" s="774" t="s">
        <v>17</v>
      </c>
      <c r="U17" s="775">
        <f>H17</f>
        <v>100</v>
      </c>
      <c r="V17" s="774" t="s">
        <v>17</v>
      </c>
      <c r="W17" s="775">
        <f>J17</f>
        <v>100</v>
      </c>
      <c r="X17" s="1815"/>
      <c r="Y17" s="3262"/>
      <c r="Z17" s="1816" t="str">
        <f>Q17</f>
        <v>交通便捷度</v>
      </c>
      <c r="AA17" s="1813">
        <f t="shared" si="3"/>
        <v>1</v>
      </c>
      <c r="AB17" s="1813">
        <f t="shared" si="4"/>
        <v>1</v>
      </c>
      <c r="AC17" s="1813">
        <f t="shared" si="5"/>
        <v>1</v>
      </c>
    </row>
    <row r="18" spans="1:29" ht="15">
      <c r="A18" s="428"/>
      <c r="B18" s="456"/>
      <c r="C18" s="2613" t="s">
        <v>3100</v>
      </c>
      <c r="D18" s="450"/>
      <c r="E18" s="2615" t="s">
        <v>3100</v>
      </c>
      <c r="F18" s="453"/>
      <c r="G18" s="2614" t="s">
        <v>3100</v>
      </c>
      <c r="H18" s="448"/>
      <c r="I18" s="2615" t="s">
        <v>3100</v>
      </c>
      <c r="J18" s="448"/>
      <c r="K18" s="615"/>
      <c r="L18" s="1142"/>
      <c r="M18" s="1133"/>
      <c r="N18" s="1133"/>
      <c r="O18" s="1133"/>
      <c r="P18" s="3269"/>
      <c r="Q18" s="1812"/>
      <c r="R18" s="774"/>
      <c r="S18" s="775"/>
      <c r="T18" s="774"/>
      <c r="U18" s="775"/>
      <c r="V18" s="774"/>
      <c r="W18" s="775"/>
      <c r="X18" s="1815"/>
      <c r="Y18" s="3262"/>
      <c r="Z18" s="1816"/>
      <c r="AA18" s="1813">
        <v>1</v>
      </c>
      <c r="AB18" s="1813">
        <v>1</v>
      </c>
      <c r="AC18" s="1813">
        <v>1</v>
      </c>
    </row>
    <row r="19" spans="1:29" ht="42.75">
      <c r="A19" s="428"/>
      <c r="B19" s="451" t="s">
        <v>2658</v>
      </c>
      <c r="C19" s="2612"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69"/>
      <c r="Q19" s="1812" t="str">
        <f>B19</f>
        <v>公共配套设施</v>
      </c>
      <c r="R19" s="774" t="s">
        <v>17</v>
      </c>
      <c r="S19" s="775">
        <f>F19</f>
        <v>100</v>
      </c>
      <c r="T19" s="774" t="s">
        <v>17</v>
      </c>
      <c r="U19" s="775">
        <f>H19</f>
        <v>100</v>
      </c>
      <c r="V19" s="774" t="s">
        <v>17</v>
      </c>
      <c r="W19" s="775">
        <f>J19</f>
        <v>100</v>
      </c>
      <c r="X19" s="1815"/>
      <c r="Y19" s="3262"/>
      <c r="Z19" s="1816" t="str">
        <f>Q19</f>
        <v>公共配套设施</v>
      </c>
      <c r="AA19" s="1813">
        <f t="shared" si="3"/>
        <v>1</v>
      </c>
      <c r="AB19" s="1813">
        <f t="shared" si="4"/>
        <v>1</v>
      </c>
      <c r="AC19" s="1813">
        <f t="shared" si="5"/>
        <v>1</v>
      </c>
    </row>
    <row r="20" spans="1:29" ht="15">
      <c r="A20" s="428"/>
      <c r="B20" s="456"/>
      <c r="C20" s="447" t="s">
        <v>3158</v>
      </c>
      <c r="D20" s="448"/>
      <c r="E20" s="2610" t="s">
        <v>3158</v>
      </c>
      <c r="F20" s="449"/>
      <c r="G20" s="2609" t="s">
        <v>3158</v>
      </c>
      <c r="H20" s="448"/>
      <c r="I20" s="2610" t="s">
        <v>3158</v>
      </c>
      <c r="J20" s="448"/>
      <c r="K20" s="615"/>
      <c r="L20" s="1142"/>
      <c r="M20" s="1133"/>
      <c r="N20" s="1133"/>
      <c r="O20" s="1133"/>
      <c r="P20" s="3269"/>
      <c r="Q20" s="1812"/>
      <c r="R20" s="774"/>
      <c r="S20" s="775"/>
      <c r="T20" s="774"/>
      <c r="U20" s="775"/>
      <c r="V20" s="774"/>
      <c r="W20" s="775"/>
      <c r="X20" s="1815"/>
      <c r="Y20" s="3262"/>
      <c r="Z20" s="1816"/>
      <c r="AA20" s="1813">
        <v>1</v>
      </c>
      <c r="AB20" s="1813">
        <v>1</v>
      </c>
      <c r="AC20" s="1813">
        <v>1</v>
      </c>
    </row>
    <row r="21" spans="1:29" ht="42.75">
      <c r="A21" s="428"/>
      <c r="B21" s="1386" t="s">
        <v>2659</v>
      </c>
      <c r="C21" s="2612"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69"/>
      <c r="Q21" s="1812" t="str">
        <f>B21</f>
        <v>基础设施水平</v>
      </c>
      <c r="R21" s="774" t="s">
        <v>17</v>
      </c>
      <c r="S21" s="775">
        <f>F21</f>
        <v>100</v>
      </c>
      <c r="T21" s="774" t="s">
        <v>17</v>
      </c>
      <c r="U21" s="775">
        <f>H21</f>
        <v>100</v>
      </c>
      <c r="V21" s="774" t="s">
        <v>17</v>
      </c>
      <c r="W21" s="775">
        <f>J21</f>
        <v>100</v>
      </c>
      <c r="X21" s="1815"/>
      <c r="Y21" s="3262"/>
      <c r="Z21" s="1816" t="str">
        <f>Q21</f>
        <v>基础设施水平</v>
      </c>
      <c r="AA21" s="1813">
        <f t="shared" ref="AA21" si="8">D21/F21</f>
        <v>1</v>
      </c>
      <c r="AB21" s="1813">
        <f t="shared" ref="AB21" si="9">D21/H21</f>
        <v>1</v>
      </c>
      <c r="AC21" s="1813">
        <f t="shared" ref="AC21" si="10">D21/J21</f>
        <v>1</v>
      </c>
    </row>
    <row r="22" spans="1:29" ht="15">
      <c r="A22" s="428"/>
      <c r="B22" s="1386"/>
      <c r="C22" s="2613" t="s">
        <v>3159</v>
      </c>
      <c r="D22" s="448"/>
      <c r="E22" s="447" t="s">
        <v>3159</v>
      </c>
      <c r="F22" s="449"/>
      <c r="G22" s="447" t="s">
        <v>3159</v>
      </c>
      <c r="H22" s="448"/>
      <c r="I22" s="447" t="s">
        <v>3159</v>
      </c>
      <c r="J22" s="448"/>
      <c r="K22" s="1385"/>
      <c r="L22" s="1142"/>
      <c r="M22" s="1133"/>
      <c r="N22" s="1133"/>
      <c r="O22" s="1133"/>
      <c r="P22" s="3269"/>
      <c r="Q22" s="1812"/>
      <c r="R22" s="774"/>
      <c r="S22" s="775"/>
      <c r="T22" s="774"/>
      <c r="U22" s="775"/>
      <c r="V22" s="774"/>
      <c r="W22" s="775"/>
      <c r="X22" s="1815"/>
      <c r="Y22" s="3262"/>
      <c r="Z22" s="1816"/>
      <c r="AA22" s="1813">
        <v>1</v>
      </c>
      <c r="AB22" s="1813">
        <v>1</v>
      </c>
      <c r="AC22" s="1813">
        <v>1</v>
      </c>
    </row>
    <row r="23" spans="1:29" ht="57">
      <c r="A23" s="428"/>
      <c r="B23" s="451" t="s">
        <v>2106</v>
      </c>
      <c r="C23" s="2669"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69"/>
      <c r="Q23" s="1812" t="str">
        <f>B23</f>
        <v>自然及人文环境</v>
      </c>
      <c r="R23" s="774" t="s">
        <v>17</v>
      </c>
      <c r="S23" s="775">
        <f>F23</f>
        <v>100</v>
      </c>
      <c r="T23" s="774" t="s">
        <v>17</v>
      </c>
      <c r="U23" s="775">
        <f>H23</f>
        <v>100</v>
      </c>
      <c r="V23" s="774" t="s">
        <v>17</v>
      </c>
      <c r="W23" s="775">
        <f>J23</f>
        <v>100</v>
      </c>
      <c r="X23" s="1815"/>
      <c r="Y23" s="3262"/>
      <c r="Z23" s="1816" t="str">
        <f>Q23</f>
        <v>自然及人文环境</v>
      </c>
      <c r="AA23" s="1813">
        <f t="shared" si="3"/>
        <v>1</v>
      </c>
      <c r="AB23" s="1813">
        <f t="shared" si="4"/>
        <v>1</v>
      </c>
      <c r="AC23" s="1813">
        <f t="shared" si="5"/>
        <v>1</v>
      </c>
    </row>
    <row r="24" spans="1:29" ht="15">
      <c r="A24" s="428"/>
      <c r="B24" s="456"/>
      <c r="C24" s="447" t="s">
        <v>3100</v>
      </c>
      <c r="D24" s="448"/>
      <c r="E24" s="2610" t="s">
        <v>3100</v>
      </c>
      <c r="F24" s="449"/>
      <c r="G24" s="2609" t="s">
        <v>3100</v>
      </c>
      <c r="H24" s="448"/>
      <c r="I24" s="2610" t="s">
        <v>3100</v>
      </c>
      <c r="J24" s="448"/>
      <c r="K24" s="615"/>
      <c r="L24" s="1142"/>
      <c r="M24" s="1133"/>
      <c r="N24" s="1133"/>
      <c r="O24" s="1133"/>
      <c r="P24" s="3269"/>
      <c r="Q24" s="1812"/>
      <c r="R24" s="774"/>
      <c r="S24" s="775"/>
      <c r="T24" s="774"/>
      <c r="U24" s="775"/>
      <c r="V24" s="774"/>
      <c r="W24" s="775"/>
      <c r="X24" s="1815"/>
      <c r="Y24" s="3262"/>
      <c r="Z24" s="1816"/>
      <c r="AA24" s="1813">
        <v>1</v>
      </c>
      <c r="AB24" s="1813">
        <v>1</v>
      </c>
      <c r="AC24" s="1813">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69"/>
      <c r="Q25" s="1812" t="str">
        <f t="shared" ref="Q25:Q46" si="11">B25</f>
        <v>临街状况</v>
      </c>
      <c r="R25" s="774" t="s">
        <v>17</v>
      </c>
      <c r="S25" s="775">
        <f>F25</f>
        <v>100</v>
      </c>
      <c r="T25" s="774" t="s">
        <v>17</v>
      </c>
      <c r="U25" s="775">
        <f>H25</f>
        <v>100</v>
      </c>
      <c r="V25" s="774" t="s">
        <v>17</v>
      </c>
      <c r="W25" s="775">
        <f>J25</f>
        <v>100</v>
      </c>
      <c r="X25" s="1815"/>
      <c r="Y25" s="3262"/>
      <c r="Z25" s="1816" t="str">
        <f>Q25</f>
        <v>临街状况</v>
      </c>
      <c r="AA25" s="1813">
        <f t="shared" si="3"/>
        <v>1</v>
      </c>
      <c r="AB25" s="1813">
        <f t="shared" si="4"/>
        <v>1</v>
      </c>
      <c r="AC25" s="1813">
        <f t="shared" si="5"/>
        <v>1</v>
      </c>
    </row>
    <row r="26" spans="1:29" ht="15">
      <c r="A26" s="428"/>
      <c r="B26" s="1388" t="s">
        <v>2661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69"/>
      <c r="Q26" s="1812" t="str">
        <f t="shared" si="11"/>
        <v>平面位置/可视性</v>
      </c>
      <c r="R26" s="774" t="s">
        <v>17</v>
      </c>
      <c r="S26" s="775">
        <f>F26</f>
        <v>100</v>
      </c>
      <c r="T26" s="774" t="s">
        <v>17</v>
      </c>
      <c r="U26" s="775">
        <f>H26</f>
        <v>100</v>
      </c>
      <c r="V26" s="774" t="s">
        <v>17</v>
      </c>
      <c r="W26" s="775">
        <f>J26</f>
        <v>100</v>
      </c>
      <c r="X26" s="1815"/>
      <c r="Y26" s="3262"/>
      <c r="Z26" s="1816" t="str">
        <f>Q26</f>
        <v>平面位置/可视性</v>
      </c>
      <c r="AA26" s="1813">
        <f t="shared" si="3"/>
        <v>1</v>
      </c>
      <c r="AB26" s="1813">
        <f t="shared" si="4"/>
        <v>1</v>
      </c>
      <c r="AC26" s="1813">
        <f t="shared" si="5"/>
        <v>1</v>
      </c>
    </row>
    <row r="27" spans="1:29" s="117" customFormat="1" ht="15">
      <c r="A27" s="431"/>
      <c r="B27" s="451" t="s">
        <v>2662</v>
      </c>
      <c r="C27" s="2670"/>
      <c r="D27" s="462">
        <v>100</v>
      </c>
      <c r="E27" s="2670"/>
      <c r="F27" s="464">
        <f>SUMIF(90:90,E27,91:91)-SUMIF(90:90,C27,91:91)+100</f>
        <v>100</v>
      </c>
      <c r="G27" s="2670"/>
      <c r="H27" s="462">
        <f>SUMIF(90:90,G27,91:91)-SUMIF(90:90,C27,91:91)+100</f>
        <v>100</v>
      </c>
      <c r="I27" s="2670"/>
      <c r="J27" s="462">
        <f>SUMIF(90:90,I27,91:91)-SUMIF(90:90,C27,91:91)+100</f>
        <v>100</v>
      </c>
      <c r="K27" s="612"/>
      <c r="L27" s="1134"/>
      <c r="M27" s="1135"/>
      <c r="N27" s="1135"/>
      <c r="O27" s="1135"/>
      <c r="P27" s="3269"/>
      <c r="Q27" s="1797" t="str">
        <f t="shared" si="11"/>
        <v>人流量</v>
      </c>
      <c r="R27" s="770" t="s">
        <v>17</v>
      </c>
      <c r="S27" s="771">
        <f>F27</f>
        <v>100</v>
      </c>
      <c r="T27" s="770" t="s">
        <v>17</v>
      </c>
      <c r="U27" s="771">
        <f>H27</f>
        <v>100</v>
      </c>
      <c r="V27" s="770" t="s">
        <v>17</v>
      </c>
      <c r="W27" s="771">
        <f>J27</f>
        <v>100</v>
      </c>
      <c r="X27" s="772"/>
      <c r="Y27" s="3262"/>
      <c r="Z27" s="55" t="str">
        <f>Q27</f>
        <v>人流量</v>
      </c>
      <c r="AA27" s="1813">
        <f>D27/F27</f>
        <v>1</v>
      </c>
      <c r="AB27" s="1813">
        <f>D27/H27</f>
        <v>1</v>
      </c>
      <c r="AC27" s="1813">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6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62"/>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9"/>
      <c r="Q29" s="1812">
        <f t="shared" si="11"/>
        <v>111</v>
      </c>
      <c r="R29" s="774" t="s">
        <v>17</v>
      </c>
      <c r="S29" s="775">
        <f t="shared" si="12"/>
        <v>100</v>
      </c>
      <c r="T29" s="774" t="s">
        <v>17</v>
      </c>
      <c r="U29" s="775">
        <f t="shared" si="13"/>
        <v>100</v>
      </c>
      <c r="V29" s="774" t="s">
        <v>17</v>
      </c>
      <c r="W29" s="775">
        <f t="shared" si="14"/>
        <v>100</v>
      </c>
      <c r="X29" s="1815"/>
      <c r="Y29" s="3262"/>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9"/>
      <c r="Q30" s="1812">
        <f t="shared" si="11"/>
        <v>111</v>
      </c>
      <c r="R30" s="774" t="s">
        <v>17</v>
      </c>
      <c r="S30" s="775">
        <f t="shared" si="12"/>
        <v>100</v>
      </c>
      <c r="T30" s="774" t="s">
        <v>17</v>
      </c>
      <c r="U30" s="775">
        <f t="shared" si="13"/>
        <v>100</v>
      </c>
      <c r="V30" s="774" t="s">
        <v>17</v>
      </c>
      <c r="W30" s="775">
        <f t="shared" si="14"/>
        <v>100</v>
      </c>
      <c r="X30" s="1815"/>
      <c r="Y30" s="3262"/>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9"/>
      <c r="Q31" s="1812">
        <f t="shared" si="11"/>
        <v>111</v>
      </c>
      <c r="R31" s="774" t="s">
        <v>17</v>
      </c>
      <c r="S31" s="775">
        <f t="shared" si="12"/>
        <v>100</v>
      </c>
      <c r="T31" s="774" t="s">
        <v>17</v>
      </c>
      <c r="U31" s="775">
        <f t="shared" si="13"/>
        <v>100</v>
      </c>
      <c r="V31" s="774" t="s">
        <v>17</v>
      </c>
      <c r="W31" s="775">
        <f t="shared" si="14"/>
        <v>100</v>
      </c>
      <c r="X31" s="1815"/>
      <c r="Y31" s="3262"/>
      <c r="Z31" s="1816">
        <f t="shared" si="15"/>
        <v>111</v>
      </c>
      <c r="AA31" s="1813">
        <f t="shared" si="3"/>
        <v>1</v>
      </c>
      <c r="AB31" s="1813">
        <f t="shared" si="4"/>
        <v>1</v>
      </c>
      <c r="AC31" s="1813">
        <f t="shared" si="5"/>
        <v>1</v>
      </c>
    </row>
    <row r="32" spans="1:29" ht="15">
      <c r="A32" s="440" t="s">
        <v>2567</v>
      </c>
      <c r="B32" s="71" t="s">
        <v>2664</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2"/>
      <c r="M32" s="1133"/>
      <c r="N32" s="1133"/>
      <c r="O32" s="1133"/>
      <c r="P32" s="3263" t="s">
        <v>2569</v>
      </c>
      <c r="Q32" s="1812" t="str">
        <f t="shared" si="11"/>
        <v>商业类型</v>
      </c>
      <c r="R32" s="774" t="s">
        <v>17</v>
      </c>
      <c r="S32" s="775">
        <f t="shared" si="12"/>
        <v>100</v>
      </c>
      <c r="T32" s="774" t="s">
        <v>17</v>
      </c>
      <c r="U32" s="775">
        <f t="shared" si="13"/>
        <v>100</v>
      </c>
      <c r="V32" s="774" t="s">
        <v>17</v>
      </c>
      <c r="W32" s="775">
        <f t="shared" si="14"/>
        <v>100</v>
      </c>
      <c r="X32" s="1815"/>
      <c r="Y32" s="3266" t="s">
        <v>2569</v>
      </c>
      <c r="Z32" s="1816" t="str">
        <f t="shared" si="15"/>
        <v>商业类型</v>
      </c>
      <c r="AA32" s="1813">
        <f t="shared" si="3"/>
        <v>1</v>
      </c>
      <c r="AB32" s="1813">
        <f t="shared" si="4"/>
        <v>1</v>
      </c>
      <c r="AC32" s="1813">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64"/>
      <c r="Q33" s="776" t="str">
        <f t="shared" si="11"/>
        <v>项目建筑规模</v>
      </c>
      <c r="R33" s="777" t="s">
        <v>17</v>
      </c>
      <c r="S33" s="778" t="e">
        <f t="shared" si="12"/>
        <v>#N/A</v>
      </c>
      <c r="T33" s="777" t="s">
        <v>17</v>
      </c>
      <c r="U33" s="778" t="e">
        <f t="shared" si="13"/>
        <v>#N/A</v>
      </c>
      <c r="V33" s="777" t="s">
        <v>17</v>
      </c>
      <c r="W33" s="778" t="e">
        <f t="shared" si="14"/>
        <v>#N/A</v>
      </c>
      <c r="X33" s="779"/>
      <c r="Y33" s="3266"/>
      <c r="Z33" s="780" t="str">
        <f t="shared" si="15"/>
        <v>项目建筑规模</v>
      </c>
      <c r="AA33" s="1813" t="e">
        <f t="shared" si="3"/>
        <v>#N/A</v>
      </c>
      <c r="AB33" s="1813" t="e">
        <f t="shared" si="4"/>
        <v>#N/A</v>
      </c>
      <c r="AC33" s="1813" t="e">
        <f t="shared" si="5"/>
        <v>#N/A</v>
      </c>
    </row>
    <row r="34" spans="1:29" ht="15">
      <c r="A34" s="472"/>
      <c r="B34" s="422" t="s">
        <v>2571</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2"/>
      <c r="M34" s="1133"/>
      <c r="N34" s="1133"/>
      <c r="O34" s="1133"/>
      <c r="P34" s="3264"/>
      <c r="Q34" s="1812" t="str">
        <f t="shared" si="11"/>
        <v>建筑结构</v>
      </c>
      <c r="R34" s="774" t="s">
        <v>17</v>
      </c>
      <c r="S34" s="775">
        <f t="shared" si="12"/>
        <v>100</v>
      </c>
      <c r="T34" s="774" t="s">
        <v>17</v>
      </c>
      <c r="U34" s="775">
        <f t="shared" si="13"/>
        <v>100</v>
      </c>
      <c r="V34" s="774" t="s">
        <v>17</v>
      </c>
      <c r="W34" s="775">
        <f t="shared" si="14"/>
        <v>100</v>
      </c>
      <c r="X34" s="1815"/>
      <c r="Y34" s="3266"/>
      <c r="Z34" s="1816" t="str">
        <f t="shared" si="15"/>
        <v>建筑结构</v>
      </c>
      <c r="AA34" s="1813">
        <f t="shared" si="3"/>
        <v>1</v>
      </c>
      <c r="AB34" s="1813">
        <f t="shared" si="4"/>
        <v>1</v>
      </c>
      <c r="AC34" s="1813">
        <f t="shared" si="5"/>
        <v>1</v>
      </c>
    </row>
    <row r="35" spans="1:29" ht="15">
      <c r="A35" s="472"/>
      <c r="B35" s="422" t="s">
        <v>2665</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2"/>
      <c r="M35" s="1133"/>
      <c r="N35" s="1133"/>
      <c r="O35" s="1133"/>
      <c r="P35" s="3264"/>
      <c r="Q35" s="1812" t="str">
        <f t="shared" si="11"/>
        <v>公共部分装修</v>
      </c>
      <c r="R35" s="774" t="s">
        <v>17</v>
      </c>
      <c r="S35" s="775">
        <f t="shared" si="12"/>
        <v>100</v>
      </c>
      <c r="T35" s="774" t="s">
        <v>17</v>
      </c>
      <c r="U35" s="775">
        <f t="shared" si="13"/>
        <v>100</v>
      </c>
      <c r="V35" s="774" t="s">
        <v>17</v>
      </c>
      <c r="W35" s="775">
        <f t="shared" si="14"/>
        <v>100</v>
      </c>
      <c r="X35" s="1815"/>
      <c r="Y35" s="3266"/>
      <c r="Z35" s="1816" t="str">
        <f t="shared" si="15"/>
        <v>公共部分装修</v>
      </c>
      <c r="AA35" s="1813">
        <f t="shared" si="3"/>
        <v>1</v>
      </c>
      <c r="AB35" s="1813">
        <f t="shared" si="4"/>
        <v>1</v>
      </c>
      <c r="AC35" s="1813">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64"/>
      <c r="Q36" s="1812" t="str">
        <f t="shared" si="11"/>
        <v>成新度</v>
      </c>
      <c r="R36" s="774" t="s">
        <v>17</v>
      </c>
      <c r="S36" s="775" t="e">
        <f t="shared" si="12"/>
        <v>#N/A</v>
      </c>
      <c r="T36" s="774" t="s">
        <v>17</v>
      </c>
      <c r="U36" s="775" t="e">
        <f t="shared" si="13"/>
        <v>#N/A</v>
      </c>
      <c r="V36" s="774" t="s">
        <v>17</v>
      </c>
      <c r="W36" s="775" t="e">
        <f t="shared" si="14"/>
        <v>#N/A</v>
      </c>
      <c r="X36" s="1815"/>
      <c r="Y36" s="3266"/>
      <c r="Z36" s="1816" t="str">
        <f t="shared" si="15"/>
        <v>成新度</v>
      </c>
      <c r="AA36" s="1813" t="e">
        <f t="shared" si="3"/>
        <v>#N/A</v>
      </c>
      <c r="AB36" s="1813" t="e">
        <f t="shared" si="4"/>
        <v>#N/A</v>
      </c>
      <c r="AC36" s="1813" t="e">
        <f t="shared" si="5"/>
        <v>#N/A</v>
      </c>
    </row>
    <row r="37" spans="1:29" s="117" customFormat="1" ht="15">
      <c r="A37" s="473"/>
      <c r="B37" s="422" t="s">
        <v>2667</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4"/>
      <c r="M37" s="1135"/>
      <c r="N37" s="1135"/>
      <c r="O37" s="1135"/>
      <c r="P37" s="3264"/>
      <c r="Q37" s="1797" t="str">
        <f t="shared" si="11"/>
        <v>市政基础设施</v>
      </c>
      <c r="R37" s="770" t="s">
        <v>17</v>
      </c>
      <c r="S37" s="771">
        <f t="shared" si="12"/>
        <v>100</v>
      </c>
      <c r="T37" s="770" t="s">
        <v>17</v>
      </c>
      <c r="U37" s="771">
        <f t="shared" si="13"/>
        <v>100</v>
      </c>
      <c r="V37" s="770" t="s">
        <v>17</v>
      </c>
      <c r="W37" s="771">
        <f t="shared" si="14"/>
        <v>100</v>
      </c>
      <c r="X37" s="772"/>
      <c r="Y37" s="3266"/>
      <c r="Z37" s="55" t="str">
        <f t="shared" si="15"/>
        <v>市政基础设施</v>
      </c>
      <c r="AA37" s="773">
        <f t="shared" si="3"/>
        <v>1</v>
      </c>
      <c r="AB37" s="773">
        <f t="shared" si="4"/>
        <v>1</v>
      </c>
      <c r="AC37" s="773">
        <f t="shared" si="5"/>
        <v>1</v>
      </c>
    </row>
    <row r="38" spans="1:29" ht="15">
      <c r="A38" s="472"/>
      <c r="B38" s="422" t="s">
        <v>2668</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2"/>
      <c r="M38" s="1133"/>
      <c r="N38" s="1133"/>
      <c r="O38" s="1133"/>
      <c r="P38" s="3264" t="s">
        <v>2569</v>
      </c>
      <c r="Q38" s="1812" t="str">
        <f t="shared" si="11"/>
        <v>业态</v>
      </c>
      <c r="R38" s="774" t="s">
        <v>17</v>
      </c>
      <c r="S38" s="775">
        <f t="shared" si="12"/>
        <v>100</v>
      </c>
      <c r="T38" s="774" t="s">
        <v>17</v>
      </c>
      <c r="U38" s="775">
        <f t="shared" si="13"/>
        <v>100</v>
      </c>
      <c r="V38" s="774" t="s">
        <v>17</v>
      </c>
      <c r="W38" s="775">
        <f t="shared" si="14"/>
        <v>100</v>
      </c>
      <c r="X38" s="1815"/>
      <c r="Y38" s="3266" t="s">
        <v>2569</v>
      </c>
      <c r="Z38" s="1816" t="str">
        <f t="shared" si="15"/>
        <v>业态</v>
      </c>
      <c r="AA38" s="1813">
        <f t="shared" si="3"/>
        <v>1</v>
      </c>
      <c r="AB38" s="1813">
        <f t="shared" si="4"/>
        <v>1</v>
      </c>
      <c r="AC38" s="1813">
        <f t="shared" si="5"/>
        <v>1</v>
      </c>
    </row>
    <row r="39" spans="1:29" ht="15">
      <c r="A39" s="472"/>
      <c r="B39" s="422" t="s">
        <v>2669</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2"/>
      <c r="M39" s="1133"/>
      <c r="N39" s="1133"/>
      <c r="O39" s="1133"/>
      <c r="P39" s="3264"/>
      <c r="Q39" s="1812" t="str">
        <f t="shared" si="11"/>
        <v>层高</v>
      </c>
      <c r="R39" s="774" t="s">
        <v>17</v>
      </c>
      <c r="S39" s="775">
        <f t="shared" si="12"/>
        <v>100</v>
      </c>
      <c r="T39" s="774" t="s">
        <v>17</v>
      </c>
      <c r="U39" s="775">
        <f t="shared" si="13"/>
        <v>100</v>
      </c>
      <c r="V39" s="774" t="s">
        <v>17</v>
      </c>
      <c r="W39" s="775">
        <f t="shared" si="14"/>
        <v>100</v>
      </c>
      <c r="X39" s="1815"/>
      <c r="Y39" s="3266"/>
      <c r="Z39" s="1816" t="str">
        <f t="shared" si="15"/>
        <v>层高</v>
      </c>
      <c r="AA39" s="1813">
        <f t="shared" si="3"/>
        <v>1</v>
      </c>
      <c r="AB39" s="1813">
        <f t="shared" si="4"/>
        <v>1</v>
      </c>
      <c r="AC39" s="1813">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64"/>
      <c r="Q40" s="1812" t="str">
        <f t="shared" si="11"/>
        <v>单套建筑面积</v>
      </c>
      <c r="R40" s="774" t="s">
        <v>17</v>
      </c>
      <c r="S40" s="775">
        <f t="shared" si="12"/>
        <v>100</v>
      </c>
      <c r="T40" s="774" t="s">
        <v>17</v>
      </c>
      <c r="U40" s="775">
        <f t="shared" si="13"/>
        <v>100</v>
      </c>
      <c r="V40" s="774" t="s">
        <v>17</v>
      </c>
      <c r="W40" s="775">
        <f t="shared" si="14"/>
        <v>100</v>
      </c>
      <c r="X40" s="1815"/>
      <c r="Y40" s="3266"/>
      <c r="Z40" s="1816" t="str">
        <f t="shared" si="15"/>
        <v>单套建筑面积</v>
      </c>
      <c r="AA40" s="1813">
        <f t="shared" si="3"/>
        <v>1</v>
      </c>
      <c r="AB40" s="1813">
        <f t="shared" si="4"/>
        <v>1</v>
      </c>
      <c r="AC40" s="1813">
        <f t="shared" si="5"/>
        <v>1</v>
      </c>
    </row>
    <row r="41" spans="1:29" s="471" customFormat="1" ht="15">
      <c r="A41" s="468"/>
      <c r="B41" s="1814"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64"/>
      <c r="Q41" s="776" t="str">
        <f t="shared" si="11"/>
        <v>进深比</v>
      </c>
      <c r="R41" s="777" t="s">
        <v>17</v>
      </c>
      <c r="S41" s="778">
        <f t="shared" si="12"/>
        <v>100</v>
      </c>
      <c r="T41" s="777" t="s">
        <v>17</v>
      </c>
      <c r="U41" s="778">
        <f t="shared" si="13"/>
        <v>100</v>
      </c>
      <c r="V41" s="777" t="s">
        <v>17</v>
      </c>
      <c r="W41" s="778">
        <f t="shared" si="14"/>
        <v>100</v>
      </c>
      <c r="X41" s="779"/>
      <c r="Y41" s="3266"/>
      <c r="Z41" s="780" t="str">
        <f t="shared" si="15"/>
        <v>进深比</v>
      </c>
      <c r="AA41" s="1813">
        <f t="shared" si="3"/>
        <v>1</v>
      </c>
      <c r="AB41" s="1813">
        <f t="shared" si="4"/>
        <v>1</v>
      </c>
      <c r="AC41" s="1813">
        <f t="shared" si="5"/>
        <v>1</v>
      </c>
    </row>
    <row r="42" spans="1:29" ht="15">
      <c r="A42" s="472"/>
      <c r="B42" s="422" t="s">
        <v>2672</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2"/>
      <c r="M42" s="1133"/>
      <c r="N42" s="1133"/>
      <c r="O42" s="1133"/>
      <c r="P42" s="3264"/>
      <c r="Q42" s="1812" t="str">
        <f t="shared" si="11"/>
        <v>内部装修</v>
      </c>
      <c r="R42" s="774" t="s">
        <v>17</v>
      </c>
      <c r="S42" s="775">
        <f t="shared" si="12"/>
        <v>100</v>
      </c>
      <c r="T42" s="774" t="s">
        <v>17</v>
      </c>
      <c r="U42" s="775">
        <f t="shared" si="13"/>
        <v>100</v>
      </c>
      <c r="V42" s="774" t="s">
        <v>17</v>
      </c>
      <c r="W42" s="775">
        <f t="shared" si="14"/>
        <v>100</v>
      </c>
      <c r="X42" s="1815"/>
      <c r="Y42" s="3266"/>
      <c r="Z42" s="1816" t="str">
        <f t="shared" si="15"/>
        <v>内部装修</v>
      </c>
      <c r="AA42" s="1813">
        <f t="shared" si="3"/>
        <v>1</v>
      </c>
      <c r="AB42" s="1813">
        <f t="shared" si="4"/>
        <v>1</v>
      </c>
      <c r="AC42" s="1813">
        <f t="shared" si="5"/>
        <v>1</v>
      </c>
    </row>
    <row r="43" spans="1:29" ht="15">
      <c r="A43" s="472"/>
      <c r="B43" s="422" t="s">
        <v>2580</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2"/>
      <c r="M43" s="1133"/>
      <c r="N43" s="1133"/>
      <c r="O43" s="1133"/>
      <c r="P43" s="3264"/>
      <c r="Q43" s="1812" t="str">
        <f t="shared" si="11"/>
        <v>内部装修维护情况</v>
      </c>
      <c r="R43" s="774" t="s">
        <v>17</v>
      </c>
      <c r="S43" s="775">
        <f t="shared" si="12"/>
        <v>100</v>
      </c>
      <c r="T43" s="774" t="s">
        <v>17</v>
      </c>
      <c r="U43" s="775">
        <f t="shared" si="13"/>
        <v>100</v>
      </c>
      <c r="V43" s="774" t="s">
        <v>17</v>
      </c>
      <c r="W43" s="775">
        <f t="shared" si="14"/>
        <v>100</v>
      </c>
      <c r="X43" s="1815"/>
      <c r="Y43" s="326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64"/>
      <c r="Q44" s="1797">
        <f t="shared" si="11"/>
        <v>111</v>
      </c>
      <c r="R44" s="770" t="s">
        <v>17</v>
      </c>
      <c r="S44" s="771">
        <f t="shared" si="12"/>
        <v>100</v>
      </c>
      <c r="T44" s="770" t="s">
        <v>17</v>
      </c>
      <c r="U44" s="771">
        <f t="shared" si="13"/>
        <v>100</v>
      </c>
      <c r="V44" s="770" t="s">
        <v>17</v>
      </c>
      <c r="W44" s="771">
        <f t="shared" si="14"/>
        <v>100</v>
      </c>
      <c r="X44" s="772"/>
      <c r="Y44" s="326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64"/>
      <c r="Q45" s="1812">
        <f t="shared" si="11"/>
        <v>111</v>
      </c>
      <c r="R45" s="774" t="s">
        <v>17</v>
      </c>
      <c r="S45" s="775">
        <f t="shared" si="12"/>
        <v>100</v>
      </c>
      <c r="T45" s="774" t="s">
        <v>17</v>
      </c>
      <c r="U45" s="775">
        <f t="shared" si="13"/>
        <v>100</v>
      </c>
      <c r="V45" s="774" t="s">
        <v>17</v>
      </c>
      <c r="W45" s="775">
        <f t="shared" si="14"/>
        <v>100</v>
      </c>
      <c r="X45" s="1815"/>
      <c r="Y45" s="3266"/>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65"/>
      <c r="Q46" s="1812">
        <f t="shared" si="11"/>
        <v>111</v>
      </c>
      <c r="R46" s="774" t="s">
        <v>17</v>
      </c>
      <c r="S46" s="775">
        <f t="shared" si="12"/>
        <v>100</v>
      </c>
      <c r="T46" s="774" t="s">
        <v>17</v>
      </c>
      <c r="U46" s="775">
        <f t="shared" si="13"/>
        <v>100</v>
      </c>
      <c r="V46" s="774" t="s">
        <v>17</v>
      </c>
      <c r="W46" s="775">
        <f t="shared" si="14"/>
        <v>100</v>
      </c>
      <c r="X46" s="1815"/>
      <c r="Y46" s="3267"/>
      <c r="Z46" s="1816">
        <f t="shared" si="15"/>
        <v>111</v>
      </c>
      <c r="AA46" s="1813">
        <f t="shared" si="3"/>
        <v>1</v>
      </c>
      <c r="AB46" s="1813">
        <f t="shared" si="4"/>
        <v>1</v>
      </c>
      <c r="AC46" s="1813">
        <f t="shared" si="5"/>
        <v>1</v>
      </c>
    </row>
    <row r="47" spans="1:29" ht="15">
      <c r="A47" s="479" t="s">
        <v>2581</v>
      </c>
      <c r="B47" s="480"/>
      <c r="C47" s="1409" t="s">
        <v>1</v>
      </c>
      <c r="D47" s="1410"/>
      <c r="E47" s="1411">
        <f>Sheet2!C1</f>
        <v>60764</v>
      </c>
      <c r="F47" s="1412"/>
      <c r="G47" s="1413">
        <f>Sheet2!C2</f>
        <v>63158</v>
      </c>
      <c r="H47" s="1414"/>
      <c r="I47" s="1411">
        <f>Sheet2!C3</f>
        <v>64103</v>
      </c>
      <c r="J47" s="1414"/>
      <c r="K47" s="783"/>
      <c r="L47" s="1145"/>
      <c r="M47" s="1146"/>
      <c r="N47" s="1133"/>
      <c r="O47" s="1146"/>
      <c r="P47" s="3259" t="str">
        <f>A47</f>
        <v>成交单价（元/平方米）</v>
      </c>
      <c r="Q47" s="3259"/>
      <c r="R47" s="3290">
        <f>E47</f>
        <v>60764</v>
      </c>
      <c r="S47" s="3290"/>
      <c r="T47" s="3290">
        <f>G47</f>
        <v>63158</v>
      </c>
      <c r="U47" s="3290"/>
      <c r="V47" s="3290">
        <f>I47</f>
        <v>64103</v>
      </c>
      <c r="W47" s="3290"/>
      <c r="X47" s="759"/>
      <c r="Y47" s="781"/>
      <c r="Z47" s="759"/>
      <c r="AA47" s="759"/>
      <c r="AB47" s="759"/>
      <c r="AC47" s="759"/>
    </row>
    <row r="48" spans="1:29" ht="15.75" thickBot="1">
      <c r="A48" s="486" t="s">
        <v>2673</v>
      </c>
      <c r="B48" s="487"/>
      <c r="C48" s="1415" t="e">
        <f>R49</f>
        <v>#N/A</v>
      </c>
      <c r="D48" s="1416"/>
      <c r="E48" s="1417" t="e">
        <f>R48</f>
        <v>#N/A</v>
      </c>
      <c r="F48" s="1417"/>
      <c r="G48" s="1415" t="e">
        <f>T48</f>
        <v>#N/A</v>
      </c>
      <c r="H48" s="1416"/>
      <c r="I48" s="1417" t="e">
        <f>V48</f>
        <v>#N/A</v>
      </c>
      <c r="J48" s="1416"/>
      <c r="K48" s="784"/>
      <c r="L48" s="1145"/>
      <c r="M48" s="1146"/>
      <c r="N48" s="1133"/>
      <c r="O48" s="1146"/>
      <c r="P48" s="3259" t="str">
        <f>A48</f>
        <v>比较价值（元/平方米）</v>
      </c>
      <c r="Q48" s="3259"/>
      <c r="R48" s="3260" t="e">
        <f>IF(F1="售价",ROUND(PRODUCT(R47,AA7:AA46),0),ROUND(PRODUCT(R47,AA7:AA46),1))</f>
        <v>#N/A</v>
      </c>
      <c r="S48" s="3260"/>
      <c r="T48" s="3260" t="e">
        <f>IF(F1="售价",ROUND(PRODUCT(T47,AB7:AB46),0),ROUND(PRODUCT(T47,AB7:AB46),1))</f>
        <v>#N/A</v>
      </c>
      <c r="U48" s="3260"/>
      <c r="V48" s="3260" t="e">
        <f>IF(F1="售价",ROUND(PRODUCT(V47,AC7:AC46),0),ROUND(PRODUCT(V47,AC7:AC46),1))</f>
        <v>#N/A</v>
      </c>
      <c r="W48" s="3260"/>
      <c r="X48" s="759"/>
      <c r="Y48" s="759"/>
      <c r="Z48" s="759"/>
      <c r="AA48" s="759"/>
      <c r="AB48" s="759"/>
      <c r="AC48" s="759"/>
    </row>
    <row r="49" spans="1:29" ht="15.75" thickBot="1">
      <c r="A49" s="492" t="s">
        <v>2674</v>
      </c>
      <c r="B49" s="493"/>
      <c r="C49" s="1419" t="e">
        <f>R49</f>
        <v>#N/A</v>
      </c>
      <c r="D49" s="1419"/>
      <c r="E49" s="1419"/>
      <c r="F49" s="1419"/>
      <c r="G49" s="1419"/>
      <c r="H49" s="1419"/>
      <c r="I49" s="1419"/>
      <c r="J49" s="1419"/>
      <c r="K49" s="785"/>
      <c r="L49" s="1145"/>
      <c r="M49" s="1146"/>
      <c r="N49" s="1133"/>
      <c r="O49" s="1146"/>
      <c r="P49" s="3256" t="str">
        <f>A49</f>
        <v>估价对象XX用房的比较价值（楼面单价，元/平方米）</v>
      </c>
      <c r="Q49" s="3257"/>
      <c r="R49" s="3258" t="e">
        <f>IF(F1="售价",ROUND(AVERAGE(R48:V48),0),ROUND(AVERAGE(R48:V48),1))</f>
        <v>#N/A</v>
      </c>
      <c r="S49" s="3258"/>
      <c r="T49" s="3258"/>
      <c r="U49" s="3258"/>
      <c r="V49" s="3258"/>
      <c r="W49" s="32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2675</v>
      </c>
      <c r="D52" s="498"/>
      <c r="E52" s="499" t="e">
        <f>IF(E47&lt;E48,E48/E47-1,E47/E48-1)</f>
        <v>#N/A</v>
      </c>
      <c r="F52" s="500" t="e">
        <f>IF(OR(E52&gt;=0.3,E52&lt;=-0.3),"超过30%","")</f>
        <v>#N/A</v>
      </c>
      <c r="G52" s="499" t="e">
        <f>IF(G47&lt;G48,G48/G47-1,G47/G48-1)</f>
        <v>#N/A</v>
      </c>
      <c r="H52" s="500" t="e">
        <f>IF(OR(G52&gt;=0.3,G52&lt;=-0.3),"超过30%","")</f>
        <v>#N/A</v>
      </c>
      <c r="I52" s="499" t="e">
        <f>IF(I47&lt;I48,I48/I47-1,I47/I48-1)</f>
        <v>#N/A</v>
      </c>
      <c r="J52" s="500" t="e">
        <f>IF(OR(I52&gt;=0.3,I52&lt;=-0.3),"超过30%","")</f>
        <v>#N/A</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2676</v>
      </c>
      <c r="D53" s="501"/>
      <c r="E53" s="499" t="e">
        <f>IF(E48&lt;G48,G48/E48-1,E48/G48-1)</f>
        <v>#N/A</v>
      </c>
      <c r="F53" s="500" t="e">
        <f>IF(OR(E53&gt;=0.2,E53&lt;=-0.2),"超过20%","")</f>
        <v>#N/A</v>
      </c>
      <c r="G53" s="499" t="e">
        <f>IF(G48&lt;I48,I48/G48-1,G48/I48-1)</f>
        <v>#N/A</v>
      </c>
      <c r="H53" s="500" t="e">
        <f>IF(OR(G53&gt;=0.2,G53&lt;=-0.2),"超过20%","")</f>
        <v>#N/A</v>
      </c>
      <c r="I53" s="499" t="e">
        <f>IF(I48&lt;E48,E48/I48-1,I48/E48-1)</f>
        <v>#N/A</v>
      </c>
      <c r="J53" s="500" t="e">
        <f>IF(OR(I53&gt;=0.2,I53&lt;=-0.2),"超过20%","")</f>
        <v>#N/A</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2677</v>
      </c>
      <c r="D54" s="501"/>
      <c r="E54" s="499">
        <f>IF(E47&lt;G47,G47/E47-1,E47/G47-1)</f>
        <v>3.9398327957343104E-2</v>
      </c>
      <c r="F54" s="500" t="str">
        <f>IF(OR(E54&gt;=0.3,E54&lt;=-0.3),"超过30%","")</f>
        <v/>
      </c>
      <c r="G54" s="499">
        <f>IF(G47&lt;I47,I47/G47-1,G47/I47-1)</f>
        <v>1.4962475062541669E-2</v>
      </c>
      <c r="H54" s="500" t="str">
        <f>IF(OR(G54&gt;=0.3,G54&lt;=-0.3),"超过30%","")</f>
        <v/>
      </c>
      <c r="I54" s="499">
        <f>IF(I47&lt;E47,E47/I47-1,I47/E47-1)</f>
        <v>5.4950299519452406E-2</v>
      </c>
      <c r="J54" s="500" t="str">
        <f>IF(OR(I54&gt;=0.3,I54&lt;=-0.3),"超过30%","")</f>
        <v/>
      </c>
      <c r="K54" s="1150"/>
      <c r="L54" s="1151"/>
      <c r="M54" s="1147"/>
      <c r="N54" s="1147"/>
      <c r="O54" s="1147"/>
      <c r="P54" s="2671"/>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71"/>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3"/>
      <c r="M57" s="1161"/>
      <c r="N57" s="1161"/>
      <c r="O57" s="1161"/>
      <c r="P57" s="2672"/>
      <c r="Q57" s="2673"/>
      <c r="R57" s="759"/>
      <c r="S57" s="759"/>
      <c r="T57" s="759"/>
      <c r="U57" s="759"/>
      <c r="V57" s="759"/>
      <c r="W57" s="759"/>
      <c r="X57" s="759"/>
      <c r="Y57" s="759"/>
      <c r="Z57" s="759"/>
      <c r="AA57" s="759"/>
      <c r="AB57" s="759"/>
      <c r="AC57" s="759"/>
    </row>
    <row r="58" spans="1:29" s="508" customFormat="1" ht="15">
      <c r="A58" s="505" t="s">
        <v>2552</v>
      </c>
      <c r="B58" s="506"/>
      <c r="C58" s="1576" t="str">
        <f>YEAR(C7)&amp;"-"&amp;MONTH(C7)</f>
        <v>2018-2</v>
      </c>
      <c r="D58" s="1577">
        <f>EDATE(C58,-1)</f>
        <v>43101</v>
      </c>
      <c r="E58" s="1577">
        <f t="shared" ref="E58:N58" si="16">EDATE(D58,-1)</f>
        <v>43070</v>
      </c>
      <c r="F58" s="1577">
        <f t="shared" si="16"/>
        <v>43040</v>
      </c>
      <c r="G58" s="1577">
        <f t="shared" si="16"/>
        <v>43009</v>
      </c>
      <c r="H58" s="1577">
        <f t="shared" si="16"/>
        <v>42979</v>
      </c>
      <c r="I58" s="1577">
        <f t="shared" si="16"/>
        <v>42948</v>
      </c>
      <c r="J58" s="1577">
        <f t="shared" si="16"/>
        <v>42917</v>
      </c>
      <c r="K58" s="1577">
        <f t="shared" si="16"/>
        <v>42887</v>
      </c>
      <c r="L58" s="1577">
        <f t="shared" si="16"/>
        <v>42856</v>
      </c>
      <c r="M58" s="1577">
        <f t="shared" si="16"/>
        <v>42826</v>
      </c>
      <c r="N58" s="1577">
        <f t="shared" si="16"/>
        <v>42795</v>
      </c>
      <c r="O58" s="1577">
        <f>EDATE(N58,-1)</f>
        <v>42767</v>
      </c>
      <c r="P58" s="1572"/>
    </row>
    <row r="59" spans="1:29" s="117" customFormat="1" ht="15">
      <c r="A59" s="509"/>
      <c r="B59" s="510"/>
      <c r="C59" s="1575">
        <v>100</v>
      </c>
      <c r="D59" s="512"/>
      <c r="E59" s="512"/>
      <c r="F59" s="512"/>
      <c r="G59" s="512"/>
      <c r="H59" s="512"/>
      <c r="I59" s="512"/>
      <c r="J59" s="512"/>
      <c r="K59" s="512"/>
      <c r="L59" s="512"/>
      <c r="M59" s="513"/>
      <c r="N59" s="512"/>
      <c r="O59" s="513"/>
      <c r="P59" s="2633"/>
    </row>
    <row r="60" spans="1:29" s="117" customFormat="1" ht="15.75" thickBot="1">
      <c r="A60" s="515" t="s">
        <v>2589</v>
      </c>
      <c r="B60" s="516"/>
      <c r="C60" s="517"/>
      <c r="D60" s="518"/>
      <c r="E60" s="518"/>
      <c r="F60" s="518"/>
      <c r="G60" s="518"/>
      <c r="H60" s="518"/>
      <c r="I60" s="518"/>
      <c r="J60" s="518"/>
      <c r="K60" s="518"/>
      <c r="L60" s="518"/>
      <c r="M60" s="519"/>
      <c r="N60" s="518"/>
      <c r="O60" s="519"/>
      <c r="P60" s="2633"/>
      <c r="Q60" s="504"/>
    </row>
    <row r="61" spans="1:29" s="117" customFormat="1" ht="15">
      <c r="A61" s="521" t="s">
        <v>2554</v>
      </c>
      <c r="B61" s="510"/>
      <c r="C61" s="522" t="s">
        <v>2656</v>
      </c>
      <c r="D61" s="523"/>
      <c r="E61" s="523"/>
      <c r="F61" s="523"/>
      <c r="G61" s="523"/>
      <c r="H61" s="523"/>
      <c r="I61" s="523"/>
      <c r="J61" s="523"/>
      <c r="K61" s="523"/>
      <c r="L61" s="524"/>
      <c r="M61" s="525"/>
      <c r="N61" s="1153"/>
      <c r="O61" s="1153"/>
      <c r="P61" s="2634"/>
      <c r="Q61" s="504"/>
    </row>
    <row r="62" spans="1:29" s="117" customFormat="1" ht="15.75" thickBot="1">
      <c r="A62" s="521"/>
      <c r="B62" s="510"/>
      <c r="C62" s="511">
        <v>100</v>
      </c>
      <c r="D62" s="512"/>
      <c r="E62" s="512"/>
      <c r="F62" s="512"/>
      <c r="G62" s="512"/>
      <c r="H62" s="512"/>
      <c r="I62" s="512"/>
      <c r="J62" s="512"/>
      <c r="K62" s="512"/>
      <c r="L62" s="512"/>
      <c r="M62" s="514"/>
      <c r="N62" s="1153"/>
      <c r="O62" s="1153"/>
      <c r="P62" s="2633"/>
      <c r="Q62" s="504"/>
    </row>
    <row r="63" spans="1:29">
      <c r="A63" s="527" t="s">
        <v>2592</v>
      </c>
      <c r="B63" s="528" t="s">
        <v>2558</v>
      </c>
      <c r="C63" s="529" t="str">
        <f>C9</f>
        <v>商业</v>
      </c>
      <c r="D63" s="530"/>
      <c r="E63" s="530"/>
      <c r="F63" s="530"/>
      <c r="G63" s="530"/>
      <c r="H63" s="530"/>
      <c r="I63" s="530"/>
      <c r="J63" s="530"/>
      <c r="K63" s="531"/>
      <c r="L63" s="532"/>
      <c r="M63" s="533"/>
      <c r="N63" s="1154"/>
      <c r="O63" s="1154"/>
      <c r="P63" s="2635"/>
      <c r="Q63" s="504"/>
    </row>
    <row r="64" spans="1:29" ht="15.75" thickBot="1">
      <c r="A64" s="534"/>
      <c r="B64" s="535"/>
      <c r="C64" s="536">
        <v>100</v>
      </c>
      <c r="D64" s="536"/>
      <c r="E64" s="536"/>
      <c r="F64" s="536"/>
      <c r="G64" s="536"/>
      <c r="H64" s="536"/>
      <c r="I64" s="536"/>
      <c r="J64" s="536"/>
      <c r="K64" s="536"/>
      <c r="L64" s="536"/>
      <c r="M64" s="537"/>
      <c r="N64" s="1155"/>
      <c r="O64" s="1155"/>
      <c r="P64" s="2635"/>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5"/>
      <c r="Q66" s="504"/>
    </row>
    <row r="67" spans="1:17" ht="15.75" thickTop="1">
      <c r="A67" s="534"/>
      <c r="B67" s="546" t="s">
        <v>2562</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v>
      </c>
      <c r="K67" s="547" t="str">
        <f t="shared" si="17"/>
        <v>（含）-</v>
      </c>
      <c r="L67" s="547" t="str">
        <f t="shared" si="17"/>
        <v>（含）-</v>
      </c>
      <c r="M67" s="448" t="str">
        <f>M68&amp;"（含）"&amp;"-"&amp;P68</f>
        <v>（含）-</v>
      </c>
      <c r="N67" s="1155"/>
      <c r="O67" s="1155"/>
      <c r="P67" s="2635"/>
      <c r="Q67" s="504"/>
    </row>
    <row r="68" spans="1:17" ht="15">
      <c r="A68" s="534"/>
      <c r="B68" s="548"/>
      <c r="C68" s="549">
        <v>0</v>
      </c>
      <c r="D68" s="549">
        <v>1</v>
      </c>
      <c r="E68" s="549">
        <v>2</v>
      </c>
      <c r="F68" s="549">
        <v>3</v>
      </c>
      <c r="G68" s="549">
        <v>4</v>
      </c>
      <c r="H68" s="549">
        <v>5</v>
      </c>
      <c r="I68" s="549">
        <v>6</v>
      </c>
      <c r="J68" s="549">
        <v>7</v>
      </c>
      <c r="K68" s="550"/>
      <c r="L68" s="551"/>
      <c r="M68" s="552"/>
      <c r="N68" s="1154"/>
      <c r="O68" s="1154"/>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5"/>
      <c r="Q69" s="504"/>
    </row>
    <row r="70" spans="1:17" s="471" customFormat="1" ht="15.75" thickTop="1">
      <c r="A70" s="553"/>
      <c r="B70" s="538">
        <f>B12</f>
        <v>111</v>
      </c>
      <c r="C70" s="554"/>
      <c r="D70" s="554"/>
      <c r="E70" s="554"/>
      <c r="F70" s="554"/>
      <c r="G70" s="554"/>
      <c r="H70" s="555"/>
      <c r="I70" s="555"/>
      <c r="J70" s="555"/>
      <c r="K70" s="555"/>
      <c r="L70" s="556"/>
      <c r="M70" s="557"/>
      <c r="N70" s="1156"/>
      <c r="O70" s="1156"/>
      <c r="P70" s="2636"/>
      <c r="Q70" s="559"/>
    </row>
    <row r="71" spans="1:17" s="471" customFormat="1" ht="15.75" thickBot="1">
      <c r="A71" s="553"/>
      <c r="B71" s="543"/>
      <c r="C71" s="560"/>
      <c r="D71" s="536"/>
      <c r="E71" s="536"/>
      <c r="F71" s="536"/>
      <c r="G71" s="536"/>
      <c r="H71" s="536"/>
      <c r="I71" s="536"/>
      <c r="J71" s="536"/>
      <c r="K71" s="536"/>
      <c r="L71" s="536"/>
      <c r="M71" s="537"/>
      <c r="N71" s="1155"/>
      <c r="O71" s="1155"/>
      <c r="P71" s="2636"/>
      <c r="Q71" s="559"/>
    </row>
    <row r="72" spans="1:17" s="471" customFormat="1" ht="15.75" thickTop="1">
      <c r="A72" s="553"/>
      <c r="B72" s="538">
        <f>B13</f>
        <v>111</v>
      </c>
      <c r="C72" s="554"/>
      <c r="D72" s="554"/>
      <c r="E72" s="554"/>
      <c r="F72" s="554"/>
      <c r="G72" s="554"/>
      <c r="H72" s="555"/>
      <c r="I72" s="555"/>
      <c r="J72" s="555"/>
      <c r="K72" s="555"/>
      <c r="L72" s="556"/>
      <c r="M72" s="557"/>
      <c r="N72" s="1156"/>
      <c r="O72" s="1156"/>
      <c r="P72" s="2637"/>
      <c r="Q72" s="561"/>
    </row>
    <row r="73" spans="1:17" s="471" customFormat="1" ht="15.75" thickBot="1">
      <c r="A73" s="553"/>
      <c r="B73" s="543"/>
      <c r="C73" s="560"/>
      <c r="D73" s="536"/>
      <c r="E73" s="536"/>
      <c r="F73" s="536"/>
      <c r="G73" s="560"/>
      <c r="H73" s="562"/>
      <c r="I73" s="562"/>
      <c r="J73" s="562"/>
      <c r="K73" s="562"/>
      <c r="L73" s="562"/>
      <c r="M73" s="563"/>
      <c r="N73" s="1156"/>
      <c r="O73" s="1156"/>
      <c r="P73" s="2636"/>
      <c r="Q73" s="559"/>
    </row>
    <row r="74" spans="1:17" s="471" customFormat="1" ht="15.75" thickTop="1">
      <c r="A74" s="553"/>
      <c r="B74" s="546">
        <f>B14</f>
        <v>111</v>
      </c>
      <c r="C74" s="554"/>
      <c r="D74" s="554"/>
      <c r="E74" s="554"/>
      <c r="F74" s="554"/>
      <c r="G74" s="523"/>
      <c r="H74" s="564"/>
      <c r="I74" s="564"/>
      <c r="J74" s="564"/>
      <c r="K74" s="564"/>
      <c r="L74" s="565"/>
      <c r="M74" s="566"/>
      <c r="N74" s="1156"/>
      <c r="O74" s="1156"/>
      <c r="P74" s="2638"/>
      <c r="Q74" s="559"/>
    </row>
    <row r="75" spans="1:17" s="471" customFormat="1" ht="15.75" thickBot="1">
      <c r="A75" s="568"/>
      <c r="B75" s="569"/>
      <c r="C75" s="570"/>
      <c r="D75" s="570"/>
      <c r="E75" s="570"/>
      <c r="F75" s="570"/>
      <c r="G75" s="570"/>
      <c r="H75" s="571"/>
      <c r="I75" s="571"/>
      <c r="J75" s="571"/>
      <c r="K75" s="571"/>
      <c r="L75" s="571"/>
      <c r="M75" s="572"/>
      <c r="N75" s="1156"/>
      <c r="O75" s="1156"/>
      <c r="P75" s="2636"/>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5"/>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5"/>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5"/>
      <c r="Q81" s="504"/>
    </row>
    <row r="82" spans="1:17" ht="15.75" thickTop="1">
      <c r="A82" s="534"/>
      <c r="B82" s="546" t="s">
        <v>2659</v>
      </c>
      <c r="C82" s="660" t="s">
        <v>2679</v>
      </c>
      <c r="D82" s="660" t="s">
        <v>2680</v>
      </c>
      <c r="E82" s="660" t="s">
        <v>2681</v>
      </c>
      <c r="F82" s="660" t="s">
        <v>2682</v>
      </c>
      <c r="G82" s="660" t="s">
        <v>2683</v>
      </c>
      <c r="H82" s="539"/>
      <c r="I82" s="539"/>
      <c r="J82" s="539"/>
      <c r="K82" s="539"/>
      <c r="L82" s="539"/>
      <c r="M82" s="1384"/>
      <c r="N82" s="1155"/>
      <c r="O82" s="1155"/>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5"/>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5"/>
      <c r="Q85" s="504"/>
    </row>
    <row r="86" spans="1:17" s="117" customFormat="1" ht="15.75" thickTop="1">
      <c r="A86" s="579"/>
      <c r="B86" s="538" t="s">
        <v>2684</v>
      </c>
      <c r="C86" s="554"/>
      <c r="D86" s="554"/>
      <c r="E86" s="554"/>
      <c r="F86" s="554"/>
      <c r="G86" s="554"/>
      <c r="H86" s="554"/>
      <c r="I86" s="554"/>
      <c r="J86" s="554"/>
      <c r="K86" s="554"/>
      <c r="L86" s="580"/>
      <c r="M86" s="581"/>
      <c r="N86" s="1153"/>
      <c r="O86" s="1153"/>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3"/>
      <c r="O88" s="1153"/>
      <c r="P88" s="2635"/>
      <c r="Q88" s="504"/>
    </row>
    <row r="89" spans="1:17" s="117" customFormat="1" ht="15.75" thickBot="1">
      <c r="A89" s="579"/>
      <c r="B89" s="543"/>
      <c r="C89" s="560"/>
      <c r="D89" s="536"/>
      <c r="E89" s="536"/>
      <c r="F89" s="536"/>
      <c r="G89" s="536"/>
      <c r="H89" s="536"/>
      <c r="I89" s="536"/>
      <c r="J89" s="536"/>
      <c r="K89" s="536"/>
      <c r="L89" s="536"/>
      <c r="M89" s="536"/>
      <c r="N89" s="1155"/>
      <c r="O89" s="1155"/>
      <c r="P89" s="2635"/>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6"/>
      <c r="Q91" s="559"/>
    </row>
    <row r="92" spans="1:17" ht="15.75" thickTop="1">
      <c r="A92" s="534"/>
      <c r="B92" s="538" t="str">
        <f>B28</f>
        <v>楼层</v>
      </c>
      <c r="C92" s="554"/>
      <c r="D92" s="554"/>
      <c r="E92" s="554"/>
      <c r="F92" s="554"/>
      <c r="G92" s="554"/>
      <c r="H92" s="554"/>
      <c r="I92" s="554"/>
      <c r="J92" s="554"/>
      <c r="K92" s="554"/>
      <c r="L92" s="580"/>
      <c r="M92" s="581"/>
      <c r="N92" s="1154"/>
      <c r="O92" s="1154"/>
      <c r="P92" s="2635"/>
      <c r="Q92" s="504"/>
    </row>
    <row r="93" spans="1:17" ht="15.75" thickBot="1">
      <c r="A93" s="534"/>
      <c r="B93" s="543"/>
      <c r="C93" s="536"/>
      <c r="D93" s="536"/>
      <c r="E93" s="536"/>
      <c r="F93" s="536"/>
      <c r="G93" s="536"/>
      <c r="H93" s="536"/>
      <c r="I93" s="536"/>
      <c r="J93" s="536"/>
      <c r="K93" s="536"/>
      <c r="L93" s="536"/>
      <c r="M93" s="537"/>
      <c r="N93" s="1155"/>
      <c r="O93" s="1155"/>
      <c r="P93" s="2635"/>
      <c r="Q93" s="504"/>
    </row>
    <row r="94" spans="1:17" ht="15.75" thickTop="1">
      <c r="A94" s="534"/>
      <c r="B94" s="538">
        <f>B29</f>
        <v>111</v>
      </c>
      <c r="C94" s="554"/>
      <c r="D94" s="554"/>
      <c r="E94" s="554"/>
      <c r="F94" s="554"/>
      <c r="G94" s="583"/>
      <c r="H94" s="583"/>
      <c r="I94" s="583"/>
      <c r="J94" s="583"/>
      <c r="K94" s="584"/>
      <c r="L94" s="585"/>
      <c r="M94" s="586"/>
      <c r="N94" s="1154"/>
      <c r="O94" s="1154"/>
      <c r="P94" s="2635"/>
      <c r="Q94" s="504"/>
    </row>
    <row r="95" spans="1:17" ht="15.75" thickBot="1">
      <c r="A95" s="534"/>
      <c r="B95" s="543"/>
      <c r="C95" s="560"/>
      <c r="D95" s="536"/>
      <c r="E95" s="536"/>
      <c r="F95" s="536"/>
      <c r="G95" s="536"/>
      <c r="H95" s="536"/>
      <c r="I95" s="536"/>
      <c r="J95" s="536"/>
      <c r="K95" s="536"/>
      <c r="L95" s="536"/>
      <c r="M95" s="537"/>
      <c r="N95" s="1155"/>
      <c r="O95" s="1155"/>
      <c r="P95" s="2635"/>
      <c r="Q95" s="504"/>
    </row>
    <row r="96" spans="1:17" ht="15.75" thickTop="1">
      <c r="A96" s="534"/>
      <c r="B96" s="538">
        <f>B30</f>
        <v>111</v>
      </c>
      <c r="C96" s="554"/>
      <c r="D96" s="554"/>
      <c r="E96" s="554"/>
      <c r="F96" s="554"/>
      <c r="G96" s="583"/>
      <c r="H96" s="583"/>
      <c r="I96" s="583"/>
      <c r="J96" s="583"/>
      <c r="K96" s="584"/>
      <c r="L96" s="585"/>
      <c r="M96" s="586"/>
      <c r="N96" s="1154"/>
      <c r="O96" s="1154"/>
      <c r="P96" s="2635"/>
      <c r="Q96" s="504"/>
    </row>
    <row r="97" spans="1:17" ht="15.75" thickBot="1">
      <c r="A97" s="534"/>
      <c r="B97" s="543"/>
      <c r="C97" s="560"/>
      <c r="D97" s="536"/>
      <c r="E97" s="536"/>
      <c r="F97" s="536"/>
      <c r="G97" s="536"/>
      <c r="H97" s="536"/>
      <c r="I97" s="536"/>
      <c r="J97" s="536"/>
      <c r="K97" s="536"/>
      <c r="L97" s="536"/>
      <c r="M97" s="537"/>
      <c r="N97" s="1155"/>
      <c r="O97" s="1155"/>
      <c r="P97" s="2635"/>
      <c r="Q97" s="504"/>
    </row>
    <row r="98" spans="1:17" ht="15.75" thickTop="1">
      <c r="A98" s="534"/>
      <c r="B98" s="546">
        <f>B31</f>
        <v>111</v>
      </c>
      <c r="C98" s="554"/>
      <c r="D98" s="554"/>
      <c r="E98" s="554"/>
      <c r="F98" s="554"/>
      <c r="G98" s="587"/>
      <c r="H98" s="587"/>
      <c r="I98" s="587"/>
      <c r="J98" s="587"/>
      <c r="K98" s="588"/>
      <c r="L98" s="589"/>
      <c r="M98" s="590"/>
      <c r="N98" s="1154"/>
      <c r="O98" s="1154"/>
      <c r="P98" s="2635"/>
      <c r="Q98" s="504"/>
    </row>
    <row r="99" spans="1:17" ht="15.75" thickBot="1">
      <c r="A99" s="2641"/>
      <c r="B99" s="569"/>
      <c r="C99" s="570"/>
      <c r="D99" s="570"/>
      <c r="E99" s="570"/>
      <c r="F99" s="570"/>
      <c r="G99" s="591"/>
      <c r="H99" s="591"/>
      <c r="I99" s="591"/>
      <c r="J99" s="591"/>
      <c r="K99" s="591"/>
      <c r="L99" s="591"/>
      <c r="M99" s="592"/>
      <c r="N99" s="1155"/>
      <c r="O99" s="1155"/>
      <c r="P99" s="2635"/>
      <c r="Q99" s="504"/>
    </row>
    <row r="100" spans="1:17">
      <c r="A100" s="527" t="s">
        <v>2567</v>
      </c>
      <c r="B100" s="528" t="s">
        <v>2685</v>
      </c>
      <c r="C100" s="530"/>
      <c r="D100" s="530"/>
      <c r="E100" s="530"/>
      <c r="F100" s="530"/>
      <c r="G100" s="530"/>
      <c r="H100" s="530"/>
      <c r="I100" s="530"/>
      <c r="J100" s="530"/>
      <c r="K100" s="531"/>
      <c r="L100" s="532"/>
      <c r="M100" s="533"/>
      <c r="N100" s="1154"/>
      <c r="O100" s="1154"/>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5"/>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5"/>
      <c r="Q102" s="504"/>
    </row>
    <row r="103" spans="1:17" s="471" customFormat="1">
      <c r="A103" s="593"/>
      <c r="B103" s="594"/>
      <c r="C103" s="595"/>
      <c r="D103" s="595"/>
      <c r="E103" s="595"/>
      <c r="F103" s="595"/>
      <c r="G103" s="595"/>
      <c r="H103" s="595"/>
      <c r="I103" s="595"/>
      <c r="J103" s="596"/>
      <c r="K103" s="596"/>
      <c r="L103" s="597"/>
      <c r="M103" s="598"/>
      <c r="N103" s="1156"/>
      <c r="O103" s="1156"/>
      <c r="P103" s="2636"/>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6"/>
      <c r="Q104" s="559"/>
    </row>
    <row r="105" spans="1:17" ht="15" thickTop="1">
      <c r="A105" s="599"/>
      <c r="B105" s="538" t="s">
        <v>2618</v>
      </c>
      <c r="C105" s="554"/>
      <c r="D105" s="554"/>
      <c r="E105" s="583"/>
      <c r="F105" s="583"/>
      <c r="G105" s="583"/>
      <c r="H105" s="583"/>
      <c r="I105" s="583"/>
      <c r="J105" s="583"/>
      <c r="K105" s="584"/>
      <c r="L105" s="585"/>
      <c r="M105" s="586"/>
      <c r="N105" s="1154"/>
      <c r="O105" s="1154"/>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5"/>
      <c r="Q106" s="504"/>
    </row>
    <row r="107" spans="1:17" ht="15" thickTop="1">
      <c r="A107" s="599"/>
      <c r="B107" s="538" t="s">
        <v>2620</v>
      </c>
      <c r="C107" s="554"/>
      <c r="D107" s="554"/>
      <c r="E107" s="554"/>
      <c r="F107" s="583"/>
      <c r="G107" s="583"/>
      <c r="H107" s="583"/>
      <c r="I107" s="583"/>
      <c r="J107" s="583"/>
      <c r="K107" s="584"/>
      <c r="L107" s="585"/>
      <c r="M107" s="586"/>
      <c r="N107" s="1154"/>
      <c r="O107" s="1154"/>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5"/>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5"/>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5"/>
      <c r="Q111" s="504"/>
    </row>
    <row r="112" spans="1:17" s="471" customFormat="1" ht="15" thickTop="1">
      <c r="A112" s="593"/>
      <c r="B112" s="538" t="s">
        <v>2622</v>
      </c>
      <c r="C112" s="554"/>
      <c r="D112" s="554"/>
      <c r="E112" s="554"/>
      <c r="F112" s="554"/>
      <c r="G112" s="554"/>
      <c r="H112" s="583"/>
      <c r="I112" s="583"/>
      <c r="J112" s="583"/>
      <c r="K112" s="584"/>
      <c r="L112" s="585"/>
      <c r="M112" s="586"/>
      <c r="N112" s="1156"/>
      <c r="O112" s="1156"/>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6"/>
      <c r="Q113" s="559"/>
    </row>
    <row r="114" spans="1:17" ht="15" thickTop="1">
      <c r="A114" s="599"/>
      <c r="B114" s="538" t="s">
        <v>2686</v>
      </c>
      <c r="C114" s="554"/>
      <c r="D114" s="554"/>
      <c r="E114" s="583"/>
      <c r="F114" s="583"/>
      <c r="G114" s="583"/>
      <c r="H114" s="583"/>
      <c r="I114" s="583"/>
      <c r="J114" s="583"/>
      <c r="K114" s="584"/>
      <c r="L114" s="585"/>
      <c r="M114" s="586"/>
      <c r="N114" s="1154"/>
      <c r="O114" s="1154"/>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5"/>
      <c r="Q115" s="504"/>
    </row>
    <row r="116" spans="1:17" ht="15" thickTop="1">
      <c r="A116" s="599"/>
      <c r="B116" s="538" t="s">
        <v>2687</v>
      </c>
      <c r="C116" s="554"/>
      <c r="D116" s="554"/>
      <c r="E116" s="554"/>
      <c r="F116" s="554"/>
      <c r="G116" s="554"/>
      <c r="H116" s="583"/>
      <c r="I116" s="583"/>
      <c r="J116" s="583"/>
      <c r="K116" s="584"/>
      <c r="L116" s="585"/>
      <c r="M116" s="586"/>
      <c r="N116" s="1154"/>
      <c r="O116" s="1154"/>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5"/>
      <c r="Q117" s="504"/>
    </row>
    <row r="118" spans="1:17" ht="15" thickTop="1">
      <c r="A118" s="599"/>
      <c r="B118" s="538" t="s">
        <v>2688</v>
      </c>
      <c r="C118" s="627"/>
      <c r="D118" s="627"/>
      <c r="E118" s="627"/>
      <c r="F118" s="627"/>
      <c r="G118" s="627"/>
      <c r="H118" s="555"/>
      <c r="I118" s="555"/>
      <c r="J118" s="555"/>
      <c r="K118" s="555"/>
      <c r="L118" s="556"/>
      <c r="M118" s="557"/>
      <c r="N118" s="1154"/>
      <c r="O118" s="1154"/>
      <c r="P118" s="2635"/>
      <c r="Q118" s="504"/>
    </row>
    <row r="119" spans="1:17" ht="15.75" thickBot="1">
      <c r="A119" s="534"/>
      <c r="B119" s="543"/>
      <c r="C119" s="560"/>
      <c r="D119" s="536"/>
      <c r="E119" s="536"/>
      <c r="F119" s="536"/>
      <c r="G119" s="536"/>
      <c r="H119" s="536"/>
      <c r="I119" s="536"/>
      <c r="J119" s="536"/>
      <c r="K119" s="536"/>
      <c r="L119" s="536"/>
      <c r="M119" s="537"/>
      <c r="N119" s="1155"/>
      <c r="O119" s="1155"/>
      <c r="P119" s="2635"/>
      <c r="Q119" s="504"/>
    </row>
    <row r="120" spans="1:17" s="471" customFormat="1" ht="15" thickTop="1">
      <c r="A120" s="593"/>
      <c r="B120" s="538" t="s">
        <v>2689</v>
      </c>
      <c r="C120" s="583"/>
      <c r="D120" s="583"/>
      <c r="E120" s="583"/>
      <c r="F120" s="583"/>
      <c r="G120" s="555"/>
      <c r="H120" s="555"/>
      <c r="I120" s="555"/>
      <c r="J120" s="555"/>
      <c r="K120" s="555"/>
      <c r="L120" s="556"/>
      <c r="M120" s="557"/>
      <c r="N120" s="1156"/>
      <c r="O120" s="1156"/>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6"/>
      <c r="Q121" s="559"/>
    </row>
    <row r="122" spans="1:17" ht="15" thickTop="1">
      <c r="A122" s="599"/>
      <c r="B122" s="538" t="s">
        <v>2624</v>
      </c>
      <c r="C122" s="554"/>
      <c r="D122" s="554"/>
      <c r="E122" s="554"/>
      <c r="F122" s="583"/>
      <c r="G122" s="583"/>
      <c r="H122" s="583"/>
      <c r="I122" s="583"/>
      <c r="J122" s="583"/>
      <c r="K122" s="584"/>
      <c r="L122" s="585"/>
      <c r="M122" s="586"/>
      <c r="N122" s="1154"/>
      <c r="O122" s="1154"/>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5"/>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5"/>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6"/>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6"/>
      <c r="Q127" s="559"/>
    </row>
    <row r="128" spans="1:17" ht="15" thickTop="1">
      <c r="A128" s="599"/>
      <c r="B128" s="538">
        <f>B45</f>
        <v>111</v>
      </c>
      <c r="C128" s="554"/>
      <c r="D128" s="554"/>
      <c r="E128" s="554"/>
      <c r="F128" s="554"/>
      <c r="G128" s="583"/>
      <c r="H128" s="583"/>
      <c r="I128" s="583"/>
      <c r="J128" s="583"/>
      <c r="K128" s="584"/>
      <c r="L128" s="585"/>
      <c r="M128" s="586"/>
      <c r="N128" s="1154"/>
      <c r="O128" s="1154"/>
      <c r="P128" s="2635"/>
      <c r="Q128" s="504"/>
    </row>
    <row r="129" spans="1:17" ht="15.75" thickBot="1">
      <c r="A129" s="534"/>
      <c r="B129" s="543"/>
      <c r="C129" s="560"/>
      <c r="D129" s="536"/>
      <c r="E129" s="536"/>
      <c r="F129" s="536"/>
      <c r="G129" s="536"/>
      <c r="H129" s="536"/>
      <c r="I129" s="536"/>
      <c r="J129" s="536"/>
      <c r="K129" s="536"/>
      <c r="L129" s="536"/>
      <c r="M129" s="537"/>
      <c r="N129" s="1155"/>
      <c r="O129" s="1155"/>
      <c r="P129" s="2635"/>
      <c r="Q129" s="504"/>
    </row>
    <row r="130" spans="1:17" ht="15" thickTop="1">
      <c r="A130" s="599"/>
      <c r="B130" s="546">
        <f>B46</f>
        <v>111</v>
      </c>
      <c r="C130" s="554"/>
      <c r="D130" s="554"/>
      <c r="E130" s="554"/>
      <c r="F130" s="554"/>
      <c r="G130" s="587"/>
      <c r="H130" s="587"/>
      <c r="I130" s="587"/>
      <c r="J130" s="587"/>
      <c r="K130" s="523"/>
      <c r="L130" s="524"/>
      <c r="M130" s="590"/>
      <c r="N130" s="1154"/>
      <c r="O130" s="1154"/>
      <c r="P130" s="2635"/>
      <c r="Q130" s="504"/>
    </row>
    <row r="131" spans="1:17" ht="15.75" thickBot="1">
      <c r="A131" s="2641"/>
      <c r="B131" s="569"/>
      <c r="C131" s="570"/>
      <c r="D131" s="570"/>
      <c r="E131" s="570"/>
      <c r="F131" s="570"/>
      <c r="G131" s="591"/>
      <c r="H131" s="591"/>
      <c r="I131" s="591"/>
      <c r="J131" s="591"/>
      <c r="K131" s="591"/>
      <c r="L131" s="591"/>
      <c r="M131" s="592"/>
      <c r="N131" s="1155"/>
      <c r="O131" s="1155"/>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1" sqref="I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t="s">
        <v>3051</v>
      </c>
      <c r="C1" s="242"/>
      <c r="D1" s="242"/>
      <c r="E1" s="242"/>
      <c r="F1" s="242"/>
      <c r="G1" s="1381">
        <f>MATCH(B1,'数据-取费表'!A6:A16,0)+5</f>
        <v>8</v>
      </c>
    </row>
    <row r="2" spans="1:9" s="244" customFormat="1" ht="18" customHeight="1">
      <c r="A2" s="245" t="s">
        <v>1394</v>
      </c>
      <c r="B2" s="246">
        <f ca="1">IF(D2="——",C52,C52-E2)</f>
        <v>17602</v>
      </c>
      <c r="C2" s="243" t="s">
        <v>2332</v>
      </c>
      <c r="D2" s="2552" t="s">
        <v>70</v>
      </c>
      <c r="E2" s="1442" t="e">
        <f ca="1">SUMIF(INDIRECT("'"&amp;G2&amp;"'"&amp;"!A:A"),"承租人权益价值",INDIRECT("'"&amp;G2&amp;"'"&amp;"!c:c"))</f>
        <v>#REF!</v>
      </c>
      <c r="F2" s="2553" t="s">
        <v>2332</v>
      </c>
      <c r="G2" s="2554"/>
    </row>
    <row r="3" spans="1:9" s="244" customFormat="1" ht="18" customHeight="1" thickBot="1">
      <c r="A3" s="247" t="s">
        <v>1395</v>
      </c>
      <c r="B3" s="248">
        <f ca="1">ROUND(B2*10000/(IF(B1="",'数据-汇总表'!E3,INDIRECT("'数据-取费表'!k"&amp;$G$1))),0)</f>
        <v>42621</v>
      </c>
      <c r="C3" s="243" t="s">
        <v>2334</v>
      </c>
      <c r="D3" s="243"/>
      <c r="E3" s="243"/>
      <c r="F3" s="243"/>
      <c r="G3" s="243"/>
    </row>
    <row r="4" spans="1:9" s="252" customFormat="1" ht="15.75">
      <c r="A4" s="249" t="s">
        <v>2335</v>
      </c>
      <c r="B4" s="250"/>
      <c r="C4" s="250"/>
      <c r="D4" s="250"/>
      <c r="E4" s="250"/>
      <c r="F4" s="250"/>
      <c r="G4" s="251"/>
    </row>
    <row r="5" spans="1:9" s="258" customFormat="1" ht="13.5" customHeight="1">
      <c r="A5" s="299" t="s">
        <v>782</v>
      </c>
      <c r="B5" s="254" t="s">
        <v>2337</v>
      </c>
      <c r="C5" s="255">
        <f ca="1">C6+C7+C8</f>
        <v>11346</v>
      </c>
      <c r="D5" s="255" t="s">
        <v>2338</v>
      </c>
      <c r="E5" s="256" t="s">
        <v>2339</v>
      </c>
      <c r="F5" s="256" t="s">
        <v>2340</v>
      </c>
      <c r="G5" s="257"/>
    </row>
    <row r="6" spans="1:9" s="258" customFormat="1" ht="13.5" customHeight="1">
      <c r="A6" s="951" t="s">
        <v>791</v>
      </c>
      <c r="B6" s="259" t="s">
        <v>2342</v>
      </c>
      <c r="C6" s="260">
        <f ca="1">基准地价修正!E33</f>
        <v>10930</v>
      </c>
      <c r="D6" s="261"/>
      <c r="E6" s="262"/>
      <c r="F6" s="262"/>
      <c r="G6" s="263"/>
    </row>
    <row r="7" spans="1:9" s="258" customFormat="1" ht="13.5" customHeight="1">
      <c r="A7" s="951" t="s">
        <v>792</v>
      </c>
      <c r="B7" s="259" t="s">
        <v>2344</v>
      </c>
      <c r="C7" s="264">
        <f ca="1">ROUND(C6*F7,0)</f>
        <v>333</v>
      </c>
      <c r="D7" s="264"/>
      <c r="E7" s="262"/>
      <c r="F7" s="265">
        <f>'数据-取费表'!B48+'数据-取费表'!B49</f>
        <v>3.0499999999999999E-2</v>
      </c>
      <c r="G7" s="263"/>
    </row>
    <row r="8" spans="1:9" s="267" customFormat="1">
      <c r="A8" s="951" t="s">
        <v>793</v>
      </c>
      <c r="B8" s="259" t="s">
        <v>2346</v>
      </c>
      <c r="C8" s="264">
        <f ca="1">IF(G8="已包含在土地购买价格中","0",IF(B1="",'数据-取费表'!B29,IF(G9="全部缴纳",C9+C10,H9)))</f>
        <v>83</v>
      </c>
      <c r="D8" s="266"/>
      <c r="E8" s="264"/>
      <c r="F8" s="265"/>
      <c r="G8" s="2555" t="s">
        <v>3175</v>
      </c>
    </row>
    <row r="9" spans="1:9" s="258" customFormat="1" ht="13.5" customHeight="1">
      <c r="A9" s="952" t="s">
        <v>800</v>
      </c>
      <c r="B9" s="268" t="s">
        <v>2347</v>
      </c>
      <c r="C9" s="269">
        <f ca="1">ROUND(D9*E9/10000,0)</f>
        <v>0</v>
      </c>
      <c r="D9" s="1034">
        <f ca="1">IF(B1="",'数据-汇总表'!E5,IF(INDIRECT("'数据-取费表'!c"&amp;$G$1)="住宅",INDIRECT("'数据-取费表'!k"&amp;$G$1),0))</f>
        <v>0</v>
      </c>
      <c r="E9" s="269">
        <f>'数据-取费表'!B27</f>
        <v>0</v>
      </c>
      <c r="F9" s="265"/>
      <c r="G9" s="2556" t="s">
        <v>3102</v>
      </c>
      <c r="H9" s="1392">
        <v>83</v>
      </c>
      <c r="I9" s="2557" t="s">
        <v>2348</v>
      </c>
    </row>
    <row r="10" spans="1:9" s="258" customFormat="1" ht="13.5" customHeight="1">
      <c r="A10" s="952" t="s">
        <v>801</v>
      </c>
      <c r="B10" s="268" t="s">
        <v>2349</v>
      </c>
      <c r="C10" s="269">
        <f ca="1">ROUND(D10*E10/10000,0)</f>
        <v>83</v>
      </c>
      <c r="D10" s="1034">
        <f ca="1">IF(B1="",'数据-汇总表'!E6,IF(INDIRECT("'数据-取费表'!c"&amp;$G$1)="住宅",INDIRECT("'数据-取费表'!s"&amp;$G$1),INDIRECT("'数据-取费表'!k"&amp;$G$1)+INDIRECT("'数据-取费表'!s"&amp;$G$1)))</f>
        <v>4129.8999999999996</v>
      </c>
      <c r="E10" s="269">
        <f>'数据-取费表'!B28</f>
        <v>200</v>
      </c>
      <c r="F10" s="265"/>
      <c r="G10" s="270"/>
    </row>
    <row r="11" spans="1:9" s="258" customFormat="1" ht="13.5" hidden="1" customHeight="1">
      <c r="A11" s="271" t="s">
        <v>7</v>
      </c>
      <c r="B11" s="259" t="s">
        <v>2350</v>
      </c>
      <c r="C11" s="255"/>
      <c r="D11" s="1036"/>
      <c r="E11" s="262"/>
      <c r="F11" s="262"/>
      <c r="G11" s="263"/>
    </row>
    <row r="12" spans="1:9" s="258" customFormat="1" ht="13.5" hidden="1" customHeight="1">
      <c r="A12" s="271" t="s">
        <v>8</v>
      </c>
      <c r="B12" s="259" t="s">
        <v>2351</v>
      </c>
      <c r="C12" s="255">
        <v>0</v>
      </c>
      <c r="D12" s="1036"/>
      <c r="E12" s="272"/>
      <c r="F12" s="265">
        <v>3.0499999999999999E-2</v>
      </c>
      <c r="G12" s="263"/>
    </row>
    <row r="13" spans="1:9" s="258" customFormat="1" ht="13.5" hidden="1" customHeight="1">
      <c r="A13" s="271" t="s">
        <v>9</v>
      </c>
      <c r="B13" s="259" t="s">
        <v>2352</v>
      </c>
      <c r="C13" s="255"/>
      <c r="D13" s="1036"/>
      <c r="E13" s="262"/>
      <c r="F13" s="262"/>
      <c r="G13" s="263"/>
    </row>
    <row r="14" spans="1:9" s="258" customFormat="1" ht="13.5" hidden="1" customHeight="1">
      <c r="A14" s="271" t="s">
        <v>10</v>
      </c>
      <c r="B14" s="259" t="s">
        <v>2346</v>
      </c>
      <c r="C14" s="255"/>
      <c r="D14" s="1036"/>
      <c r="E14" s="262"/>
      <c r="F14" s="262"/>
      <c r="G14" s="263" t="s">
        <v>2354</v>
      </c>
    </row>
    <row r="15" spans="1:9" s="258" customFormat="1" ht="13.5" hidden="1" customHeight="1">
      <c r="A15" s="271" t="s">
        <v>11</v>
      </c>
      <c r="B15" s="259" t="s">
        <v>2355</v>
      </c>
      <c r="C15" s="264"/>
      <c r="D15" s="1036"/>
      <c r="E15" s="262"/>
      <c r="F15" s="262"/>
      <c r="G15" s="263" t="s">
        <v>2356</v>
      </c>
    </row>
    <row r="16" spans="1:9" s="258" customFormat="1" ht="13.5" hidden="1" customHeight="1">
      <c r="A16" s="271" t="s">
        <v>12</v>
      </c>
      <c r="B16" s="259" t="s">
        <v>2346</v>
      </c>
      <c r="C16" s="264"/>
      <c r="D16" s="1036"/>
      <c r="E16" s="262"/>
      <c r="F16" s="262"/>
      <c r="G16" s="263"/>
    </row>
    <row r="17" spans="1:7" s="258" customFormat="1" ht="13.5" hidden="1" customHeight="1">
      <c r="A17" s="271" t="s">
        <v>13</v>
      </c>
      <c r="B17" s="259" t="s">
        <v>2357</v>
      </c>
      <c r="C17" s="273"/>
      <c r="D17" s="1037"/>
      <c r="E17" s="273"/>
      <c r="F17" s="273"/>
      <c r="G17" s="263" t="s">
        <v>2356</v>
      </c>
    </row>
    <row r="18" spans="1:7" s="258" customFormat="1" ht="13.5" hidden="1" customHeight="1">
      <c r="A18" s="271" t="s">
        <v>14</v>
      </c>
      <c r="B18" s="259" t="s">
        <v>2358</v>
      </c>
      <c r="C18" s="264">
        <v>0</v>
      </c>
      <c r="D18" s="1036"/>
      <c r="E18" s="262"/>
      <c r="F18" s="265">
        <v>3.0499999999999999E-2</v>
      </c>
      <c r="G18" s="263" t="s">
        <v>2359</v>
      </c>
    </row>
    <row r="19" spans="1:7" s="267" customFormat="1" ht="13.5" customHeight="1">
      <c r="A19" s="299" t="s">
        <v>2360</v>
      </c>
      <c r="B19" s="254" t="s">
        <v>2361</v>
      </c>
      <c r="C19" s="255" t="str">
        <f>IF(G19="已包含在土地取得成本中","0",ROUND(D19*E19/10000,0))</f>
        <v>0</v>
      </c>
      <c r="D19" s="1038">
        <f ca="1">D9+D10</f>
        <v>4129.8999999999996</v>
      </c>
      <c r="E19" s="255">
        <f>'数据-取费表'!B31</f>
        <v>200</v>
      </c>
      <c r="F19" s="275"/>
      <c r="G19" s="2555" t="s">
        <v>3176</v>
      </c>
    </row>
    <row r="20" spans="1:7" s="258" customFormat="1" ht="13.5" customHeight="1">
      <c r="A20" s="299" t="s">
        <v>2362</v>
      </c>
      <c r="B20" s="254" t="s">
        <v>2363</v>
      </c>
      <c r="C20" s="276">
        <f ca="1">ROUND((C5+C19)*F20,0)</f>
        <v>227</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1114</v>
      </c>
      <c r="D22" s="279">
        <f ca="1">C26</f>
        <v>1E-3</v>
      </c>
      <c r="E22" s="280" t="s">
        <v>2367</v>
      </c>
      <c r="F22" s="281">
        <f ca="1">'数据-取费表'!B40</f>
        <v>4.7500000000000001E-2</v>
      </c>
      <c r="G22" s="278" t="str">
        <f>IF('数据-取费表'!B22&lt;=1,"单利计息","复利计息")</f>
        <v>复利计息</v>
      </c>
    </row>
    <row r="23" spans="1:7" s="258" customFormat="1" ht="13.5" customHeight="1">
      <c r="A23" s="953" t="s">
        <v>791</v>
      </c>
      <c r="B23" s="259" t="s">
        <v>2372</v>
      </c>
      <c r="C23" s="1357">
        <f ca="1">ROUND(IF('数据-取费表'!B22&lt;=1,C5*F22*'数据-取费表'!B23,C5*(POWER((1+F22),'数据-取费表'!B23)-1)),0)</f>
        <v>1103</v>
      </c>
      <c r="D23" s="282"/>
      <c r="E23" s="282"/>
      <c r="F23" s="283"/>
      <c r="G23" s="284" t="s">
        <v>2373</v>
      </c>
    </row>
    <row r="24" spans="1:7" s="258" customFormat="1" ht="13.5" customHeight="1">
      <c r="A24" s="953" t="s">
        <v>792</v>
      </c>
      <c r="B24" s="259" t="s">
        <v>2375</v>
      </c>
      <c r="C24" s="1357">
        <f ca="1">ROUND(IF('数据-取费表'!B22&lt;=1,C19*F22*('数据-取费表'!B19/2+'数据-取费表'!B21),C19*(POWER((1+F22),('数据-取费表'!B19/2+'数据-取费表'!B21))-1)),0)</f>
        <v>0</v>
      </c>
      <c r="D24" s="282"/>
      <c r="E24" s="282"/>
      <c r="F24" s="283"/>
      <c r="G24" s="284" t="s">
        <v>2376</v>
      </c>
    </row>
    <row r="25" spans="1:7" s="258" customFormat="1" ht="24">
      <c r="A25" s="953" t="s">
        <v>793</v>
      </c>
      <c r="B25" s="259" t="s">
        <v>2378</v>
      </c>
      <c r="C25" s="1357">
        <f ca="1">ROUND(IF('数据-取费表'!B22&lt;=1,C20*F22*'数据-取费表'!B23/2,C20*(POWER((1+F22),'数据-取费表'!B23/2)-1)),0)</f>
        <v>11</v>
      </c>
      <c r="D25" s="282"/>
      <c r="E25" s="285"/>
      <c r="F25" s="283"/>
      <c r="G25" s="286" t="s">
        <v>2379</v>
      </c>
    </row>
    <row r="26" spans="1:7" s="258" customFormat="1">
      <c r="A26" s="953"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2315</v>
      </c>
      <c r="D27" s="279">
        <f ca="1">C29</f>
        <v>4.0000000000000001E-3</v>
      </c>
      <c r="E27" s="280" t="s">
        <v>2367</v>
      </c>
      <c r="F27" s="290">
        <f ca="1">IF(B1="",'数据-取费表'!Q16,INDIRECT("'数据-取费表'!q"&amp;$G$1))</f>
        <v>0.2</v>
      </c>
      <c r="G27" s="291" t="s">
        <v>2384</v>
      </c>
    </row>
    <row r="28" spans="1:7" s="258" customFormat="1" ht="13.5" customHeight="1">
      <c r="A28" s="953" t="s">
        <v>791</v>
      </c>
      <c r="B28" s="292" t="s">
        <v>2385</v>
      </c>
      <c r="C28" s="293">
        <f ca="1">ROUND((C5+C19+C20)*F27*'数据-取费表'!B21/'数据-取费表'!B20,0)</f>
        <v>2315</v>
      </c>
      <c r="D28" s="279"/>
      <c r="E28" s="280"/>
      <c r="F28" s="290"/>
      <c r="G28" s="291"/>
    </row>
    <row r="29" spans="1:7" s="258" customFormat="1" ht="13.5" customHeight="1">
      <c r="A29" s="953" t="s">
        <v>792</v>
      </c>
      <c r="B29" s="292" t="s">
        <v>2386</v>
      </c>
      <c r="C29" s="282">
        <f ca="1">ROUND(C21*F27*'数据-取费表'!B21/'数据-取费表'!B20,4)</f>
        <v>4.0000000000000001E-3</v>
      </c>
      <c r="D29" s="279"/>
      <c r="E29" s="280"/>
      <c r="F29" s="290"/>
      <c r="G29" s="291"/>
    </row>
    <row r="30" spans="1:7" s="258" customFormat="1" ht="13.5" customHeight="1">
      <c r="A30" s="299" t="s">
        <v>2387</v>
      </c>
      <c r="B30" s="254" t="s">
        <v>2388</v>
      </c>
      <c r="C30" s="279">
        <f>ROUND(F30/(1+'数据-取费表'!C42),4)</f>
        <v>5.33E-2</v>
      </c>
      <c r="D30" s="280" t="s">
        <v>2367</v>
      </c>
      <c r="E30" s="285"/>
      <c r="F30" s="281">
        <f>'数据-取费表'!B41</f>
        <v>5.6000000000000001E-2</v>
      </c>
      <c r="G30" s="278" t="s">
        <v>2389</v>
      </c>
    </row>
    <row r="31" spans="1:7" ht="16.5" customHeight="1">
      <c r="A31" s="253">
        <v>1</v>
      </c>
      <c r="B31" s="254" t="s">
        <v>2390</v>
      </c>
      <c r="C31" s="255">
        <f ca="1">ROUND((C5+C19+C20+C22+C27)/(1-C21-D22-D27-C30),0)</f>
        <v>16276</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1171</v>
      </c>
      <c r="D33" s="276"/>
      <c r="E33" s="256"/>
      <c r="F33" s="285"/>
      <c r="G33" s="278"/>
    </row>
    <row r="34" spans="1:7" s="302" customFormat="1" ht="13.5" customHeight="1">
      <c r="A34" s="953" t="s">
        <v>791</v>
      </c>
      <c r="B34" s="259" t="s">
        <v>2394</v>
      </c>
      <c r="C34" s="264">
        <f ca="1">IF(B1="",IF(F34=100%,'数据-取费表'!M16,'数据-取费表'!O16),IF(F34=100%,INDIRECT("'数据-取费表'!m"&amp;$G$1)+INDIRECT("'数据-取费表'!t"&amp;$G$1),INDIRECT("'数据-取费表'!o"&amp;$G$1)+INDIRECT("'数据-取费表'!aq"&amp;$G$1)))</f>
        <v>1032</v>
      </c>
      <c r="D34" s="261"/>
      <c r="E34" s="264"/>
      <c r="F34" s="301">
        <f ca="1">IF('数据-取费表'!B24=0,1,IF(B1="",'数据-取费表'!N16,INDIRECT("'数据-取费表'!n"&amp;$G$1)))</f>
        <v>1</v>
      </c>
      <c r="G34" s="263" t="s">
        <v>2395</v>
      </c>
    </row>
    <row r="35" spans="1:7" ht="13.5" customHeight="1">
      <c r="A35" s="953" t="s">
        <v>796</v>
      </c>
      <c r="B35" s="259" t="s">
        <v>2396</v>
      </c>
      <c r="C35" s="264">
        <f ca="1">ROUND(C34*F35,0)</f>
        <v>41</v>
      </c>
      <c r="D35" s="264"/>
      <c r="E35" s="264"/>
      <c r="F35" s="303">
        <f>'数据-取费表'!B33</f>
        <v>0.04</v>
      </c>
      <c r="G35" s="263" t="s">
        <v>2397</v>
      </c>
    </row>
    <row r="36" spans="1:7" ht="24">
      <c r="A36" s="953"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3" t="s">
        <v>798</v>
      </c>
      <c r="B37" s="259" t="s">
        <v>2400</v>
      </c>
      <c r="C37" s="293">
        <f ca="1">ROUND(E37*D37*F34/10000,0)</f>
        <v>83</v>
      </c>
      <c r="D37" s="261">
        <f ca="1">D19</f>
        <v>4129.8999999999996</v>
      </c>
      <c r="E37" s="293">
        <f>'数据-取费表'!B35</f>
        <v>200</v>
      </c>
      <c r="F37" s="303"/>
      <c r="G37" s="305" t="s">
        <v>2401</v>
      </c>
    </row>
    <row r="38" spans="1:7" ht="13.5" customHeight="1">
      <c r="A38" s="953" t="s">
        <v>799</v>
      </c>
      <c r="B38" s="259" t="s">
        <v>2402</v>
      </c>
      <c r="C38" s="264">
        <f ca="1">ROUND(C34*F38,0)</f>
        <v>15</v>
      </c>
      <c r="D38" s="264"/>
      <c r="E38" s="264"/>
      <c r="F38" s="303">
        <f>'数据-取费表'!B36</f>
        <v>1.4999999999999999E-2</v>
      </c>
      <c r="G38" s="263" t="s">
        <v>2397</v>
      </c>
    </row>
    <row r="39" spans="1:7" s="258" customFormat="1" ht="13.5" customHeight="1">
      <c r="A39" s="299" t="s">
        <v>2360</v>
      </c>
      <c r="B39" s="254" t="s">
        <v>2363</v>
      </c>
      <c r="C39" s="276">
        <f ca="1">ROUND(C33*F20,0)</f>
        <v>23</v>
      </c>
      <c r="D39" s="276"/>
      <c r="E39" s="276"/>
      <c r="F39" s="277"/>
      <c r="G39" s="278" t="s">
        <v>2405</v>
      </c>
    </row>
    <row r="40" spans="1:7" s="258" customFormat="1" ht="13.5" customHeight="1">
      <c r="A40" s="299" t="s">
        <v>2362</v>
      </c>
      <c r="B40" s="254" t="s">
        <v>2366</v>
      </c>
      <c r="C40" s="1730">
        <f>F21</f>
        <v>0.02</v>
      </c>
      <c r="D40" s="280" t="s">
        <v>2408</v>
      </c>
      <c r="E40" s="276"/>
      <c r="F40" s="277"/>
      <c r="G40" s="278" t="s">
        <v>2409</v>
      </c>
    </row>
    <row r="41" spans="1:7" s="258" customFormat="1" ht="13.5" customHeight="1">
      <c r="A41" s="299" t="s">
        <v>2365</v>
      </c>
      <c r="B41" s="254" t="s">
        <v>2370</v>
      </c>
      <c r="C41" s="276">
        <f ca="1">ROUND(SUM(C42:C43),0)</f>
        <v>57</v>
      </c>
      <c r="D41" s="279">
        <f ca="1">C44</f>
        <v>1E-3</v>
      </c>
      <c r="E41" s="280" t="s">
        <v>2408</v>
      </c>
      <c r="F41" s="281"/>
      <c r="G41" s="278" t="str">
        <f>IF('数据-取费表'!B22&lt;=1,"单利计息","复利计息")</f>
        <v>复利计息</v>
      </c>
    </row>
    <row r="42" spans="1:7" ht="13.5" customHeight="1">
      <c r="A42" s="953" t="s">
        <v>791</v>
      </c>
      <c r="B42" s="259" t="s">
        <v>2372</v>
      </c>
      <c r="C42" s="282">
        <f ca="1">ROUND(IF('数据-取费表'!B22&lt;=1,C33*F22*'数据-取费表'!B21/2,C33*(POWER((1+F22),'数据-取费表'!B21/2)-1)),0)</f>
        <v>56</v>
      </c>
      <c r="D42" s="282"/>
      <c r="E42" s="282"/>
      <c r="F42" s="283"/>
      <c r="G42" s="3226" t="s">
        <v>2413</v>
      </c>
    </row>
    <row r="43" spans="1:7" ht="13.5" customHeight="1">
      <c r="A43" s="953" t="s">
        <v>792</v>
      </c>
      <c r="B43" s="259" t="s">
        <v>2375</v>
      </c>
      <c r="C43" s="282">
        <f ca="1">ROUND(IF('数据-取费表'!B22&lt;=1,C39*F22*'数据-取费表'!B21/2,C39*(POWER((1+F22),'数据-取费表'!B21/2)-1)),0)</f>
        <v>1</v>
      </c>
      <c r="D43" s="282"/>
      <c r="E43" s="282"/>
      <c r="F43" s="283"/>
      <c r="G43" s="3227"/>
    </row>
    <row r="44" spans="1:7" ht="13.5" customHeight="1">
      <c r="A44" s="953" t="s">
        <v>793</v>
      </c>
      <c r="B44" s="259" t="s">
        <v>2378</v>
      </c>
      <c r="C44" s="282">
        <f ca="1">ROUND(IF('数据-取费表'!B22&lt;=1,C40*F22*'数据-取费表'!B21/2,C40*(POWER((1+F22),'数据-取费表'!B21/2)-1)),4)</f>
        <v>1E-3</v>
      </c>
      <c r="D44" s="282"/>
      <c r="E44" s="282"/>
      <c r="F44" s="283"/>
      <c r="G44" s="3228"/>
    </row>
    <row r="45" spans="1:7" s="258" customFormat="1" ht="13.5" customHeight="1">
      <c r="A45" s="299" t="s">
        <v>2369</v>
      </c>
      <c r="B45" s="288" t="s">
        <v>2382</v>
      </c>
      <c r="C45" s="289">
        <f ca="1">C46</f>
        <v>239</v>
      </c>
      <c r="D45" s="279">
        <f ca="1">C47</f>
        <v>4.0000000000000001E-3</v>
      </c>
      <c r="E45" s="280" t="s">
        <v>2408</v>
      </c>
      <c r="F45" s="290"/>
      <c r="G45" s="291" t="s">
        <v>2417</v>
      </c>
    </row>
    <row r="46" spans="1:7" s="258" customFormat="1" ht="13.5" customHeight="1">
      <c r="A46" s="953" t="s">
        <v>791</v>
      </c>
      <c r="B46" s="292" t="s">
        <v>2418</v>
      </c>
      <c r="C46" s="293">
        <f ca="1">ROUND((C33+C39)*F27,0)</f>
        <v>239</v>
      </c>
      <c r="D46" s="307"/>
      <c r="E46" s="280"/>
      <c r="F46" s="290"/>
      <c r="G46" s="291"/>
    </row>
    <row r="47" spans="1:7" s="258" customFormat="1" ht="13.5" customHeight="1">
      <c r="A47" s="953" t="s">
        <v>792</v>
      </c>
      <c r="B47" s="292" t="s">
        <v>2419</v>
      </c>
      <c r="C47" s="282">
        <f ca="1">ROUND(C40*F27,4)</f>
        <v>4.0000000000000001E-3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1617</v>
      </c>
      <c r="D49" s="276"/>
      <c r="E49" s="276"/>
      <c r="F49" s="308"/>
      <c r="G49" s="278" t="s">
        <v>2423</v>
      </c>
    </row>
    <row r="50" spans="1:7" s="302" customFormat="1" ht="24">
      <c r="A50" s="299" t="s">
        <v>2424</v>
      </c>
      <c r="B50" s="254" t="s">
        <v>2425</v>
      </c>
      <c r="C50" s="276"/>
      <c r="D50" s="276"/>
      <c r="E50" s="276"/>
      <c r="F50" s="308">
        <f>IF('数据-取费表'!B24=0,'数据-取费表'!N16,1)</f>
        <v>0.82</v>
      </c>
      <c r="G50" s="291" t="s">
        <v>2426</v>
      </c>
    </row>
    <row r="51" spans="1:7" ht="16.5" customHeight="1">
      <c r="A51" s="299" t="s">
        <v>2427</v>
      </c>
      <c r="B51" s="254" t="s">
        <v>2428</v>
      </c>
      <c r="C51" s="276">
        <f ca="1">ROUND(C49*F50,0)</f>
        <v>1326</v>
      </c>
      <c r="D51" s="276"/>
      <c r="E51" s="276"/>
      <c r="F51" s="308"/>
      <c r="G51" s="278" t="s">
        <v>2429</v>
      </c>
    </row>
    <row r="52" spans="1:7" s="252" customFormat="1" ht="16.5" thickBot="1">
      <c r="A52" s="309" t="s">
        <v>2430</v>
      </c>
      <c r="B52" s="310"/>
      <c r="C52" s="311">
        <f ca="1">C31+C51</f>
        <v>17602</v>
      </c>
      <c r="D52" s="310"/>
      <c r="E52" s="310"/>
      <c r="F52" s="310"/>
      <c r="G52" s="312"/>
    </row>
    <row r="55" spans="1:7" ht="15">
      <c r="B55" s="314" t="s">
        <v>2431</v>
      </c>
      <c r="C55" s="315"/>
    </row>
    <row r="56" spans="1:7">
      <c r="B56" s="317" t="s">
        <v>1514</v>
      </c>
      <c r="C56" s="319">
        <f ca="1">1-C57</f>
        <v>0.92500000000000004</v>
      </c>
    </row>
    <row r="57" spans="1:7">
      <c r="B57" s="317" t="s">
        <v>1515</v>
      </c>
      <c r="C57" s="318">
        <f ca="1">ROUND(C51/C52,3)</f>
        <v>7.4999999999999997E-2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E3" sqref="E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3051</v>
      </c>
      <c r="D1" s="1822" t="s">
        <v>70</v>
      </c>
      <c r="E1" s="1823" t="s">
        <v>1387</v>
      </c>
      <c r="F1" s="1285">
        <f ca="1">J53</f>
        <v>23.7</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9248</v>
      </c>
      <c r="C2" s="1847" t="s">
        <v>1517</v>
      </c>
      <c r="D2" s="1847"/>
      <c r="E2" s="1848"/>
      <c r="F2" s="1849"/>
      <c r="G2" s="1850"/>
      <c r="H2" s="1842"/>
      <c r="I2" s="1842"/>
      <c r="J2" s="1842"/>
      <c r="K2" s="1843"/>
      <c r="L2" s="1842"/>
      <c r="M2" s="1842"/>
    </row>
    <row r="3" spans="1:37" ht="18" customHeight="1" thickBot="1">
      <c r="A3" s="1851" t="s">
        <v>1518</v>
      </c>
      <c r="B3" s="1852">
        <f ca="1">IF(ISERROR(B2*10000/F43),0,ROUND(B2*10000/F43,0))</f>
        <v>22393</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679</v>
      </c>
      <c r="D5" s="1824" t="s">
        <v>1402</v>
      </c>
      <c r="E5" s="1295"/>
      <c r="F5" s="1296"/>
      <c r="G5" s="1853"/>
      <c r="H5" s="344">
        <v>1</v>
      </c>
      <c r="I5" s="345" t="s">
        <v>1401</v>
      </c>
      <c r="J5" s="1294">
        <f ca="1">J6+J10+J12</f>
        <v>0</v>
      </c>
      <c r="K5" s="1824" t="s">
        <v>1402</v>
      </c>
      <c r="L5" s="1295"/>
      <c r="M5" s="1296"/>
    </row>
    <row r="6" spans="1:37" ht="18" customHeight="1">
      <c r="A6" s="1293" t="s">
        <v>1035</v>
      </c>
      <c r="B6" s="3231" t="s">
        <v>1403</v>
      </c>
      <c r="C6" s="1298">
        <f ca="1">ROUND(F6*F8*F7*(1-F9)/10000,0)</f>
        <v>678</v>
      </c>
      <c r="D6" s="164" t="s">
        <v>3038</v>
      </c>
      <c r="E6" s="347" t="s">
        <v>1405</v>
      </c>
      <c r="F6" s="348">
        <f ca="1">INDIRECT("'数据-取费表'!u"&amp;$G$1)</f>
        <v>5</v>
      </c>
      <c r="G6" s="1853"/>
      <c r="H6" s="1293" t="s">
        <v>1035</v>
      </c>
      <c r="I6" s="3231" t="s">
        <v>1403</v>
      </c>
      <c r="J6" s="346">
        <f ca="1">ROUND(M6*M8*M7*(1-M9)/10000,0)</f>
        <v>0</v>
      </c>
      <c r="K6" s="164" t="s">
        <v>3037</v>
      </c>
      <c r="L6" s="347" t="s">
        <v>1405</v>
      </c>
      <c r="M6" s="348">
        <f ca="1">INDIRECT("'数据-取费表'!z"&amp;$G$1)</f>
        <v>0</v>
      </c>
    </row>
    <row r="7" spans="1:37" ht="18" customHeight="1">
      <c r="A7" s="1297"/>
      <c r="B7" s="3232"/>
      <c r="C7" s="1299"/>
      <c r="D7" s="352"/>
      <c r="E7" s="2939" t="s">
        <v>1406</v>
      </c>
      <c r="F7" s="348">
        <f ca="1">IF(INDIRECT("'数据-取费表'!ah"&amp;$G$1)="",INDIRECT("'数据-取费表'!k"&amp;$G$1),INDIRECT("'数据-取费表'!ah"&amp;$G$1))</f>
        <v>4129.8999999999996</v>
      </c>
      <c r="G7" s="1853"/>
      <c r="H7" s="349"/>
      <c r="I7" s="3232"/>
      <c r="J7" s="351"/>
      <c r="K7" s="352"/>
      <c r="L7" s="347" t="s">
        <v>1406</v>
      </c>
      <c r="M7" s="348">
        <f ca="1">F7</f>
        <v>4129.8999999999996</v>
      </c>
    </row>
    <row r="8" spans="1:37" ht="18" customHeight="1">
      <c r="A8" s="349"/>
      <c r="B8" s="3232"/>
      <c r="C8" s="351"/>
      <c r="D8" s="352"/>
      <c r="E8" s="347" t="s">
        <v>1407</v>
      </c>
      <c r="F8" s="348">
        <f ca="1">INDIRECT("'数据-取费表'!ai"&amp;$G$1)</f>
        <v>365</v>
      </c>
      <c r="G8" s="1853"/>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0.1</v>
      </c>
      <c r="G9" s="1853"/>
      <c r="H9" s="349"/>
      <c r="I9" s="323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1</v>
      </c>
      <c r="D10" s="1826" t="s">
        <v>3039</v>
      </c>
      <c r="E10" s="358" t="s">
        <v>1411</v>
      </c>
      <c r="F10" s="1368" t="s">
        <v>3082</v>
      </c>
      <c r="G10" s="1853"/>
      <c r="H10" s="1293" t="s">
        <v>1039</v>
      </c>
      <c r="I10" s="1825" t="s">
        <v>1409</v>
      </c>
      <c r="J10" s="346">
        <f ca="1">ROUND(IF(M10="押一",M6*M8*M7/12*M11,IF(M10="押二",M6*M8*M7/12*2*M11,IF(M10="押三",M6*M8*M7/12*3*M11,J11*M11)))/10000,0)</f>
        <v>0</v>
      </c>
      <c r="K10" s="1826" t="s">
        <v>3039</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1326</v>
      </c>
      <c r="D13" s="1333" t="s">
        <v>1416</v>
      </c>
      <c r="E13" s="1333" t="s">
        <v>1417</v>
      </c>
      <c r="F13" s="1334">
        <f ca="1">INDIRECT("'数据-取费表'!y"&amp;$G$1)</f>
        <v>0.82</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1032</v>
      </c>
      <c r="D14" s="2948" t="s">
        <v>1419</v>
      </c>
      <c r="E14" s="2947"/>
      <c r="F14" s="364"/>
      <c r="G14" s="1853"/>
      <c r="H14" s="1203" t="s">
        <v>1035</v>
      </c>
      <c r="I14" s="347" t="s">
        <v>1420</v>
      </c>
      <c r="J14" s="24">
        <f ca="1">C29</f>
        <v>1617</v>
      </c>
      <c r="K14" s="2938"/>
      <c r="L14" s="981"/>
      <c r="M14" s="982"/>
    </row>
    <row r="15" spans="1:37" s="1860" customFormat="1" ht="18" customHeight="1" thickBot="1">
      <c r="A15" s="1203" t="s">
        <v>1036</v>
      </c>
      <c r="B15" s="347" t="s">
        <v>1421</v>
      </c>
      <c r="C15" s="24">
        <f ca="1">ROUND(C14*F15,0)</f>
        <v>41</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40</v>
      </c>
      <c r="K16" s="1339" t="s">
        <v>1426</v>
      </c>
      <c r="L16" s="2951"/>
      <c r="M16" s="1296"/>
    </row>
    <row r="17" spans="1:37" s="1860" customFormat="1" ht="18" customHeight="1">
      <c r="A17" s="1203" t="s">
        <v>1390</v>
      </c>
      <c r="B17" s="347" t="s">
        <v>1427</v>
      </c>
      <c r="C17" s="24">
        <f ca="1">ROUND(F17*(F43+INDIRECT("'数据-取费表'!S"&amp;$G$1))/10000,0)</f>
        <v>83</v>
      </c>
      <c r="D17" s="347" t="s">
        <v>1428</v>
      </c>
      <c r="E17" s="347" t="s">
        <v>1429</v>
      </c>
      <c r="F17" s="26">
        <f>'数据-取费表'!B35</f>
        <v>200</v>
      </c>
      <c r="G17" s="1856"/>
      <c r="H17" s="1203" t="s">
        <v>1035</v>
      </c>
      <c r="I17" s="347" t="s">
        <v>1430</v>
      </c>
      <c r="J17" s="24">
        <f ca="1">ROUND(IF(项目基本情况!B11="自然人",J5*M17,J18+J19+J20),1)</f>
        <v>15.3</v>
      </c>
      <c r="K17" s="2948" t="s">
        <v>1431</v>
      </c>
      <c r="L17" s="295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15</v>
      </c>
      <c r="D18" s="347" t="s">
        <v>1422</v>
      </c>
      <c r="E18" s="347" t="s">
        <v>1423</v>
      </c>
      <c r="F18" s="367">
        <f>'数据-取费表'!B36</f>
        <v>1.4999999999999999E-2</v>
      </c>
      <c r="G18" s="1856"/>
      <c r="H18" s="1203" t="s">
        <v>1034</v>
      </c>
      <c r="I18" s="347" t="s">
        <v>1434</v>
      </c>
      <c r="J18" s="24">
        <f ca="1">ROUND(J5*M18/(1+'数据-取费表'!C42),2)</f>
        <v>0</v>
      </c>
      <c r="K18" s="295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1171</v>
      </c>
      <c r="D19" s="140" t="s">
        <v>1437</v>
      </c>
      <c r="E19" s="2936"/>
      <c r="F19" s="26"/>
      <c r="G19" s="1853"/>
      <c r="H19" s="1203" t="s">
        <v>1036</v>
      </c>
      <c r="I19" s="347" t="s">
        <v>1438</v>
      </c>
      <c r="J19" s="24">
        <f ca="1">IF(K19="按租金收入计税",ROUND(J5*M19,2),ROUND(C29*M19*0.7,2))</f>
        <v>13.58</v>
      </c>
      <c r="K19" s="1830" t="s">
        <v>1439</v>
      </c>
      <c r="L19" s="347" t="s">
        <v>1423</v>
      </c>
      <c r="M19" s="367">
        <f>IF(K19="按租金收入计税",'数据-取费表'!B51,'数据-取费表'!B50)</f>
        <v>1.2E-2</v>
      </c>
    </row>
    <row r="20" spans="1:37" s="1860" customFormat="1" ht="18" customHeight="1">
      <c r="A20" s="1203" t="s">
        <v>1039</v>
      </c>
      <c r="B20" s="347" t="s">
        <v>1440</v>
      </c>
      <c r="C20" s="24">
        <f ca="1">ROUND(C19*F20,0)</f>
        <v>23</v>
      </c>
      <c r="D20" s="369" t="s">
        <v>1441</v>
      </c>
      <c r="E20" s="347" t="s">
        <v>1423</v>
      </c>
      <c r="F20" s="367">
        <f>'数据-取费表'!B37</f>
        <v>0.02</v>
      </c>
      <c r="G20" s="1856"/>
      <c r="H20" s="1203" t="s">
        <v>1389</v>
      </c>
      <c r="I20" s="164" t="s">
        <v>1442</v>
      </c>
      <c r="J20" s="25">
        <f ca="1">ROUND(M20*M21/10000,2)</f>
        <v>1.74</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580.22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36"/>
      <c r="F22" s="26"/>
      <c r="G22" s="1853"/>
      <c r="H22" s="1203" t="s">
        <v>1039</v>
      </c>
      <c r="I22" s="347" t="s">
        <v>1450</v>
      </c>
      <c r="J22" s="24">
        <f ca="1">ROUND(J14*M22,1)</f>
        <v>24.3</v>
      </c>
      <c r="K22" s="295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57</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v>
      </c>
      <c r="K23" s="295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36"/>
      <c r="F25" s="26"/>
      <c r="G25" s="1853"/>
      <c r="H25" s="1331" t="s">
        <v>1031</v>
      </c>
      <c r="I25" s="1346" t="s">
        <v>1464</v>
      </c>
      <c r="J25" s="355">
        <f ca="1">J5-J16</f>
        <v>-40</v>
      </c>
      <c r="K25" s="1347" t="s">
        <v>1465</v>
      </c>
      <c r="L25" s="1348"/>
      <c r="M25" s="1349"/>
    </row>
    <row r="26" spans="1:37">
      <c r="A26" s="1203" t="s">
        <v>1034</v>
      </c>
      <c r="B26" s="347" t="s">
        <v>1466</v>
      </c>
      <c r="C26" s="24">
        <f ca="1">ROUND((C19+C20)*F26,0)</f>
        <v>239</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1617</v>
      </c>
      <c r="D29" s="1344"/>
      <c r="E29" s="1342"/>
      <c r="F29" s="1345"/>
      <c r="G29" s="1856"/>
      <c r="H29" s="380" t="s">
        <v>1033</v>
      </c>
      <c r="I29" s="381" t="s">
        <v>1480</v>
      </c>
      <c r="J29" s="382">
        <f ca="1">ROUND(J26/(1+F40)^F41,0)</f>
        <v>0</v>
      </c>
      <c r="K29" s="383" t="s">
        <v>1481</v>
      </c>
      <c r="L29" s="384"/>
      <c r="M29" s="385">
        <f ca="1">INDIRECT("'数据-取费表'!k"&amp;$G$1)</f>
        <v>4129.8999999999996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91</v>
      </c>
      <c r="D30" s="1339" t="s">
        <v>1426</v>
      </c>
      <c r="E30" s="2951"/>
      <c r="F30" s="1296"/>
      <c r="G30" s="1853"/>
      <c r="H30" s="745"/>
      <c r="I30" s="746"/>
      <c r="J30" s="747"/>
      <c r="K30" s="748"/>
      <c r="L30" s="749"/>
      <c r="M30" s="750"/>
    </row>
    <row r="31" spans="1:37" ht="18" customHeight="1">
      <c r="A31" s="1203" t="s">
        <v>1035</v>
      </c>
      <c r="B31" s="347" t="s">
        <v>1430</v>
      </c>
      <c r="C31" s="24">
        <f ca="1">ROUND(IF(项目基本情况!B11="自然人",C5*F31,C32+C33+C34),1)</f>
        <v>51.5</v>
      </c>
      <c r="D31" s="2948" t="s">
        <v>1431</v>
      </c>
      <c r="E31" s="295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36.21</v>
      </c>
      <c r="D32" s="295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13.58</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1.74</v>
      </c>
      <c r="D34" s="370" t="s">
        <v>1443</v>
      </c>
      <c r="E34" s="347" t="s">
        <v>1444</v>
      </c>
      <c r="F34" s="371">
        <f>'数据-取费表'!B52</f>
        <v>30</v>
      </c>
      <c r="G34" s="1853"/>
      <c r="H34" s="745"/>
      <c r="I34" s="1862"/>
      <c r="J34" s="1863"/>
      <c r="K34" s="1865"/>
      <c r="L34" s="1866"/>
      <c r="M34" s="1866"/>
    </row>
    <row r="35" spans="1:18" ht="18" customHeight="1">
      <c r="A35" s="1355"/>
      <c r="B35" s="1353"/>
      <c r="C35" s="29"/>
      <c r="D35" s="373"/>
      <c r="E35" s="347" t="s">
        <v>1448</v>
      </c>
      <c r="F35" s="348">
        <f ca="1">INDIRECT("'数据-取费表'!r"&amp;$G$1)</f>
        <v>580.22</v>
      </c>
      <c r="G35" s="1853"/>
      <c r="H35" s="745"/>
      <c r="I35" s="1862"/>
      <c r="J35" s="1863"/>
      <c r="K35" s="1864"/>
      <c r="L35" s="1861"/>
      <c r="M35" s="1861"/>
    </row>
    <row r="36" spans="1:18" ht="18" customHeight="1">
      <c r="A36" s="1354" t="s">
        <v>1039</v>
      </c>
      <c r="B36" s="347" t="s">
        <v>1450</v>
      </c>
      <c r="C36" s="24">
        <f ca="1">ROUND(C29*F36,1)</f>
        <v>24.3</v>
      </c>
      <c r="D36" s="2950"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2</v>
      </c>
      <c r="D37" s="2950" t="s">
        <v>1455</v>
      </c>
      <c r="E37" s="347" t="s">
        <v>1456</v>
      </c>
      <c r="F37" s="376">
        <f ca="1">INDIRECT("'数据-取费表'!Al"&amp;$G$1)</f>
        <v>1.5E-3</v>
      </c>
      <c r="G37" s="1853"/>
      <c r="H37" s="1861"/>
      <c r="I37" s="1862"/>
      <c r="J37" s="1863"/>
      <c r="K37" s="751"/>
      <c r="L37" s="1861"/>
      <c r="M37" s="1861"/>
    </row>
    <row r="38" spans="1:18" ht="18" customHeight="1" thickBot="1">
      <c r="A38" s="1341" t="s">
        <v>1392</v>
      </c>
      <c r="B38" s="1342" t="s">
        <v>1440</v>
      </c>
      <c r="C38" s="1343">
        <f ca="1">ROUND(C5*F38,1)</f>
        <v>13.6</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1464</v>
      </c>
      <c r="C39" s="355">
        <f ca="1">C5-C30</f>
        <v>588</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9248</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23.7</v>
      </c>
      <c r="G41" s="1853"/>
      <c r="H41" s="732"/>
      <c r="I41" s="1862"/>
      <c r="J41" s="1863"/>
      <c r="K41" s="751"/>
      <c r="L41" s="732"/>
      <c r="M41" s="732"/>
    </row>
    <row r="42" spans="1:18" ht="18" customHeight="1">
      <c r="A42" s="353"/>
      <c r="B42" s="354"/>
      <c r="C42" s="355"/>
      <c r="D42" s="373"/>
      <c r="E42" s="347" t="s">
        <v>1478</v>
      </c>
      <c r="F42" s="357">
        <f ca="1">INDIRECT("'数据-取费表'!v"&amp;$G$1)</f>
        <v>0.02</v>
      </c>
      <c r="G42" s="1853"/>
      <c r="H42" s="732"/>
      <c r="I42" s="1862"/>
      <c r="J42" s="1863"/>
      <c r="K42" s="751"/>
      <c r="L42" s="732"/>
      <c r="M42" s="732"/>
    </row>
    <row r="43" spans="1:18" ht="18" customHeight="1" thickBot="1">
      <c r="A43" s="380" t="s">
        <v>1033</v>
      </c>
      <c r="B43" s="381" t="s">
        <v>1488</v>
      </c>
      <c r="C43" s="382">
        <f ca="1">ROUND(C40*10000/F43,0)</f>
        <v>22393</v>
      </c>
      <c r="D43" s="383" t="s">
        <v>1489</v>
      </c>
      <c r="E43" s="384" t="s">
        <v>1490</v>
      </c>
      <c r="F43" s="385">
        <f ca="1">INDIRECT("'数据-取费表'!k"&amp;$G$1)</f>
        <v>4129.8999999999996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-9797</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3083</v>
      </c>
      <c r="K47" s="1884" t="s">
        <v>1528</v>
      </c>
      <c r="L47" s="1885">
        <f ca="1">INDIRECT("'数据-取费表'!d"&amp;$G$1)</f>
        <v>40</v>
      </c>
      <c r="M47" s="1840" t="str">
        <f>IF(ISNUMBER(FIND("住宅",C1)),"住宅","非住宅")</f>
        <v>非住宅</v>
      </c>
      <c r="O47" s="1886" t="s">
        <v>1040</v>
      </c>
      <c r="P47" s="1887" t="s">
        <v>1529</v>
      </c>
      <c r="Q47" s="1888">
        <f ca="1">C40+J29</f>
        <v>9248</v>
      </c>
      <c r="R47" s="1888" t="s">
        <v>1530</v>
      </c>
    </row>
    <row r="48" spans="1:18" s="1844" customFormat="1" ht="28.5" thickBot="1">
      <c r="A48" s="1362" t="s">
        <v>1135</v>
      </c>
      <c r="B48" s="345" t="s">
        <v>1401</v>
      </c>
      <c r="C48" s="2935">
        <f ca="1">C49+C53+C55</f>
        <v>0</v>
      </c>
      <c r="D48" s="1364"/>
      <c r="E48" s="1365"/>
      <c r="F48" s="1183"/>
      <c r="G48" s="792"/>
      <c r="H48" s="793"/>
      <c r="I48" s="1889" t="s">
        <v>1531</v>
      </c>
      <c r="J48" s="1890" t="s">
        <v>3084</v>
      </c>
      <c r="K48" s="1891" t="s">
        <v>1532</v>
      </c>
      <c r="L48" s="1892">
        <f ca="1">INDIRECT("'数据-取费表'!f"&amp;$G$1)</f>
        <v>23.7</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3041</v>
      </c>
      <c r="E49" s="1832" t="s">
        <v>1492</v>
      </c>
      <c r="F49" s="1283"/>
      <c r="G49" s="1893"/>
      <c r="H49" s="793"/>
      <c r="I49" s="1889" t="s">
        <v>1535</v>
      </c>
      <c r="J49" s="1894">
        <v>2007</v>
      </c>
      <c r="K49" s="1891" t="s">
        <v>1536</v>
      </c>
      <c r="L49" s="1895"/>
      <c r="O49" s="1896" t="s">
        <v>1042</v>
      </c>
      <c r="P49" s="1887" t="s">
        <v>1537</v>
      </c>
      <c r="Q49" s="1888">
        <f ca="1">C29</f>
        <v>1617</v>
      </c>
      <c r="R49" s="1888" t="s">
        <v>1530</v>
      </c>
    </row>
    <row r="50" spans="1:18" s="1844" customFormat="1" ht="13.5" thickBot="1">
      <c r="A50" s="1197"/>
      <c r="B50" s="1200"/>
      <c r="C50" s="1370"/>
      <c r="D50" s="1174"/>
      <c r="E50" s="1279" t="s">
        <v>1406</v>
      </c>
      <c r="F50" s="1280">
        <f ca="1">F7</f>
        <v>4129.8999999999996</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49</v>
      </c>
      <c r="K51" s="1902" t="s">
        <v>1542</v>
      </c>
      <c r="L51" s="1903">
        <f ca="1">ROUND(-PV(INDIRECT("'数据-取费表'!h"&amp;$G$1),L48,(C39-C13*C76),0),0)</f>
        <v>6606</v>
      </c>
      <c r="M51" s="1904"/>
      <c r="O51" s="1896" t="s">
        <v>1044</v>
      </c>
      <c r="P51" s="1887" t="s">
        <v>1543</v>
      </c>
      <c r="Q51" s="1899">
        <f>J52</f>
        <v>8.5000000000000006E-2</v>
      </c>
      <c r="R51" s="1888"/>
    </row>
    <row r="52" spans="1:18" s="1844" customFormat="1" ht="13.5" thickBot="1">
      <c r="A52" s="1198"/>
      <c r="B52" s="1200"/>
      <c r="C52" s="1201"/>
      <c r="D52" s="1174"/>
      <c r="E52" s="1202" t="s">
        <v>1408</v>
      </c>
      <c r="F52" s="1277"/>
      <c r="I52" s="1905" t="s">
        <v>1544</v>
      </c>
      <c r="J52" s="1906">
        <v>8.5000000000000006E-2</v>
      </c>
      <c r="K52" s="1905" t="s">
        <v>1545</v>
      </c>
      <c r="L52" s="1906"/>
      <c r="O52" s="1896" t="s">
        <v>1045</v>
      </c>
      <c r="P52" s="1887" t="s">
        <v>1546</v>
      </c>
      <c r="Q52" s="1888">
        <f ca="1">J53</f>
        <v>23.7</v>
      </c>
      <c r="R52" s="1888" t="s">
        <v>1547</v>
      </c>
    </row>
    <row r="53" spans="1:18" s="1844" customFormat="1" ht="24.75" thickBot="1">
      <c r="A53" s="1407" t="s">
        <v>1137</v>
      </c>
      <c r="B53" s="1833" t="s">
        <v>1409</v>
      </c>
      <c r="C53" s="361">
        <f ca="1">ROUND(IF(F53="押一",F49*F51*F50/12*F11,IF(F53="押二",F49*F51*F50/12*2*F11,IF(F53="押三",F49*F51*F50/12*3*F11,C54*F11)))/10000,0)</f>
        <v>0</v>
      </c>
      <c r="D53" s="1826" t="s">
        <v>3039</v>
      </c>
      <c r="E53" s="358" t="s">
        <v>1411</v>
      </c>
      <c r="F53" s="1368"/>
      <c r="I53" s="1907" t="s">
        <v>1548</v>
      </c>
      <c r="J53" s="1908">
        <f ca="1">IF(M47="住宅",J51,IF(D1="——",MIN(J51,L48),IF(D1="在建（套用方法）",MIN(J51,L48-'数据-取费表'!B24),IF(D1="土地（套用方法）",MIN(J51,L48-'数据-取费表'!B20)))))</f>
        <v>23.7</v>
      </c>
      <c r="K53" s="3229" t="s">
        <v>1549</v>
      </c>
      <c r="L53" s="3230"/>
      <c r="O53" s="1886" t="s">
        <v>1046</v>
      </c>
      <c r="P53" s="1887" t="s">
        <v>1550</v>
      </c>
      <c r="Q53" s="1888">
        <f ca="1">Q47+Q48</f>
        <v>9248</v>
      </c>
      <c r="R53" s="1888" t="s">
        <v>1047</v>
      </c>
    </row>
    <row r="54" spans="1:18" s="1844" customFormat="1" ht="13.5" thickBot="1">
      <c r="A54" s="1408"/>
      <c r="B54" s="1827" t="s">
        <v>1388</v>
      </c>
      <c r="C54" s="1180"/>
      <c r="D54" s="1826"/>
      <c r="E54" s="294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40"/>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1326</v>
      </c>
      <c r="D56" s="1916"/>
      <c r="E56" s="1917"/>
      <c r="F56" s="1909"/>
      <c r="I56" s="1918" t="s">
        <v>1555</v>
      </c>
      <c r="J56" s="1919" t="s">
        <v>3054</v>
      </c>
      <c r="K56" s="1889" t="s">
        <v>1556</v>
      </c>
      <c r="L56" s="1892" t="str">
        <f ca="1">IF(L48&lt;J51,"——",L48-J53)</f>
        <v>——</v>
      </c>
      <c r="O56" s="1886" t="s">
        <v>1040</v>
      </c>
      <c r="P56" s="1887" t="s">
        <v>1529</v>
      </c>
      <c r="Q56" s="1888">
        <f ca="1">C40+J29</f>
        <v>9248</v>
      </c>
      <c r="R56" s="1888" t="s">
        <v>1530</v>
      </c>
    </row>
    <row r="57" spans="1:18" s="1844" customFormat="1" ht="24.75" thickBot="1">
      <c r="A57" s="1920"/>
      <c r="B57" s="1171" t="s">
        <v>1479</v>
      </c>
      <c r="C57" s="282">
        <f ca="1">C29</f>
        <v>1617</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42</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15.3</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13.58</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1442</v>
      </c>
      <c r="C62" s="25">
        <f ca="1">IF(项目基本情况!B11="自然人","——",ROUND(F62*F63/10000,2))</f>
        <v>1.74</v>
      </c>
      <c r="D62" s="1186" t="s">
        <v>1498</v>
      </c>
      <c r="E62" s="1171" t="s">
        <v>1499</v>
      </c>
      <c r="F62" s="371">
        <f t="shared" si="0"/>
        <v>30</v>
      </c>
      <c r="I62" s="1931" t="s">
        <v>1571</v>
      </c>
      <c r="J62" s="1932" t="s">
        <v>1572</v>
      </c>
      <c r="K62" s="1932" t="s">
        <v>1573</v>
      </c>
      <c r="L62" s="1932" t="s">
        <v>1574</v>
      </c>
      <c r="M62" s="1933" t="s">
        <v>1575</v>
      </c>
      <c r="O62" s="1886" t="s">
        <v>1046</v>
      </c>
      <c r="P62" s="1887" t="s">
        <v>1576</v>
      </c>
      <c r="Q62" s="1888">
        <f ca="1">Q56+Q57</f>
        <v>9248</v>
      </c>
      <c r="R62" s="1888" t="s">
        <v>1047</v>
      </c>
    </row>
    <row r="63" spans="1:18" s="1844" customFormat="1" ht="13.5" thickBot="1">
      <c r="A63" s="372"/>
      <c r="B63" s="1177"/>
      <c r="C63" s="29"/>
      <c r="D63" s="1187"/>
      <c r="E63" s="1171" t="s">
        <v>1500</v>
      </c>
      <c r="F63" s="348">
        <f t="shared" ca="1" si="0"/>
        <v>580.22</v>
      </c>
      <c r="I63" s="1931" t="s">
        <v>1577</v>
      </c>
      <c r="J63" s="1932">
        <v>70</v>
      </c>
      <c r="K63" s="1932">
        <v>50</v>
      </c>
      <c r="L63" s="1932">
        <v>80</v>
      </c>
      <c r="M63" s="1934">
        <v>0.02</v>
      </c>
      <c r="O63" s="1871" t="s">
        <v>1578</v>
      </c>
      <c r="P63" s="1841"/>
      <c r="Q63" s="1841"/>
      <c r="R63" s="1841"/>
    </row>
    <row r="64" spans="1:18" s="1844" customFormat="1" ht="13.5" thickBot="1">
      <c r="A64" s="1203" t="s">
        <v>1501</v>
      </c>
      <c r="B64" s="1171" t="s">
        <v>1450</v>
      </c>
      <c r="C64" s="24">
        <f ca="1">ROUND(C57*F64,1)</f>
        <v>24.3</v>
      </c>
      <c r="D64" s="1185" t="s">
        <v>1483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2</v>
      </c>
      <c r="D65" s="1185" t="s">
        <v>1455</v>
      </c>
      <c r="E65" s="1171" t="s">
        <v>1456</v>
      </c>
      <c r="F65" s="376">
        <f t="shared" ca="1" si="0"/>
        <v>1.5E-3</v>
      </c>
      <c r="I65" s="1931" t="s">
        <v>1580</v>
      </c>
      <c r="J65" s="1932">
        <v>40</v>
      </c>
      <c r="K65" s="1932">
        <v>30</v>
      </c>
      <c r="L65" s="1932">
        <v>50</v>
      </c>
      <c r="M65" s="1934">
        <v>0.02</v>
      </c>
      <c r="O65" s="1886" t="s">
        <v>1040</v>
      </c>
      <c r="P65" s="1887" t="s">
        <v>1529</v>
      </c>
      <c r="Q65" s="1888">
        <f ca="1">C40+J29</f>
        <v>9248</v>
      </c>
      <c r="R65" s="1888" t="s">
        <v>1530</v>
      </c>
    </row>
    <row r="66" spans="1:18" s="1844" customFormat="1" ht="16.5" thickBot="1">
      <c r="A66" s="1203" t="s">
        <v>1505</v>
      </c>
      <c r="B66" s="1171" t="s">
        <v>1440</v>
      </c>
      <c r="C66" s="24">
        <f ca="1">ROUND(C48*F66,1)</f>
        <v>0</v>
      </c>
      <c r="D66" s="1185" t="s">
        <v>1460</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-42</v>
      </c>
      <c r="D67" s="1184" t="s">
        <v>1465</v>
      </c>
      <c r="E67" s="1189"/>
      <c r="F67" s="1190"/>
      <c r="O67" s="1896" t="s">
        <v>1042</v>
      </c>
      <c r="P67" s="1887" t="s">
        <v>1563</v>
      </c>
      <c r="Q67" s="1935">
        <f ca="1">L51</f>
        <v>6606</v>
      </c>
      <c r="R67" s="1888" t="s">
        <v>1583</v>
      </c>
    </row>
    <row r="68" spans="1:18" s="1844" customFormat="1" ht="16.5" thickBot="1">
      <c r="A68" s="1168" t="s">
        <v>1032</v>
      </c>
      <c r="B68" s="1169" t="s">
        <v>1486</v>
      </c>
      <c r="C68" s="346">
        <f ca="1">ROUND(C67*(1-((1+F70)/(1+F68))^F69)/(F68-F70),0)</f>
        <v>-549</v>
      </c>
      <c r="D68" s="1186" t="s">
        <v>1470</v>
      </c>
      <c r="E68" s="1171" t="s">
        <v>1471</v>
      </c>
      <c r="F68" s="357">
        <f ca="1">F40</f>
        <v>5.5E-2</v>
      </c>
      <c r="O68" s="1896" t="s">
        <v>1043</v>
      </c>
      <c r="P68" s="1936" t="s">
        <v>1584</v>
      </c>
      <c r="Q68" s="1888">
        <f ca="1">ROUND(Q69-Q70*Q71,0)</f>
        <v>482</v>
      </c>
      <c r="R68" s="1888" t="s">
        <v>1051</v>
      </c>
    </row>
    <row r="69" spans="1:18" s="1844" customFormat="1" ht="13.5" thickBot="1">
      <c r="A69" s="1172"/>
      <c r="B69" s="1173"/>
      <c r="C69" s="351"/>
      <c r="D69" s="1191" t="s">
        <v>1474</v>
      </c>
      <c r="E69" s="1171" t="s">
        <v>1475</v>
      </c>
      <c r="F69" s="379">
        <f ca="1">F41</f>
        <v>23.7</v>
      </c>
      <c r="O69" s="1896" t="s">
        <v>1048</v>
      </c>
      <c r="P69" s="1936" t="s">
        <v>1585</v>
      </c>
      <c r="Q69" s="1888">
        <f ca="1">C39</f>
        <v>588</v>
      </c>
      <c r="R69" s="1888" t="s">
        <v>1530</v>
      </c>
    </row>
    <row r="70" spans="1:18" s="1844" customFormat="1" ht="13.5" thickBot="1">
      <c r="A70" s="1175"/>
      <c r="B70" s="1176"/>
      <c r="C70" s="355"/>
      <c r="D70" s="1187"/>
      <c r="E70" s="1171" t="s">
        <v>1478</v>
      </c>
      <c r="F70" s="1277"/>
      <c r="O70" s="1896" t="s">
        <v>1049</v>
      </c>
      <c r="P70" s="1936" t="s">
        <v>1586</v>
      </c>
      <c r="Q70" s="1888">
        <f ca="1">C13</f>
        <v>1326</v>
      </c>
      <c r="R70" s="1888" t="s">
        <v>1530</v>
      </c>
    </row>
    <row r="71" spans="1:18" s="1844" customFormat="1" ht="13.5" thickBot="1">
      <c r="A71" s="1192" t="s">
        <v>1033</v>
      </c>
      <c r="B71" s="1193" t="s">
        <v>1488</v>
      </c>
      <c r="C71" s="382">
        <f ca="1">ROUND(C68*10000/F71,0)</f>
        <v>-1329</v>
      </c>
      <c r="D71" s="1194" t="s">
        <v>1489</v>
      </c>
      <c r="E71" s="1195" t="s">
        <v>1490</v>
      </c>
      <c r="F71" s="385">
        <f ca="1">F43</f>
        <v>4129.8999999999996</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106</v>
      </c>
      <c r="D75" s="1844"/>
      <c r="E75" s="1844"/>
      <c r="F75" s="1844"/>
      <c r="K75" s="1870"/>
      <c r="L75" s="1844"/>
      <c r="O75" s="1886" t="s">
        <v>1046</v>
      </c>
      <c r="P75" s="1887" t="s">
        <v>1550</v>
      </c>
      <c r="Q75" s="1888">
        <f ca="1">Q65+Q66</f>
        <v>9248</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0.82000000000000006</v>
      </c>
    </row>
    <row r="80" spans="1:18">
      <c r="B80" s="386" t="s">
        <v>1512</v>
      </c>
      <c r="C80" s="318">
        <f ca="1">ROUND(C75/C39,3)</f>
        <v>0.18</v>
      </c>
    </row>
    <row r="81" spans="2:3">
      <c r="B81" s="314" t="s">
        <v>1513</v>
      </c>
      <c r="C81" s="282"/>
    </row>
    <row r="82" spans="2:3">
      <c r="B82" s="317" t="s">
        <v>1514</v>
      </c>
      <c r="C82" s="319">
        <f ca="1">1-C83</f>
        <v>0.85699999999999998</v>
      </c>
    </row>
    <row r="83" spans="2:3">
      <c r="B83" s="317" t="s">
        <v>1515</v>
      </c>
      <c r="C83" s="318">
        <f ca="1">ROUND(C13/C40,3)</f>
        <v>0.14299999999999999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46" t="s">
        <v>183</v>
      </c>
      <c r="B18" s="881" t="s">
        <v>560</v>
      </c>
      <c r="C18" s="882" t="s">
        <v>561</v>
      </c>
      <c r="D18" s="883"/>
      <c r="E18" s="881">
        <v>1</v>
      </c>
      <c r="F18" s="884" t="s">
        <v>562</v>
      </c>
      <c r="G18" s="885"/>
      <c r="H18" s="877"/>
      <c r="I18" s="877"/>
    </row>
    <row r="19" spans="1:9" s="886" customFormat="1" ht="19.5" customHeight="1">
      <c r="A19" s="3346"/>
      <c r="B19" s="3346" t="s">
        <v>563</v>
      </c>
      <c r="C19" s="882" t="s">
        <v>564</v>
      </c>
      <c r="D19" s="883"/>
      <c r="E19" s="881">
        <v>0.9</v>
      </c>
      <c r="F19" s="884" t="s">
        <v>565</v>
      </c>
      <c r="G19" s="885"/>
      <c r="H19" s="877"/>
      <c r="I19" s="877"/>
    </row>
    <row r="20" spans="1:9" s="886" customFormat="1" ht="19.5" customHeight="1">
      <c r="A20" s="3346"/>
      <c r="B20" s="3346"/>
      <c r="C20" s="882" t="s">
        <v>566</v>
      </c>
      <c r="D20" s="883"/>
      <c r="E20" s="881">
        <v>1.1000000000000001</v>
      </c>
      <c r="F20" s="884" t="s">
        <v>567</v>
      </c>
      <c r="G20" s="885"/>
      <c r="H20" s="877"/>
      <c r="I20" s="877"/>
    </row>
    <row r="21" spans="1:9" s="886" customFormat="1" ht="19.5" customHeight="1">
      <c r="A21" s="3346"/>
      <c r="B21" s="3346"/>
      <c r="C21" s="882" t="s">
        <v>568</v>
      </c>
      <c r="D21" s="883"/>
      <c r="E21" s="881">
        <v>0.8</v>
      </c>
      <c r="F21" s="884" t="s">
        <v>569</v>
      </c>
      <c r="G21" s="885"/>
      <c r="H21" s="877"/>
      <c r="I21" s="877"/>
    </row>
    <row r="22" spans="1:9" s="886" customFormat="1" ht="19.5" customHeight="1">
      <c r="A22" s="3346"/>
      <c r="B22" s="3346"/>
      <c r="C22" s="882" t="s">
        <v>570</v>
      </c>
      <c r="D22" s="883"/>
      <c r="E22" s="881">
        <v>0.5</v>
      </c>
      <c r="F22" s="884"/>
      <c r="G22" s="885"/>
      <c r="H22" s="877"/>
      <c r="I22" s="877"/>
    </row>
    <row r="23" spans="1:9" s="886" customFormat="1" ht="19.5" customHeight="1">
      <c r="A23" s="3346" t="s">
        <v>184</v>
      </c>
      <c r="B23" s="881" t="s">
        <v>560</v>
      </c>
      <c r="C23" s="882" t="s">
        <v>571</v>
      </c>
      <c r="D23" s="883"/>
      <c r="E23" s="881">
        <v>1</v>
      </c>
      <c r="F23" s="884" t="s">
        <v>572</v>
      </c>
      <c r="G23" s="885"/>
      <c r="H23" s="877"/>
      <c r="I23" s="877"/>
    </row>
    <row r="24" spans="1:9" s="886" customFormat="1" ht="19.5" customHeight="1">
      <c r="A24" s="3346"/>
      <c r="B24" s="3346" t="s">
        <v>563</v>
      </c>
      <c r="C24" s="882" t="s">
        <v>573</v>
      </c>
      <c r="D24" s="883"/>
      <c r="E24" s="881">
        <v>0.5</v>
      </c>
      <c r="F24" s="884"/>
      <c r="G24" s="885"/>
      <c r="H24" s="877"/>
      <c r="I24" s="877"/>
    </row>
    <row r="25" spans="1:9" s="886" customFormat="1" ht="19.5" customHeight="1">
      <c r="A25" s="3346"/>
      <c r="B25" s="3346"/>
      <c r="C25" s="882" t="s">
        <v>574</v>
      </c>
      <c r="D25" s="883"/>
      <c r="E25" s="881">
        <v>1.1000000000000001</v>
      </c>
      <c r="F25" s="884"/>
      <c r="G25" s="885"/>
      <c r="H25" s="877"/>
      <c r="I25" s="877"/>
    </row>
    <row r="26" spans="1:9" s="886" customFormat="1" ht="19.5" customHeight="1">
      <c r="A26" s="3346"/>
      <c r="B26" s="3346"/>
      <c r="C26" s="882" t="s">
        <v>575</v>
      </c>
      <c r="D26" s="883"/>
      <c r="E26" s="881">
        <v>1.1000000000000001</v>
      </c>
      <c r="F26" s="884"/>
      <c r="G26" s="885"/>
      <c r="H26" s="877"/>
      <c r="I26" s="877"/>
    </row>
    <row r="27" spans="1:9" s="886" customFormat="1" ht="19.5" customHeight="1">
      <c r="A27" s="3346"/>
      <c r="B27" s="3346"/>
      <c r="C27" s="882" t="s">
        <v>576</v>
      </c>
      <c r="D27" s="883"/>
      <c r="E27" s="881">
        <v>0.9</v>
      </c>
      <c r="F27" s="884" t="s">
        <v>577</v>
      </c>
      <c r="G27" s="885"/>
      <c r="H27" s="877"/>
      <c r="I27" s="877"/>
    </row>
    <row r="28" spans="1:9" s="886" customFormat="1" ht="19.5" customHeight="1">
      <c r="A28" s="3346"/>
      <c r="B28" s="3346"/>
      <c r="C28" s="882" t="s">
        <v>578</v>
      </c>
      <c r="D28" s="883"/>
      <c r="E28" s="881">
        <v>0.9</v>
      </c>
      <c r="F28" s="884" t="s">
        <v>579</v>
      </c>
      <c r="G28" s="885"/>
      <c r="H28" s="877"/>
      <c r="I28" s="877"/>
    </row>
    <row r="29" spans="1:9" s="886" customFormat="1" ht="19.5" customHeight="1">
      <c r="A29" s="3346"/>
      <c r="B29" s="3346"/>
      <c r="C29" s="882" t="s">
        <v>580</v>
      </c>
      <c r="D29" s="883"/>
      <c r="E29" s="881">
        <v>0.9</v>
      </c>
      <c r="F29" s="884" t="s">
        <v>581</v>
      </c>
      <c r="G29" s="885"/>
      <c r="H29" s="877"/>
      <c r="I29" s="877"/>
    </row>
    <row r="30" spans="1:9" s="886" customFormat="1" ht="19.5" customHeight="1">
      <c r="A30" s="3346"/>
      <c r="B30" s="3346"/>
      <c r="C30" s="882" t="s">
        <v>582</v>
      </c>
      <c r="D30" s="883"/>
      <c r="E30" s="881">
        <v>0.9</v>
      </c>
      <c r="F30" s="884" t="s">
        <v>583</v>
      </c>
      <c r="G30" s="885"/>
      <c r="H30" s="877"/>
      <c r="I30" s="877"/>
    </row>
    <row r="31" spans="1:9" s="886" customFormat="1" ht="19.5" customHeight="1">
      <c r="A31" s="3346"/>
      <c r="B31" s="3346"/>
      <c r="C31" s="882" t="s">
        <v>584</v>
      </c>
      <c r="D31" s="883"/>
      <c r="E31" s="881">
        <v>0.8</v>
      </c>
      <c r="F31" s="884" t="s">
        <v>585</v>
      </c>
      <c r="G31" s="885"/>
      <c r="H31" s="877"/>
      <c r="I31" s="877"/>
    </row>
    <row r="32" spans="1:9" s="886" customFormat="1" ht="19.5" customHeight="1">
      <c r="A32" s="3346"/>
      <c r="B32" s="3346"/>
      <c r="C32" s="882" t="s">
        <v>586</v>
      </c>
      <c r="D32" s="883"/>
      <c r="E32" s="881">
        <v>0.8</v>
      </c>
      <c r="F32" s="884" t="s">
        <v>587</v>
      </c>
      <c r="G32" s="885"/>
      <c r="H32" s="877"/>
      <c r="I32" s="877"/>
    </row>
    <row r="33" spans="1:9" s="886" customFormat="1" ht="19.5" customHeight="1">
      <c r="A33" s="3346" t="s">
        <v>185</v>
      </c>
      <c r="B33" s="881" t="s">
        <v>560</v>
      </c>
      <c r="C33" s="882" t="s">
        <v>588</v>
      </c>
      <c r="D33" s="883"/>
      <c r="E33" s="881">
        <v>1</v>
      </c>
      <c r="F33" s="884" t="s">
        <v>589</v>
      </c>
      <c r="G33" s="885"/>
      <c r="H33" s="877"/>
      <c r="I33" s="877"/>
    </row>
    <row r="34" spans="1:9" s="886" customFormat="1" ht="19.5" customHeight="1">
      <c r="A34" s="3346"/>
      <c r="B34" s="881" t="s">
        <v>563</v>
      </c>
      <c r="C34" s="882" t="s">
        <v>590</v>
      </c>
      <c r="D34" s="883"/>
      <c r="E34" s="881">
        <v>1.5</v>
      </c>
      <c r="F34" s="884" t="s">
        <v>591</v>
      </c>
      <c r="G34" s="885"/>
      <c r="H34" s="877"/>
      <c r="I34" s="877"/>
    </row>
    <row r="35" spans="1:9" s="886" customFormat="1" ht="19.5" customHeight="1">
      <c r="A35" s="3346" t="s">
        <v>186</v>
      </c>
      <c r="B35" s="881" t="s">
        <v>560</v>
      </c>
      <c r="C35" s="882" t="s">
        <v>592</v>
      </c>
      <c r="D35" s="883"/>
      <c r="E35" s="881">
        <v>1</v>
      </c>
      <c r="F35" s="884" t="s">
        <v>593</v>
      </c>
      <c r="G35" s="885"/>
      <c r="H35" s="877"/>
      <c r="I35" s="877"/>
    </row>
    <row r="36" spans="1:9" s="886" customFormat="1" ht="19.5" customHeight="1">
      <c r="A36" s="3346"/>
      <c r="B36" s="3346" t="s">
        <v>563</v>
      </c>
      <c r="C36" s="882" t="s">
        <v>594</v>
      </c>
      <c r="D36" s="883"/>
      <c r="E36" s="881">
        <v>1</v>
      </c>
      <c r="F36" s="884" t="s">
        <v>595</v>
      </c>
      <c r="G36" s="885"/>
      <c r="H36" s="877"/>
      <c r="I36" s="877"/>
    </row>
    <row r="37" spans="1:9" s="886" customFormat="1" ht="19.5" customHeight="1">
      <c r="A37" s="3346"/>
      <c r="B37" s="3346"/>
      <c r="C37" s="882" t="s">
        <v>596</v>
      </c>
      <c r="D37" s="883"/>
      <c r="E37" s="881">
        <v>1.5</v>
      </c>
      <c r="F37" s="884" t="s">
        <v>597</v>
      </c>
      <c r="G37" s="885"/>
      <c r="H37" s="877"/>
      <c r="I37" s="877"/>
    </row>
    <row r="38" spans="1:9" s="886" customFormat="1" ht="19.5" customHeight="1">
      <c r="A38" s="3346"/>
      <c r="B38" s="3346"/>
      <c r="C38" s="882" t="s">
        <v>598</v>
      </c>
      <c r="D38" s="883"/>
      <c r="E38" s="881">
        <v>1</v>
      </c>
      <c r="F38" s="884" t="s">
        <v>599</v>
      </c>
      <c r="G38" s="885"/>
      <c r="H38" s="877"/>
      <c r="I38" s="877"/>
    </row>
    <row r="39" spans="1:9" s="886" customFormat="1" ht="19.5" customHeight="1">
      <c r="A39" s="3346"/>
      <c r="B39" s="334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46" t="s">
        <v>614</v>
      </c>
      <c r="C61" s="817" t="s">
        <v>615</v>
      </c>
      <c r="D61" s="817" t="s">
        <v>616</v>
      </c>
      <c r="E61" s="894">
        <v>0.5</v>
      </c>
      <c r="F61" s="881">
        <v>80</v>
      </c>
    </row>
    <row r="62" spans="1:8" s="877" customFormat="1" ht="24">
      <c r="A62" s="881">
        <v>2</v>
      </c>
      <c r="B62" s="3346"/>
      <c r="C62" s="817" t="s">
        <v>617</v>
      </c>
      <c r="D62" s="817" t="s">
        <v>618</v>
      </c>
      <c r="E62" s="894">
        <v>0.5</v>
      </c>
      <c r="F62" s="881">
        <v>80</v>
      </c>
    </row>
    <row r="63" spans="1:8" s="877" customFormat="1" ht="36">
      <c r="A63" s="881">
        <v>3</v>
      </c>
      <c r="B63" s="3346"/>
      <c r="C63" s="817" t="s">
        <v>619</v>
      </c>
      <c r="D63" s="817" t="s">
        <v>620</v>
      </c>
      <c r="E63" s="894">
        <v>0.5</v>
      </c>
      <c r="F63" s="881">
        <v>80</v>
      </c>
    </row>
    <row r="64" spans="1:8" s="877" customFormat="1" ht="36">
      <c r="A64" s="881">
        <v>4</v>
      </c>
      <c r="B64" s="3346"/>
      <c r="C64" s="817" t="s">
        <v>621</v>
      </c>
      <c r="D64" s="817" t="s">
        <v>622</v>
      </c>
      <c r="E64" s="894">
        <v>0.4</v>
      </c>
      <c r="F64" s="881">
        <v>60</v>
      </c>
    </row>
    <row r="65" spans="1:6" s="877" customFormat="1" ht="36">
      <c r="A65" s="881">
        <v>5</v>
      </c>
      <c r="B65" s="3346"/>
      <c r="C65" s="817" t="s">
        <v>623</v>
      </c>
      <c r="D65" s="817" t="s">
        <v>624</v>
      </c>
      <c r="E65" s="894">
        <v>0.2</v>
      </c>
      <c r="F65" s="881">
        <v>30</v>
      </c>
    </row>
    <row r="66" spans="1:6" s="877" customFormat="1" ht="36">
      <c r="A66" s="881">
        <v>6</v>
      </c>
      <c r="B66" s="3346"/>
      <c r="C66" s="817" t="s">
        <v>625</v>
      </c>
      <c r="D66" s="817" t="s">
        <v>626</v>
      </c>
      <c r="E66" s="894">
        <v>0.3</v>
      </c>
      <c r="F66" s="881">
        <v>50</v>
      </c>
    </row>
    <row r="67" spans="1:6" s="877" customFormat="1" ht="36">
      <c r="A67" s="881">
        <v>7</v>
      </c>
      <c r="B67" s="3346"/>
      <c r="C67" s="817" t="s">
        <v>627</v>
      </c>
      <c r="D67" s="817" t="s">
        <v>628</v>
      </c>
      <c r="E67" s="894">
        <v>0.2</v>
      </c>
      <c r="F67" s="881">
        <v>30</v>
      </c>
    </row>
    <row r="68" spans="1:6" s="877" customFormat="1" ht="36">
      <c r="A68" s="881">
        <v>8</v>
      </c>
      <c r="B68" s="3346"/>
      <c r="C68" s="817" t="s">
        <v>629</v>
      </c>
      <c r="D68" s="817" t="s">
        <v>630</v>
      </c>
      <c r="E68" s="894">
        <v>0.2</v>
      </c>
      <c r="F68" s="881">
        <v>30</v>
      </c>
    </row>
    <row r="69" spans="1:6" s="877" customFormat="1" ht="36">
      <c r="A69" s="881">
        <v>9</v>
      </c>
      <c r="B69" s="3346"/>
      <c r="C69" s="817" t="s">
        <v>631</v>
      </c>
      <c r="D69" s="817" t="s">
        <v>632</v>
      </c>
      <c r="E69" s="894">
        <v>0.2</v>
      </c>
      <c r="F69" s="881">
        <v>30</v>
      </c>
    </row>
    <row r="70" spans="1:6" s="877" customFormat="1" ht="48">
      <c r="A70" s="881">
        <v>10</v>
      </c>
      <c r="B70" s="3346"/>
      <c r="C70" s="817" t="s">
        <v>633</v>
      </c>
      <c r="D70" s="817" t="s">
        <v>634</v>
      </c>
      <c r="E70" s="894">
        <v>0.2</v>
      </c>
      <c r="F70" s="881">
        <v>30</v>
      </c>
    </row>
    <row r="71" spans="1:6" s="877" customFormat="1" ht="48">
      <c r="A71" s="881">
        <v>11</v>
      </c>
      <c r="B71" s="3346"/>
      <c r="C71" s="817" t="s">
        <v>635</v>
      </c>
      <c r="D71" s="817" t="s">
        <v>636</v>
      </c>
      <c r="E71" s="894">
        <v>0.2</v>
      </c>
      <c r="F71" s="881">
        <v>30</v>
      </c>
    </row>
    <row r="72" spans="1:6" s="877" customFormat="1" ht="36">
      <c r="A72" s="881">
        <v>12</v>
      </c>
      <c r="B72" s="3346"/>
      <c r="C72" s="817" t="s">
        <v>637</v>
      </c>
      <c r="D72" s="817" t="s">
        <v>638</v>
      </c>
      <c r="E72" s="894">
        <v>0.5</v>
      </c>
      <c r="F72" s="881">
        <v>80</v>
      </c>
    </row>
    <row r="73" spans="1:6" s="877" customFormat="1" ht="24">
      <c r="A73" s="881">
        <v>13</v>
      </c>
      <c r="B73" s="3346"/>
      <c r="C73" s="817" t="s">
        <v>639</v>
      </c>
      <c r="D73" s="817" t="s">
        <v>640</v>
      </c>
      <c r="E73" s="894">
        <v>0.4</v>
      </c>
      <c r="F73" s="881">
        <v>60</v>
      </c>
    </row>
    <row r="74" spans="1:6" s="877" customFormat="1" ht="24">
      <c r="A74" s="881">
        <v>14</v>
      </c>
      <c r="B74" s="3346"/>
      <c r="C74" s="817" t="s">
        <v>641</v>
      </c>
      <c r="D74" s="817" t="s">
        <v>642</v>
      </c>
      <c r="E74" s="894">
        <v>0.2</v>
      </c>
      <c r="F74" s="881">
        <v>30</v>
      </c>
    </row>
    <row r="75" spans="1:6" s="877" customFormat="1" ht="24">
      <c r="A75" s="881">
        <v>15</v>
      </c>
      <c r="B75" s="3346"/>
      <c r="C75" s="817" t="s">
        <v>643</v>
      </c>
      <c r="D75" s="817" t="s">
        <v>644</v>
      </c>
      <c r="E75" s="894">
        <v>0.2</v>
      </c>
      <c r="F75" s="881">
        <v>30</v>
      </c>
    </row>
    <row r="76" spans="1:6" s="877" customFormat="1" ht="24">
      <c r="A76" s="881">
        <v>16</v>
      </c>
      <c r="B76" s="3346" t="s">
        <v>645</v>
      </c>
      <c r="C76" s="817" t="s">
        <v>646</v>
      </c>
      <c r="D76" s="817" t="s">
        <v>647</v>
      </c>
      <c r="E76" s="894">
        <v>0.5</v>
      </c>
      <c r="F76" s="881">
        <v>80</v>
      </c>
    </row>
    <row r="77" spans="1:6" s="877" customFormat="1" ht="24">
      <c r="A77" s="881">
        <v>17</v>
      </c>
      <c r="B77" s="3346"/>
      <c r="C77" s="817" t="s">
        <v>648</v>
      </c>
      <c r="D77" s="817" t="s">
        <v>649</v>
      </c>
      <c r="E77" s="894">
        <v>0.5</v>
      </c>
      <c r="F77" s="881">
        <v>80</v>
      </c>
    </row>
    <row r="78" spans="1:6" s="877" customFormat="1" ht="24">
      <c r="A78" s="881">
        <v>18</v>
      </c>
      <c r="B78" s="3346"/>
      <c r="C78" s="817" t="s">
        <v>650</v>
      </c>
      <c r="D78" s="817" t="s">
        <v>651</v>
      </c>
      <c r="E78" s="894">
        <v>0.2</v>
      </c>
      <c r="F78" s="881">
        <v>30</v>
      </c>
    </row>
    <row r="79" spans="1:6" s="877" customFormat="1" ht="24">
      <c r="A79" s="881">
        <v>19</v>
      </c>
      <c r="B79" s="3346"/>
      <c r="C79" s="817" t="s">
        <v>652</v>
      </c>
      <c r="D79" s="817" t="s">
        <v>653</v>
      </c>
      <c r="E79" s="894">
        <v>0.5</v>
      </c>
      <c r="F79" s="881">
        <v>80</v>
      </c>
    </row>
    <row r="80" spans="1:6" s="877" customFormat="1" ht="36">
      <c r="A80" s="881">
        <v>20</v>
      </c>
      <c r="B80" s="3346"/>
      <c r="C80" s="817" t="s">
        <v>654</v>
      </c>
      <c r="D80" s="817" t="s">
        <v>655</v>
      </c>
      <c r="E80" s="894">
        <v>0.2</v>
      </c>
      <c r="F80" s="881">
        <v>30</v>
      </c>
    </row>
    <row r="81" spans="1:6" s="877" customFormat="1" ht="36">
      <c r="A81" s="881">
        <v>21</v>
      </c>
      <c r="B81" s="3346"/>
      <c r="C81" s="817" t="s">
        <v>656</v>
      </c>
      <c r="D81" s="817" t="s">
        <v>657</v>
      </c>
      <c r="E81" s="894">
        <v>0.2</v>
      </c>
      <c r="F81" s="881">
        <v>30</v>
      </c>
    </row>
    <row r="82" spans="1:6" s="877" customFormat="1" ht="48">
      <c r="A82" s="881">
        <v>22</v>
      </c>
      <c r="B82" s="3346"/>
      <c r="C82" s="817" t="s">
        <v>658</v>
      </c>
      <c r="D82" s="817" t="s">
        <v>659</v>
      </c>
      <c r="E82" s="894">
        <v>0.2</v>
      </c>
      <c r="F82" s="881">
        <v>30</v>
      </c>
    </row>
    <row r="83" spans="1:6" s="877" customFormat="1" ht="48">
      <c r="A83" s="881">
        <v>23</v>
      </c>
      <c r="B83" s="3346"/>
      <c r="C83" s="817" t="s">
        <v>660</v>
      </c>
      <c r="D83" s="817" t="s">
        <v>661</v>
      </c>
      <c r="E83" s="894">
        <v>0.2</v>
      </c>
      <c r="F83" s="881">
        <v>30</v>
      </c>
    </row>
    <row r="84" spans="1:6" s="877" customFormat="1" ht="36">
      <c r="A84" s="881">
        <v>24</v>
      </c>
      <c r="B84" s="3346"/>
      <c r="C84" s="817" t="s">
        <v>662</v>
      </c>
      <c r="D84" s="817" t="s">
        <v>663</v>
      </c>
      <c r="E84" s="894">
        <v>0.2</v>
      </c>
      <c r="F84" s="881">
        <v>30</v>
      </c>
    </row>
    <row r="85" spans="1:6" s="877" customFormat="1" ht="36">
      <c r="A85" s="881">
        <v>25</v>
      </c>
      <c r="B85" s="3346"/>
      <c r="C85" s="817" t="s">
        <v>664</v>
      </c>
      <c r="D85" s="817" t="s">
        <v>665</v>
      </c>
      <c r="E85" s="894">
        <v>0.5</v>
      </c>
      <c r="F85" s="881">
        <v>80</v>
      </c>
    </row>
    <row r="86" spans="1:6" s="877" customFormat="1" ht="36">
      <c r="A86" s="881">
        <v>26</v>
      </c>
      <c r="B86" s="3346"/>
      <c r="C86" s="817" t="s">
        <v>666</v>
      </c>
      <c r="D86" s="817" t="s">
        <v>667</v>
      </c>
      <c r="E86" s="894">
        <v>0.2</v>
      </c>
      <c r="F86" s="881">
        <v>30</v>
      </c>
    </row>
    <row r="87" spans="1:6" s="877" customFormat="1" ht="36">
      <c r="A87" s="881">
        <v>27</v>
      </c>
      <c r="B87" s="3346"/>
      <c r="C87" s="817" t="s">
        <v>668</v>
      </c>
      <c r="D87" s="817" t="s">
        <v>669</v>
      </c>
      <c r="E87" s="894">
        <v>0.2</v>
      </c>
      <c r="F87" s="881">
        <v>30</v>
      </c>
    </row>
    <row r="88" spans="1:6" s="877" customFormat="1" ht="36">
      <c r="A88" s="881">
        <v>28</v>
      </c>
      <c r="B88" s="3346"/>
      <c r="C88" s="817" t="s">
        <v>670</v>
      </c>
      <c r="D88" s="817" t="s">
        <v>671</v>
      </c>
      <c r="E88" s="894">
        <v>0.2</v>
      </c>
      <c r="F88" s="881">
        <v>30</v>
      </c>
    </row>
    <row r="89" spans="1:6" s="877" customFormat="1" ht="24">
      <c r="A89" s="881">
        <v>29</v>
      </c>
      <c r="B89" s="3346"/>
      <c r="C89" s="817" t="s">
        <v>672</v>
      </c>
      <c r="D89" s="817" t="s">
        <v>673</v>
      </c>
      <c r="E89" s="894">
        <v>0.2</v>
      </c>
      <c r="F89" s="881">
        <v>30</v>
      </c>
    </row>
    <row r="90" spans="1:6" s="877" customFormat="1" ht="24">
      <c r="A90" s="881">
        <v>30</v>
      </c>
      <c r="B90" s="3346"/>
      <c r="C90" s="817" t="s">
        <v>674</v>
      </c>
      <c r="D90" s="817" t="s">
        <v>675</v>
      </c>
      <c r="E90" s="894">
        <v>0.2</v>
      </c>
      <c r="F90" s="881">
        <v>30</v>
      </c>
    </row>
    <row r="91" spans="1:6" s="877" customFormat="1" ht="36">
      <c r="A91" s="881">
        <v>31</v>
      </c>
      <c r="B91" s="3346"/>
      <c r="C91" s="817" t="s">
        <v>676</v>
      </c>
      <c r="D91" s="817" t="s">
        <v>677</v>
      </c>
      <c r="E91" s="894">
        <v>0.2</v>
      </c>
      <c r="F91" s="881">
        <v>30</v>
      </c>
    </row>
    <row r="92" spans="1:6" s="877" customFormat="1" ht="24">
      <c r="A92" s="881">
        <v>32</v>
      </c>
      <c r="B92" s="3346" t="s">
        <v>678</v>
      </c>
      <c r="C92" s="881" t="s">
        <v>679</v>
      </c>
      <c r="D92" s="817" t="s">
        <v>680</v>
      </c>
      <c r="E92" s="894">
        <v>0.2</v>
      </c>
      <c r="F92" s="881">
        <v>30</v>
      </c>
    </row>
    <row r="93" spans="1:6" s="877" customFormat="1" ht="36">
      <c r="A93" s="881">
        <v>33</v>
      </c>
      <c r="B93" s="3346"/>
      <c r="C93" s="881" t="s">
        <v>681</v>
      </c>
      <c r="D93" s="817" t="s">
        <v>682</v>
      </c>
      <c r="E93" s="894">
        <v>0.2</v>
      </c>
      <c r="F93" s="881">
        <v>30</v>
      </c>
    </row>
    <row r="94" spans="1:6" s="877" customFormat="1" ht="48">
      <c r="A94" s="881">
        <v>34</v>
      </c>
      <c r="B94" s="3346"/>
      <c r="C94" s="881" t="s">
        <v>683</v>
      </c>
      <c r="D94" s="817" t="s">
        <v>684</v>
      </c>
      <c r="E94" s="894">
        <v>0.2</v>
      </c>
      <c r="F94" s="881">
        <v>30</v>
      </c>
    </row>
    <row r="95" spans="1:6" s="877" customFormat="1" ht="36">
      <c r="A95" s="881">
        <v>35</v>
      </c>
      <c r="B95" s="3346"/>
      <c r="C95" s="881" t="s">
        <v>685</v>
      </c>
      <c r="D95" s="817" t="s">
        <v>686</v>
      </c>
      <c r="E95" s="894">
        <v>0.2</v>
      </c>
      <c r="F95" s="881">
        <v>30</v>
      </c>
    </row>
    <row r="96" spans="1:6" s="877" customFormat="1" ht="48">
      <c r="A96" s="881">
        <v>36</v>
      </c>
      <c r="B96" s="3346"/>
      <c r="C96" s="817" t="s">
        <v>687</v>
      </c>
      <c r="D96" s="817" t="s">
        <v>688</v>
      </c>
      <c r="E96" s="894">
        <v>0.2</v>
      </c>
      <c r="F96" s="881">
        <v>30</v>
      </c>
    </row>
    <row r="97" spans="1:6" s="877" customFormat="1" ht="36">
      <c r="A97" s="881">
        <v>37</v>
      </c>
      <c r="B97" s="3346"/>
      <c r="C97" s="881" t="s">
        <v>689</v>
      </c>
      <c r="D97" s="817" t="s">
        <v>690</v>
      </c>
      <c r="E97" s="894">
        <v>0.2</v>
      </c>
      <c r="F97" s="881">
        <v>30</v>
      </c>
    </row>
    <row r="98" spans="1:6" s="877" customFormat="1" ht="36">
      <c r="A98" s="881">
        <v>38</v>
      </c>
      <c r="B98" s="3346"/>
      <c r="C98" s="881" t="s">
        <v>691</v>
      </c>
      <c r="D98" s="817" t="s">
        <v>692</v>
      </c>
      <c r="E98" s="894">
        <v>0.2</v>
      </c>
      <c r="F98" s="881">
        <v>30</v>
      </c>
    </row>
    <row r="99" spans="1:6" s="877" customFormat="1" ht="36">
      <c r="A99" s="881">
        <v>39</v>
      </c>
      <c r="B99" s="3346" t="s">
        <v>693</v>
      </c>
      <c r="C99" s="881" t="s">
        <v>694</v>
      </c>
      <c r="D99" s="817" t="s">
        <v>695</v>
      </c>
      <c r="E99" s="894">
        <v>0.3</v>
      </c>
      <c r="F99" s="881">
        <v>50</v>
      </c>
    </row>
    <row r="100" spans="1:6" s="877" customFormat="1" ht="24">
      <c r="A100" s="881">
        <v>40</v>
      </c>
      <c r="B100" s="3346"/>
      <c r="C100" s="881" t="s">
        <v>696</v>
      </c>
      <c r="D100" s="817" t="s">
        <v>697</v>
      </c>
      <c r="E100" s="894">
        <v>0.2</v>
      </c>
      <c r="F100" s="881">
        <v>30</v>
      </c>
    </row>
    <row r="101" spans="1:6" s="877" customFormat="1" ht="36">
      <c r="A101" s="881">
        <v>41</v>
      </c>
      <c r="B101" s="334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6" t="s">
        <v>708</v>
      </c>
      <c r="C105" s="881" t="s">
        <v>709</v>
      </c>
      <c r="D105" s="817" t="s">
        <v>710</v>
      </c>
      <c r="E105" s="894">
        <v>0.2</v>
      </c>
      <c r="F105" s="881">
        <v>30</v>
      </c>
    </row>
    <row r="106" spans="1:6" s="877" customFormat="1" ht="36">
      <c r="A106" s="881">
        <v>46</v>
      </c>
      <c r="B106" s="3346"/>
      <c r="C106" s="881" t="s">
        <v>711</v>
      </c>
      <c r="D106" s="817" t="s">
        <v>712</v>
      </c>
      <c r="E106" s="894">
        <v>0.2</v>
      </c>
      <c r="F106" s="881">
        <v>30</v>
      </c>
    </row>
    <row r="107" spans="1:6" s="877" customFormat="1" ht="36">
      <c r="A107" s="881">
        <v>47</v>
      </c>
      <c r="B107" s="3346" t="s">
        <v>713</v>
      </c>
      <c r="C107" s="881" t="s">
        <v>714</v>
      </c>
      <c r="D107" s="817" t="s">
        <v>715</v>
      </c>
      <c r="E107" s="894">
        <v>0.3</v>
      </c>
      <c r="F107" s="881">
        <v>50</v>
      </c>
    </row>
    <row r="108" spans="1:6" s="877" customFormat="1" ht="36">
      <c r="A108" s="881">
        <v>48</v>
      </c>
      <c r="B108" s="334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6" t="s">
        <v>724</v>
      </c>
      <c r="C111" s="881" t="s">
        <v>725</v>
      </c>
      <c r="D111" s="817" t="s">
        <v>726</v>
      </c>
      <c r="E111" s="894">
        <v>0.2</v>
      </c>
      <c r="F111" s="881">
        <v>30</v>
      </c>
    </row>
    <row r="112" spans="1:6" s="877" customFormat="1" ht="24">
      <c r="A112" s="881">
        <v>52</v>
      </c>
      <c r="B112" s="3346"/>
      <c r="C112" s="881" t="s">
        <v>727</v>
      </c>
      <c r="D112" s="817" t="s">
        <v>728</v>
      </c>
      <c r="E112" s="894">
        <v>0.2</v>
      </c>
      <c r="F112" s="881">
        <v>30</v>
      </c>
    </row>
    <row r="113" spans="1:6" s="877" customFormat="1" ht="24">
      <c r="A113" s="881">
        <v>53</v>
      </c>
      <c r="B113" s="334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6" t="s">
        <v>737</v>
      </c>
      <c r="C116" s="881" t="s">
        <v>738</v>
      </c>
      <c r="D116" s="817" t="s">
        <v>739</v>
      </c>
      <c r="E116" s="894">
        <v>0.2</v>
      </c>
      <c r="F116" s="881">
        <v>30</v>
      </c>
    </row>
    <row r="117" spans="1:6" ht="36">
      <c r="A117" s="881">
        <v>57</v>
      </c>
      <c r="B117" s="334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0.86939999999999995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3007</v>
      </c>
    </row>
    <row r="2" spans="1:5" ht="15.75">
      <c r="A2" s="2915" t="s">
        <v>2999</v>
      </c>
      <c r="B2" s="2916">
        <f ca="1">SUMIF(B6:B13,"&lt;&gt;#ref!",B6:B13)</f>
        <v>23891</v>
      </c>
      <c r="C2" s="2915" t="s">
        <v>3000</v>
      </c>
      <c r="D2" s="2915" t="s">
        <v>3001</v>
      </c>
      <c r="E2" s="2916" t="e">
        <f ca="1">SUM(E6:E13)</f>
        <v>#REF!</v>
      </c>
    </row>
    <row r="3" spans="1:5" ht="15.75">
      <c r="A3" s="2915" t="s">
        <v>3002</v>
      </c>
      <c r="B3" s="2916" t="e">
        <f ca="1">ROUND(B2*10000/E2,0)</f>
        <v>#REF!</v>
      </c>
      <c r="C3" s="2915" t="s">
        <v>3008</v>
      </c>
      <c r="D3" s="2917"/>
      <c r="E3" s="2917"/>
    </row>
    <row r="4" spans="1:5" ht="15.75">
      <c r="A4" s="2918"/>
      <c r="B4" s="2917"/>
      <c r="C4" s="2917"/>
      <c r="D4" s="2917"/>
      <c r="E4" s="2917"/>
    </row>
    <row r="5" spans="1:5" ht="28.5">
      <c r="A5" s="2919" t="s">
        <v>3003</v>
      </c>
      <c r="B5" s="2915" t="s">
        <v>3004</v>
      </c>
      <c r="C5" s="2916"/>
      <c r="D5" s="2917"/>
      <c r="E5" s="2915" t="s">
        <v>3005</v>
      </c>
    </row>
    <row r="6" spans="1:5" ht="15.75">
      <c r="A6" s="2920" t="s">
        <v>3006</v>
      </c>
      <c r="B6" s="2916">
        <f ca="1">SUMIF(INDIRECT("'"&amp;A6&amp;"'"&amp;"!A:A"),"总价",INDIRECT("'"&amp;A6&amp;"'"&amp;"!B:B"))</f>
        <v>23891</v>
      </c>
      <c r="C6" s="2915" t="s">
        <v>3000</v>
      </c>
      <c r="D6" s="2917"/>
      <c r="E6" s="2580">
        <f ca="1">SUMIF(INDIRECT("'"&amp;A6&amp;"'"&amp;"!C:C"),"建筑面积",INDIRECT("'"&amp;A6&amp;"'"&amp;"!D:D"))</f>
        <v>9097.5099999999984</v>
      </c>
    </row>
    <row r="7" spans="1:5" ht="15.75">
      <c r="A7" s="2920"/>
      <c r="B7" s="2916" t="e">
        <f ca="1">SUMIF(INDIRECT("'"&amp;A7&amp;"'"&amp;"!A:A"),"总价",INDIRECT("'"&amp;A7&amp;"'"&amp;"!B:B"))</f>
        <v>#REF!</v>
      </c>
      <c r="C7" s="2915" t="s">
        <v>3000</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3000</v>
      </c>
      <c r="D8" s="2917"/>
      <c r="E8" s="2580" t="e">
        <f t="shared" ca="1" si="0"/>
        <v>#REF!</v>
      </c>
    </row>
    <row r="9" spans="1:5" ht="15.75">
      <c r="A9" s="2920"/>
      <c r="B9" s="2916" t="e">
        <f t="shared" ca="1" si="1"/>
        <v>#REF!</v>
      </c>
      <c r="C9" s="2915" t="s">
        <v>3000</v>
      </c>
      <c r="D9" s="2917"/>
      <c r="E9" s="2580" t="e">
        <f t="shared" ca="1" si="0"/>
        <v>#REF!</v>
      </c>
    </row>
    <row r="10" spans="1:5" ht="15.75">
      <c r="A10" s="2920"/>
      <c r="B10" s="2916" t="e">
        <f t="shared" ca="1" si="1"/>
        <v>#REF!</v>
      </c>
      <c r="C10" s="2915" t="s">
        <v>3000</v>
      </c>
      <c r="D10" s="2917"/>
      <c r="E10" s="2580" t="e">
        <f t="shared" ca="1" si="0"/>
        <v>#REF!</v>
      </c>
    </row>
    <row r="11" spans="1:5" ht="15.75">
      <c r="A11" s="2920"/>
      <c r="B11" s="2916" t="e">
        <f t="shared" ca="1" si="1"/>
        <v>#REF!</v>
      </c>
      <c r="C11" s="2915" t="s">
        <v>3000</v>
      </c>
      <c r="D11" s="2917"/>
      <c r="E11" s="2580" t="e">
        <f t="shared" ca="1" si="0"/>
        <v>#REF!</v>
      </c>
    </row>
    <row r="12" spans="1:5" ht="15.75">
      <c r="A12" s="2920"/>
      <c r="B12" s="2916" t="e">
        <f t="shared" ca="1" si="1"/>
        <v>#REF!</v>
      </c>
      <c r="C12" s="2915" t="s">
        <v>3000</v>
      </c>
      <c r="D12" s="2917"/>
      <c r="E12" s="2580" t="e">
        <f t="shared" ca="1" si="0"/>
        <v>#REF!</v>
      </c>
    </row>
    <row r="13" spans="1:5" ht="15.75">
      <c r="A13" s="2920"/>
      <c r="B13" s="2916" t="e">
        <f t="shared" ca="1" si="1"/>
        <v>#REF!</v>
      </c>
      <c r="C13" s="2915" t="s">
        <v>3000</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52" t="s">
        <v>1150</v>
      </c>
      <c r="C1" s="3352"/>
      <c r="D1" s="3352"/>
      <c r="E1" s="3352"/>
      <c r="F1" s="3352"/>
      <c r="G1" s="3351" t="s">
        <v>1151</v>
      </c>
      <c r="H1" s="3351"/>
      <c r="I1" s="3351"/>
      <c r="J1" s="3351"/>
      <c r="K1" s="3351"/>
      <c r="L1" s="3351"/>
      <c r="N1" s="3351" t="s">
        <v>1152</v>
      </c>
      <c r="O1" s="3351"/>
      <c r="P1" s="3351"/>
      <c r="Q1" s="3351"/>
      <c r="R1" s="1448"/>
      <c r="S1" s="3351" t="s">
        <v>1153</v>
      </c>
      <c r="T1" s="3351"/>
      <c r="U1" s="3351"/>
      <c r="V1" s="3351"/>
      <c r="X1" s="3350" t="s">
        <v>1154</v>
      </c>
      <c r="Y1" s="3351"/>
      <c r="Z1" s="3351"/>
      <c r="AA1" s="3351"/>
      <c r="AB1" s="3351"/>
      <c r="AD1" s="3350" t="s">
        <v>1155</v>
      </c>
      <c r="AE1" s="3351"/>
      <c r="AF1" s="3351"/>
      <c r="AG1" s="3351"/>
      <c r="AH1" s="335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54" customFormat="1" ht="14.25">
      <c r="A3" s="2963" t="s">
        <v>3046</v>
      </c>
      <c r="B3" s="2955"/>
      <c r="C3" s="2955"/>
      <c r="D3" s="2956"/>
      <c r="E3" s="2956"/>
      <c r="F3" s="2955"/>
      <c r="G3" s="2957"/>
      <c r="H3" s="2958"/>
      <c r="I3" s="2959">
        <f>ROUND(AVERAGE($I6:$I21),2)</f>
        <v>2.4500000000000002</v>
      </c>
      <c r="J3" s="2959">
        <f>ROUND(AVERAGE($J6:$J21),2)</f>
        <v>1.65</v>
      </c>
      <c r="K3" s="2959">
        <f>ROUND(AVERAGE($K6:$K21),2)</f>
        <v>2.71</v>
      </c>
      <c r="L3" s="2959">
        <f>ROUND(AVERAGE($L6:$L21),2)</f>
        <v>1.39</v>
      </c>
      <c r="N3" s="2957"/>
      <c r="O3" s="2960"/>
      <c r="P3" s="2960"/>
      <c r="Q3" s="2960"/>
      <c r="R3" s="2960"/>
      <c r="S3" s="2957"/>
      <c r="T3" s="2960"/>
      <c r="U3" s="2960"/>
      <c r="V3" s="2960"/>
      <c r="W3" s="2952"/>
      <c r="X3" s="2961">
        <f>ROUND(SUMPRODUCT(PRODUCT(1+N3:N$20)),4)</f>
        <v>1.4274</v>
      </c>
      <c r="Y3" s="2961">
        <f>ROUND(SUMPRODUCT(PRODUCT(1+O3:O$20)),4)</f>
        <v>1.2685</v>
      </c>
      <c r="Z3" s="2961">
        <f t="shared" ref="Z3:Z18" si="0">Y3</f>
        <v>1.2685</v>
      </c>
      <c r="AA3" s="2961">
        <f>ROUND(SUMPRODUCT(PRODUCT(1+P3:P$20)),4)</f>
        <v>1.4825999999999999</v>
      </c>
      <c r="AB3" s="2961">
        <f>ROUND(SUMPRODUCT(PRODUCT(1+Q3:Q$20)),4)</f>
        <v>1.2309000000000001</v>
      </c>
      <c r="AD3" s="2962">
        <f>ROUND(AVERAGE(I3:I$21)/100,4)</f>
        <v>2.3099999999999999E-2</v>
      </c>
      <c r="AE3" s="2962">
        <f>ROUND(AVERAGE(J3:J$21)/100,4)</f>
        <v>1.5599999999999999E-2</v>
      </c>
      <c r="AF3" s="2962">
        <f t="shared" ref="AF3:AF19" si="1">AE3</f>
        <v>1.5599999999999999E-2</v>
      </c>
      <c r="AG3" s="2962">
        <f>ROUND(AVERAGE(K3:K$21)/100,4)</f>
        <v>2.5600000000000001E-2</v>
      </c>
      <c r="AH3" s="2962">
        <f>ROUND(AVERAGE(L3:L$21)/100,4)</f>
        <v>1.32E-2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1">
        <v>2018</v>
      </c>
      <c r="H5" s="1732">
        <v>1</v>
      </c>
      <c r="I5" s="2929">
        <v>0</v>
      </c>
      <c r="J5" s="2929">
        <v>0</v>
      </c>
      <c r="K5" s="2929">
        <v>0</v>
      </c>
      <c r="L5" s="2929">
        <v>0</v>
      </c>
      <c r="N5" s="1469">
        <f t="shared" ref="N5:N10" si="7">I5/100</f>
        <v>0</v>
      </c>
      <c r="O5" s="1469">
        <f t="shared" ref="O5" si="8">J5/100</f>
        <v>0</v>
      </c>
      <c r="P5" s="1469">
        <f t="shared" ref="P5" si="9">K5/100</f>
        <v>0</v>
      </c>
      <c r="Q5" s="1469">
        <f t="shared" ref="Q5" si="10">L5/100</f>
        <v>0</v>
      </c>
      <c r="R5" s="1734"/>
      <c r="S5" s="1735"/>
      <c r="T5" s="1734"/>
      <c r="U5" s="1734"/>
      <c r="V5" s="1734"/>
      <c r="W5" s="2953" t="s">
        <v>3047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3042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31">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3043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7"/>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6"/>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7"/>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53">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48"/>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48"/>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49"/>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47">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48"/>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48"/>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49"/>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47">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48"/>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48"/>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49"/>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54">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55"/>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55"/>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56"/>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47">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48"/>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48"/>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49"/>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47">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48">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48">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49">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47">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48">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48">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49">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47">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48">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48">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49">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47">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48">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48">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49">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47">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48">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48">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49">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47">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48">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48">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49">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47">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48">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48">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49">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47">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48">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48">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49">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47">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48">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48">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49">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47">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48">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48">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49">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4" sqref="A2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3009</v>
      </c>
      <c r="C1" s="3358" t="s">
        <v>3010</v>
      </c>
      <c r="D1" s="3359"/>
      <c r="E1" s="3359"/>
      <c r="F1" s="3359"/>
      <c r="G1" s="3359"/>
      <c r="H1" s="3359"/>
      <c r="I1" s="3359"/>
      <c r="J1" s="3359"/>
      <c r="K1" s="3359"/>
      <c r="L1" s="3359"/>
      <c r="M1" s="3359"/>
      <c r="N1" s="3359"/>
      <c r="O1" s="3359"/>
      <c r="P1" s="3359"/>
      <c r="Q1" s="3359"/>
      <c r="R1" s="3359"/>
      <c r="S1" s="3360"/>
      <c r="T1" s="1206" t="s">
        <v>3011</v>
      </c>
    </row>
    <row r="2" spans="1:45" s="707" customFormat="1">
      <c r="A2" s="1207"/>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3013</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3014</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3015</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3016</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3019</v>
      </c>
      <c r="B17" s="2922" t="s">
        <v>3020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3021</v>
      </c>
      <c r="E19" s="1794"/>
      <c r="F19" s="1794"/>
      <c r="G19" s="1794"/>
      <c r="H19" s="1282"/>
      <c r="I19" s="168"/>
      <c r="J19" s="168"/>
      <c r="K19" s="168"/>
      <c r="L19" s="168"/>
      <c r="M19" s="168"/>
      <c r="N19" s="168"/>
      <c r="O19" s="168"/>
      <c r="P19" s="168"/>
      <c r="Q19" s="168"/>
      <c r="R19" s="788"/>
      <c r="S19" s="138"/>
    </row>
    <row r="20" spans="1:45" ht="16.5" thickBot="1">
      <c r="A20" s="715" t="s">
        <v>3022</v>
      </c>
      <c r="B20" s="338" t="e">
        <f ca="1">IF(D20="——",S22,S22-F20)</f>
        <v>#REF!</v>
      </c>
      <c r="C20" s="168"/>
      <c r="D20" s="2924" t="s">
        <v>3023</v>
      </c>
      <c r="E20" s="1795"/>
      <c r="F20" s="1206" t="e">
        <f ca="1">SUMIF(INDIRECT("'"&amp;H20&amp;"'"&amp;"!A:A"),"承租人权益价值",INDIRECT("'"&amp;H20&amp;"'"&amp;"!c:c"))</f>
        <v>#REF!</v>
      </c>
      <c r="G20" s="1206" t="s">
        <v>3024</v>
      </c>
      <c r="H20" s="2925"/>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221" t="s">
        <v>33</v>
      </c>
      <c r="D22" s="3222"/>
      <c r="E22" s="3222"/>
      <c r="F22" s="3222"/>
      <c r="G22" s="3222"/>
      <c r="H22" s="3222"/>
      <c r="I22" s="3222"/>
      <c r="J22" s="3222"/>
      <c r="K22" s="3222"/>
      <c r="L22" s="3222"/>
      <c r="M22" s="3222"/>
      <c r="N22" s="3222"/>
      <c r="O22" s="3222"/>
      <c r="P22" s="3222"/>
      <c r="Q22" s="3357"/>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38730</v>
      </c>
      <c r="C2" s="2" t="s">
        <v>133</v>
      </c>
      <c r="D2" s="243"/>
      <c r="E2" s="243"/>
      <c r="F2" s="243"/>
      <c r="G2" s="243"/>
    </row>
    <row r="3" spans="1:7" s="244" customFormat="1" ht="18" customHeight="1" thickBot="1">
      <c r="A3" s="247" t="s">
        <v>85</v>
      </c>
      <c r="B3" s="248">
        <f ca="1">ROUND(B2*10000/'数据-汇总表'!E3,0)</f>
        <v>14388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538</v>
      </c>
      <c r="D10" s="1034">
        <f>'数据-汇总表'!E6</f>
        <v>26917.519999999997</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538</v>
      </c>
      <c r="D19" s="1038">
        <f>'数据-汇总表'!E3</f>
        <v>26917.519999999997</v>
      </c>
      <c r="E19" s="255">
        <f>'数据-取费表'!B31</f>
        <v>200</v>
      </c>
      <c r="F19" s="275"/>
      <c r="G19" s="1" t="s">
        <v>1074</v>
      </c>
    </row>
    <row r="20" spans="1:7" s="258" customFormat="1" ht="13.5" customHeight="1">
      <c r="A20" s="950" t="s">
        <v>1057</v>
      </c>
      <c r="B20" s="254" t="s">
        <v>104</v>
      </c>
      <c r="C20" s="276">
        <f>ROUND((C5+C19)*F20,0)</f>
        <v>423</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2076</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52</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4314</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4314</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30337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7414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6517</v>
      </c>
      <c r="D34" s="261"/>
      <c r="E34" s="264"/>
      <c r="F34" s="301">
        <f>IF('数据-取费表'!B24=0,1,'数据-取费表'!N16)</f>
        <v>1</v>
      </c>
      <c r="G34" s="263" t="s">
        <v>116</v>
      </c>
    </row>
    <row r="35" spans="1:7" ht="13.5" customHeight="1">
      <c r="A35" s="953" t="s">
        <v>796</v>
      </c>
      <c r="B35" s="259" t="s">
        <v>60</v>
      </c>
      <c r="C35" s="264">
        <f>ROUND(C34*F35,0)</f>
        <v>261</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538</v>
      </c>
      <c r="D37" s="261">
        <f>'数据-汇总表'!E3</f>
        <v>26917.519999999997</v>
      </c>
      <c r="E37" s="293">
        <f>'数据-取费表'!B35</f>
        <v>200</v>
      </c>
      <c r="F37" s="303"/>
      <c r="G37" s="305" t="s">
        <v>119</v>
      </c>
    </row>
    <row r="38" spans="1:7" ht="13.5" customHeight="1">
      <c r="A38" s="953" t="s">
        <v>799</v>
      </c>
      <c r="B38" s="259" t="s">
        <v>63</v>
      </c>
      <c r="C38" s="264">
        <f>ROUND(C34*F38,0)</f>
        <v>98</v>
      </c>
      <c r="D38" s="264"/>
      <c r="E38" s="264"/>
      <c r="F38" s="303">
        <f>'数据-取费表'!B36</f>
        <v>1.4999999999999999E-2</v>
      </c>
      <c r="G38" s="263" t="s">
        <v>117</v>
      </c>
    </row>
    <row r="39" spans="1:7" s="258" customFormat="1" ht="13.5" customHeight="1">
      <c r="A39" s="950" t="s">
        <v>783</v>
      </c>
      <c r="B39" s="254" t="s">
        <v>104</v>
      </c>
      <c r="C39" s="276">
        <f>ROUND(C33*F20,0)</f>
        <v>148</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359</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352</v>
      </c>
      <c r="D42" s="282"/>
      <c r="E42" s="282"/>
      <c r="F42" s="283"/>
      <c r="G42" s="3226" t="s">
        <v>121</v>
      </c>
    </row>
    <row r="43" spans="1:7" ht="13.5" customHeight="1">
      <c r="A43" s="953" t="s">
        <v>792</v>
      </c>
      <c r="B43" s="259" t="s">
        <v>1064</v>
      </c>
      <c r="C43" s="282">
        <f ca="1">ROUND(IF('数据-取费表'!B22&lt;=1,C39*F22*'数据-取费表'!B21/2,C39*(POWER((1+F22),'数据-取费表'!B21/2)-1)),0)</f>
        <v>7</v>
      </c>
      <c r="D43" s="282"/>
      <c r="E43" s="282"/>
      <c r="F43" s="283"/>
      <c r="G43" s="3227"/>
    </row>
    <row r="44" spans="1:7" ht="13.5" customHeight="1">
      <c r="A44" s="953" t="s">
        <v>793</v>
      </c>
      <c r="B44" s="259" t="s">
        <v>1066</v>
      </c>
      <c r="C44" s="282">
        <f ca="1">ROUND(IF('数据-取费表'!B22&lt;=1,C40*F22*'数据-取费表'!B21/2,C40*(POWER((1+F22),'数据-取费表'!B21/2)-1)),4)</f>
        <v>1E-3</v>
      </c>
      <c r="D44" s="282"/>
      <c r="E44" s="282"/>
      <c r="F44" s="283"/>
      <c r="G44" s="3228"/>
    </row>
    <row r="45" spans="1:7" s="258" customFormat="1" ht="13.5" customHeight="1">
      <c r="A45" s="950" t="s">
        <v>786</v>
      </c>
      <c r="B45" s="288" t="s">
        <v>112</v>
      </c>
      <c r="C45" s="289">
        <f>C46</f>
        <v>1512</v>
      </c>
      <c r="D45" s="279">
        <f>C47</f>
        <v>4.0000000000000001E-3</v>
      </c>
      <c r="E45" s="280" t="s">
        <v>129</v>
      </c>
      <c r="F45" s="290"/>
      <c r="G45" s="291" t="s">
        <v>1072</v>
      </c>
    </row>
    <row r="46" spans="1:7" s="258" customFormat="1" ht="13.5" customHeight="1">
      <c r="A46" s="953" t="s">
        <v>794</v>
      </c>
      <c r="B46" s="292" t="s">
        <v>1065</v>
      </c>
      <c r="C46" s="293">
        <f>ROUND((C33+C39)*F27,0)</f>
        <v>1512</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10235</v>
      </c>
      <c r="D49" s="276"/>
      <c r="E49" s="276"/>
      <c r="F49" s="308"/>
      <c r="G49" s="278" t="s">
        <v>1073</v>
      </c>
    </row>
    <row r="50" spans="1:7" s="302" customFormat="1" ht="24">
      <c r="A50" s="950" t="s">
        <v>789</v>
      </c>
      <c r="B50" s="254" t="s">
        <v>124</v>
      </c>
      <c r="C50" s="276"/>
      <c r="D50" s="276"/>
      <c r="E50" s="276"/>
      <c r="F50" s="308">
        <f>IF('数据-取费表'!B24=0,'数据-取费表'!N16,1)</f>
        <v>0.82</v>
      </c>
      <c r="G50" s="291" t="s">
        <v>125</v>
      </c>
    </row>
    <row r="51" spans="1:7" ht="16.5" customHeight="1">
      <c r="A51" s="950" t="s">
        <v>790</v>
      </c>
      <c r="B51" s="254" t="s">
        <v>132</v>
      </c>
      <c r="C51" s="276">
        <f ca="1">ROUND(C49*F50,0)</f>
        <v>8393</v>
      </c>
      <c r="D51" s="276"/>
      <c r="E51" s="276"/>
      <c r="F51" s="308"/>
      <c r="G51" s="278" t="s">
        <v>64</v>
      </c>
    </row>
    <row r="52" spans="1:7" s="252" customFormat="1" ht="16.5" thickBot="1">
      <c r="A52" s="309" t="s">
        <v>65</v>
      </c>
      <c r="B52" s="310"/>
      <c r="C52" s="311">
        <f ca="1">C31+C51</f>
        <v>38730</v>
      </c>
      <c r="D52" s="310"/>
      <c r="E52" s="310"/>
      <c r="F52" s="310"/>
      <c r="G52" s="312"/>
    </row>
    <row r="55" spans="1:7" ht="15">
      <c r="B55" s="314" t="s">
        <v>66</v>
      </c>
      <c r="C55" s="315"/>
    </row>
    <row r="56" spans="1:7">
      <c r="B56" s="317" t="s">
        <v>67</v>
      </c>
      <c r="C56" s="318">
        <f ca="1">ROUND(C51/C52,3)</f>
        <v>0.217</v>
      </c>
    </row>
    <row r="57" spans="1:7">
      <c r="B57" s="317" t="s">
        <v>68</v>
      </c>
      <c r="C57" s="319">
        <f ca="1">1-C56</f>
        <v>0.78300000000000003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1642</v>
      </c>
      <c r="B2" s="3061" t="s">
        <v>1643</v>
      </c>
      <c r="C2" s="3061" t="s">
        <v>1644</v>
      </c>
      <c r="D2" s="3061" t="str">
        <f>'结果表-酒店配套'!D116</f>
        <v>出让国有建设用地使用权价值</v>
      </c>
      <c r="E2" s="3061"/>
      <c r="F2" s="3061" t="str">
        <f>'结果表-酒店配套'!F116</f>
        <v>在建建筑物价值</v>
      </c>
      <c r="G2" s="3061"/>
      <c r="H2" s="3061" t="str">
        <f>IF(项目基本情况!B9="房地产市场价值","房地产市场价值","房地产价值")</f>
        <v>房地产价值</v>
      </c>
      <c r="I2" s="3061"/>
    </row>
    <row r="3" spans="1:9" ht="15">
      <c r="A3" s="3055"/>
      <c r="B3" s="3055"/>
      <c r="C3" s="3055"/>
      <c r="D3" s="1046" t="s">
        <v>1639</v>
      </c>
      <c r="E3" s="1046" t="s">
        <v>1645</v>
      </c>
      <c r="F3" s="1046" t="s">
        <v>1639</v>
      </c>
      <c r="G3" s="1046" t="s">
        <v>1640</v>
      </c>
      <c r="H3" s="1046" t="s">
        <v>1639</v>
      </c>
      <c r="I3" s="1046" t="s">
        <v>1640</v>
      </c>
    </row>
    <row r="4" spans="1:9" ht="15">
      <c r="A4" s="1975" t="str">
        <f>项目基本情况!S2</f>
        <v>北京市房地产</v>
      </c>
      <c r="B4" s="1046">
        <f>项目基本情况!C17</f>
        <v>26917.519999999997</v>
      </c>
      <c r="C4" s="1046">
        <f>项目基本情况!C18</f>
        <v>3781.7</v>
      </c>
      <c r="D4" s="1046" t="e">
        <f ca="1">'结果表-酒店配套'!D118</f>
        <v>#REF!</v>
      </c>
      <c r="E4" s="1046" t="e">
        <f ca="1">'结果表-酒店配套'!E118</f>
        <v>#REF!</v>
      </c>
      <c r="F4" s="1046" t="e">
        <f ca="1">'结果表-酒店配套'!F118</f>
        <v>#REF!</v>
      </c>
      <c r="G4" s="1046" t="e">
        <f ca="1">'结果表-酒店配套'!G118</f>
        <v>#REF!</v>
      </c>
      <c r="H4" s="1046">
        <f ca="1">'结果表-酒店配套'!H118</f>
        <v>17124</v>
      </c>
      <c r="I4" s="1046">
        <f ca="1">'结果表-酒店配套'!I118</f>
        <v>34471</v>
      </c>
    </row>
    <row r="5" spans="1:9" ht="30" customHeight="1">
      <c r="A5" s="3055" t="s">
        <v>1641</v>
      </c>
      <c r="B5" s="3055"/>
      <c r="C5" s="3055"/>
      <c r="D5" s="3056" t="e">
        <f ca="1">'结果表-酒店配套'!D119</f>
        <v>#REF!</v>
      </c>
      <c r="E5" s="3056"/>
      <c r="F5" s="3056" t="e">
        <f ca="1">'结果表-酒店配套'!F119</f>
        <v>#REF!</v>
      </c>
      <c r="G5" s="3056"/>
      <c r="H5" s="3056" t="str">
        <f ca="1">'结果表-酒店配套'!H119</f>
        <v>壹亿柒仟壹佰贰拾肆万元整</v>
      </c>
      <c r="I5" s="3056"/>
    </row>
    <row r="6" spans="1:9" ht="15.75">
      <c r="A6" s="3054" t="str">
        <f>'结果表-酒店配套'!A120</f>
        <v>估价师知悉的法定优先受偿款</v>
      </c>
      <c r="B6" s="3054"/>
      <c r="C6" s="3054"/>
      <c r="D6" s="3054">
        <f>'结果表-酒店配套'!D120</f>
        <v>0</v>
      </c>
      <c r="E6" s="3054"/>
      <c r="F6" s="3054"/>
      <c r="G6" s="3054"/>
      <c r="H6" s="3054"/>
      <c r="I6" s="3054"/>
    </row>
    <row r="7" spans="1:9" ht="15">
      <c r="A7" s="3055" t="s">
        <v>1641</v>
      </c>
      <c r="B7" s="3055"/>
      <c r="C7" s="3055"/>
      <c r="D7" s="3057" t="str">
        <f>'结果表-酒店配套'!D121</f>
        <v>零元整</v>
      </c>
      <c r="E7" s="3058"/>
      <c r="F7" s="3058"/>
      <c r="G7" s="3058"/>
      <c r="H7" s="3058"/>
      <c r="I7" s="3059"/>
    </row>
    <row r="8" spans="1:9" ht="15.75">
      <c r="A8" s="3054" t="str">
        <f>'结果表-酒店配套'!A122</f>
        <v>房地产抵押价值</v>
      </c>
      <c r="B8" s="3054"/>
      <c r="C8" s="3054"/>
      <c r="D8" s="3054">
        <f ca="1">'结果表-酒店配套'!D122</f>
        <v>17124</v>
      </c>
      <c r="E8" s="3054"/>
      <c r="F8" s="3054"/>
      <c r="G8" s="3054"/>
      <c r="H8" s="3054"/>
      <c r="I8" s="3054"/>
    </row>
    <row r="9" spans="1:9" ht="15">
      <c r="A9" s="3055" t="s">
        <v>1641</v>
      </c>
      <c r="B9" s="3055"/>
      <c r="C9" s="3055"/>
      <c r="D9" s="3056" t="str">
        <f ca="1">'结果表-酒店配套'!D123</f>
        <v>壹亿柒仟壹佰贰拾肆万元整</v>
      </c>
      <c r="E9" s="3056"/>
      <c r="F9" s="3056"/>
      <c r="G9" s="3056"/>
      <c r="H9" s="3056"/>
      <c r="I9" s="3056"/>
    </row>
    <row r="10" spans="1:9" ht="15.75">
      <c r="A10" s="3054" t="str">
        <f>'结果表-酒店配套'!A124</f>
        <v/>
      </c>
      <c r="B10" s="3054"/>
      <c r="C10" s="3054"/>
      <c r="D10" s="3054" t="str">
        <f>'结果表-酒店配套'!D124</f>
        <v>——</v>
      </c>
      <c r="E10" s="3054"/>
      <c r="F10" s="3054"/>
      <c r="G10" s="3054"/>
      <c r="H10" s="3054"/>
      <c r="I10" s="3054"/>
    </row>
    <row r="11" spans="1:9" ht="15">
      <c r="A11" s="3055" t="s">
        <v>1641</v>
      </c>
      <c r="B11" s="3055"/>
      <c r="C11" s="3055"/>
      <c r="D11" s="3056" t="e">
        <f>'结果表-酒店配套'!D125</f>
        <v>#VALUE!</v>
      </c>
      <c r="E11" s="3056"/>
      <c r="F11" s="3056"/>
      <c r="G11" s="3056"/>
      <c r="H11" s="3056"/>
      <c r="I11" s="3056"/>
    </row>
    <row r="12" spans="1:9" ht="15.75">
      <c r="A12" s="3054" t="str">
        <f>'结果表-酒店配套'!A126</f>
        <v/>
      </c>
      <c r="B12" s="3054"/>
      <c r="C12" s="3054"/>
      <c r="D12" s="3054" t="str">
        <f>'结果表-酒店配套'!D126</f>
        <v>——</v>
      </c>
      <c r="E12" s="3054"/>
      <c r="F12" s="3054"/>
      <c r="G12" s="3054"/>
      <c r="H12" s="3054"/>
      <c r="I12" s="3054"/>
    </row>
    <row r="13" spans="1:9" ht="15.75" thickBot="1">
      <c r="A13" s="3051" t="s">
        <v>1641</v>
      </c>
      <c r="B13" s="3051"/>
      <c r="C13" s="3051"/>
      <c r="D13" s="3052" t="e">
        <f>'结果表-酒店配套'!D127</f>
        <v>#VALUE!</v>
      </c>
      <c r="E13" s="3052"/>
      <c r="F13" s="3052"/>
      <c r="G13" s="3052"/>
      <c r="H13" s="3052"/>
      <c r="I13" s="3052"/>
    </row>
    <row r="14" spans="1:9" ht="15" thickTop="1">
      <c r="A14" s="3053" t="s">
        <v>1646</v>
      </c>
      <c r="B14" s="3053"/>
      <c r="C14" s="3053"/>
      <c r="D14" s="3053"/>
      <c r="E14" s="3053"/>
      <c r="F14" s="3053"/>
      <c r="G14" s="3053"/>
      <c r="H14" s="3053"/>
      <c r="I14" s="3053"/>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61" t="s">
        <v>156</v>
      </c>
      <c r="B1" s="3361"/>
      <c r="C1" s="3361"/>
      <c r="D1" s="3361"/>
      <c r="E1" s="3361"/>
      <c r="F1" s="336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2" t="s">
        <v>169</v>
      </c>
      <c r="B2" s="3362"/>
      <c r="C2" s="3362"/>
      <c r="D2" s="3362"/>
      <c r="E2" s="3362"/>
      <c r="F2" s="336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1" t="s">
        <v>871</v>
      </c>
      <c r="B1" s="336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43157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5"/>
  <sheetViews>
    <sheetView workbookViewId="0">
      <selection activeCell="D10" sqref="D10:D14"/>
    </sheetView>
  </sheetViews>
  <sheetFormatPr defaultRowHeight="13.5"/>
  <cols>
    <col min="3" max="3" width="22.375" customWidth="1"/>
    <col min="4" max="4" width="12.75" customWidth="1"/>
    <col min="5" max="5" width="14.875" customWidth="1"/>
    <col min="6" max="6" width="12.25" customWidth="1"/>
    <col min="7" max="7" width="14.125" customWidth="1"/>
  </cols>
  <sheetData>
    <row r="1" spans="1:9" ht="14.25">
      <c r="A1" s="3370" t="s">
        <v>3116</v>
      </c>
      <c r="B1" s="3371"/>
      <c r="C1" s="3371"/>
      <c r="D1" s="3371"/>
      <c r="E1" s="3371"/>
      <c r="F1" s="3371"/>
      <c r="G1" s="3371"/>
      <c r="H1" s="2972" t="s">
        <v>3117</v>
      </c>
      <c r="I1" s="2973"/>
    </row>
    <row r="2" spans="1:9" ht="14.25">
      <c r="A2" s="2974" t="s">
        <v>1377</v>
      </c>
      <c r="B2" s="2975" t="s">
        <v>3118</v>
      </c>
      <c r="C2" s="3368" t="s">
        <v>3119</v>
      </c>
      <c r="D2" s="3369"/>
      <c r="E2" s="2975">
        <v>4129.8999999999996</v>
      </c>
      <c r="F2" s="2975"/>
      <c r="G2" s="2976"/>
      <c r="H2" s="2977">
        <v>604.17999999999995</v>
      </c>
      <c r="I2" s="2978"/>
    </row>
    <row r="3" spans="1:9" ht="14.25">
      <c r="A3" s="2979"/>
      <c r="B3" s="2975" t="s">
        <v>3120</v>
      </c>
      <c r="C3" s="3368" t="s">
        <v>3121</v>
      </c>
      <c r="D3" s="3369"/>
      <c r="E3" s="2975">
        <v>13597.08</v>
      </c>
      <c r="F3" s="2980"/>
      <c r="G3" s="2981" t="s">
        <v>3122</v>
      </c>
      <c r="H3" s="2972">
        <v>5122.3500000000004</v>
      </c>
      <c r="I3" s="2973"/>
    </row>
    <row r="4" spans="1:9" ht="14.25">
      <c r="A4" s="2982" t="s">
        <v>37</v>
      </c>
      <c r="B4" s="2980"/>
      <c r="C4" s="2980"/>
      <c r="D4" s="2980"/>
      <c r="E4" s="2975">
        <f>SUM(E2:E3)</f>
        <v>17726.98</v>
      </c>
      <c r="F4" s="2983"/>
      <c r="G4" s="2984">
        <v>14997</v>
      </c>
      <c r="H4" s="2973"/>
      <c r="I4" s="2973"/>
    </row>
    <row r="5" spans="1:9" ht="14.25">
      <c r="A5" s="2985"/>
      <c r="B5" s="2986"/>
      <c r="C5" s="2986" t="s">
        <v>3123</v>
      </c>
      <c r="D5" s="2986" t="s">
        <v>3124</v>
      </c>
      <c r="E5" s="2986"/>
      <c r="F5" s="2986"/>
      <c r="G5" s="2984"/>
      <c r="H5" s="2973"/>
      <c r="I5" s="2973"/>
    </row>
    <row r="6" spans="1:9" ht="14.25">
      <c r="A6" s="2974"/>
      <c r="B6" s="2986" t="s">
        <v>3120</v>
      </c>
      <c r="C6" s="2986">
        <f>ROUND(E4-G4,2)</f>
        <v>2729.98</v>
      </c>
      <c r="D6" s="2986">
        <f>ROUND(E3-C6,2)</f>
        <v>10867.1</v>
      </c>
      <c r="E6" s="2986"/>
      <c r="F6" s="2986"/>
      <c r="G6" s="2984"/>
      <c r="H6" s="2987"/>
      <c r="I6" s="2987"/>
    </row>
    <row r="7" spans="1:9" ht="15" thickBot="1">
      <c r="A7" s="2988"/>
      <c r="B7" s="2989" t="s">
        <v>3125</v>
      </c>
      <c r="C7" s="2989">
        <f>ROUND(H3/E3*C6,2)</f>
        <v>1028.45</v>
      </c>
      <c r="D7" s="2989">
        <f>ROUND(H3/E3*D6,2)</f>
        <v>4093.9</v>
      </c>
      <c r="E7" s="2990"/>
      <c r="F7" s="2990"/>
      <c r="G7" s="2991"/>
      <c r="H7" s="2992"/>
      <c r="I7" s="2987"/>
    </row>
    <row r="8" spans="1:9" ht="15" thickBot="1">
      <c r="A8" s="2993"/>
      <c r="B8" s="2987"/>
      <c r="C8" s="2987"/>
      <c r="D8" s="2987"/>
      <c r="E8" s="2987"/>
      <c r="F8" s="2987"/>
      <c r="G8" s="2994">
        <v>24</v>
      </c>
      <c r="H8" s="2987"/>
      <c r="I8" s="2987"/>
    </row>
    <row r="9" spans="1:9" ht="14.25">
      <c r="A9" s="2995" t="s">
        <v>3126</v>
      </c>
      <c r="B9" s="2996" t="s">
        <v>3127</v>
      </c>
      <c r="C9" s="2996" t="s">
        <v>3128</v>
      </c>
      <c r="D9" s="2996" t="s">
        <v>3129</v>
      </c>
      <c r="E9" s="2996" t="s">
        <v>3130</v>
      </c>
      <c r="F9" s="2996" t="s">
        <v>3131</v>
      </c>
      <c r="G9" s="2996" t="s">
        <v>3132</v>
      </c>
      <c r="H9" s="2996" t="s">
        <v>3133</v>
      </c>
      <c r="I9" s="2997" t="s">
        <v>3134</v>
      </c>
    </row>
    <row r="10" spans="1:9" ht="14.25">
      <c r="A10" s="2982">
        <v>1</v>
      </c>
      <c r="B10" s="2975">
        <v>10</v>
      </c>
      <c r="C10" s="2975" t="s">
        <v>3135</v>
      </c>
      <c r="D10" s="2975">
        <v>1157</v>
      </c>
      <c r="E10" s="2975">
        <v>22551115</v>
      </c>
      <c r="F10" s="2975">
        <f>ROUND(E10/B10,0)</f>
        <v>2255112</v>
      </c>
      <c r="G10" s="2975">
        <f>ROUND(G8*D10*12,0)</f>
        <v>333216</v>
      </c>
      <c r="H10" s="2975">
        <f>F10-G10</f>
        <v>1921896</v>
      </c>
      <c r="I10" s="2998">
        <f>ROUND(H10/D10/365,0)</f>
        <v>5</v>
      </c>
    </row>
    <row r="11" spans="1:9" ht="14.25">
      <c r="A11" s="2999">
        <v>2</v>
      </c>
      <c r="B11" s="2986">
        <v>8</v>
      </c>
      <c r="C11" s="2986" t="s">
        <v>3136</v>
      </c>
      <c r="D11" s="2986">
        <v>1194</v>
      </c>
      <c r="E11" s="2986">
        <v>18805221</v>
      </c>
      <c r="F11" s="2975">
        <f>ROUND(E11/B11,0)</f>
        <v>2350653</v>
      </c>
      <c r="G11" s="2975">
        <f>ROUND(G8*D11*12,0)</f>
        <v>343872</v>
      </c>
      <c r="H11" s="2975">
        <f>F11-G11</f>
        <v>2006781</v>
      </c>
      <c r="I11" s="2998">
        <f>ROUND(H11/D11/365,0)</f>
        <v>5</v>
      </c>
    </row>
    <row r="12" spans="1:9" ht="14.25">
      <c r="A12" s="2999">
        <v>3</v>
      </c>
      <c r="B12" s="2986">
        <v>8</v>
      </c>
      <c r="C12" s="2986" t="s">
        <v>3137</v>
      </c>
      <c r="D12" s="2986">
        <v>1146</v>
      </c>
      <c r="E12" s="2986">
        <v>6776304</v>
      </c>
      <c r="F12" s="2975">
        <f>ROUND(E12/B12,0)</f>
        <v>847038</v>
      </c>
      <c r="G12" s="2975">
        <f>ROUND(G8*D12*12,0)</f>
        <v>330048</v>
      </c>
      <c r="H12" s="2975">
        <f>F12-G12</f>
        <v>516990</v>
      </c>
      <c r="I12" s="2998">
        <f>ROUND(H12/D12/365,0)</f>
        <v>1</v>
      </c>
    </row>
    <row r="13" spans="1:9" ht="14.25">
      <c r="A13" s="2985">
        <v>4</v>
      </c>
      <c r="B13" s="2986">
        <v>12</v>
      </c>
      <c r="C13" s="2986" t="s">
        <v>3138</v>
      </c>
      <c r="D13" s="2986">
        <f>ROUND(D16-E2,2)</f>
        <v>7370.1</v>
      </c>
      <c r="E13" s="2986">
        <f>E16-E14</f>
        <v>171089501</v>
      </c>
      <c r="F13" s="2975">
        <f>ROUND(E13/B13,0)</f>
        <v>14257458</v>
      </c>
      <c r="G13" s="2975">
        <f>ROUND(G8*D13*12,0)</f>
        <v>2122589</v>
      </c>
      <c r="H13" s="2975">
        <f>F13-G13</f>
        <v>12134869</v>
      </c>
      <c r="I13" s="2998">
        <f>ROUND(H13/D13/365,0)</f>
        <v>5</v>
      </c>
    </row>
    <row r="14" spans="1:9" ht="15" thickBot="1">
      <c r="A14" s="3000">
        <v>5</v>
      </c>
      <c r="B14" s="3001">
        <v>12</v>
      </c>
      <c r="C14" s="3001" t="s">
        <v>3138</v>
      </c>
      <c r="D14" s="3001">
        <f>E2</f>
        <v>4129.8999999999996</v>
      </c>
      <c r="E14" s="3001">
        <f>ROUND(E16/D16*D14,0)</f>
        <v>95871499</v>
      </c>
      <c r="F14" s="3002">
        <f>ROUND(E14/B14,0)</f>
        <v>7989292</v>
      </c>
      <c r="G14" s="3002">
        <f>ROUND(G8*D14*12,0)</f>
        <v>1189411</v>
      </c>
      <c r="H14" s="3002">
        <f>F14-G14</f>
        <v>6799881</v>
      </c>
      <c r="I14" s="3003">
        <f>ROUND(H14/D14/365,0)</f>
        <v>5</v>
      </c>
    </row>
    <row r="15" spans="1:9" ht="14.25">
      <c r="A15" s="2987"/>
      <c r="B15" s="3004"/>
      <c r="C15" s="3004"/>
      <c r="D15" s="3005"/>
      <c r="E15" s="3006"/>
      <c r="F15" s="3006"/>
      <c r="G15" s="2992"/>
      <c r="H15" s="2992"/>
      <c r="I15" s="2992"/>
    </row>
    <row r="16" spans="1:9" ht="14.25">
      <c r="A16" s="2986">
        <v>4</v>
      </c>
      <c r="B16" s="2986">
        <v>12</v>
      </c>
      <c r="C16" s="2986" t="s">
        <v>3138</v>
      </c>
      <c r="D16" s="2986">
        <v>11500</v>
      </c>
      <c r="E16" s="3007">
        <v>266961000</v>
      </c>
      <c r="F16" s="3008"/>
      <c r="G16" s="2975">
        <f>ROUND(E16/B16,0)</f>
        <v>22246750</v>
      </c>
      <c r="H16" s="3009" t="s">
        <v>3139</v>
      </c>
      <c r="I16" s="3009" t="s">
        <v>3140</v>
      </c>
    </row>
    <row r="17" spans="1:9" ht="15" thickBot="1">
      <c r="A17" s="2987"/>
      <c r="B17" s="3004"/>
      <c r="C17" s="3004"/>
      <c r="D17" s="3005"/>
      <c r="E17" s="3006">
        <f>ROUND(E16*2,0)</f>
        <v>533922000</v>
      </c>
      <c r="F17" s="3006"/>
      <c r="G17" s="2992"/>
      <c r="H17" s="2975">
        <f>SUM(D10:D13)</f>
        <v>10867.1</v>
      </c>
      <c r="I17" s="2975">
        <f>SUM(H10:H13)</f>
        <v>16580536</v>
      </c>
    </row>
    <row r="18" spans="1:9" ht="15" thickBot="1">
      <c r="A18" s="3010" t="s">
        <v>3061</v>
      </c>
      <c r="B18" s="3004"/>
      <c r="C18" s="3004"/>
      <c r="D18" s="3005"/>
      <c r="E18" s="3006"/>
      <c r="F18" s="3006">
        <f>SUM(F10:F14)</f>
        <v>27699553</v>
      </c>
      <c r="G18" s="2992"/>
      <c r="H18" s="3011">
        <f>ROUND(I17/H17/365,2)</f>
        <v>4.18</v>
      </c>
      <c r="I18" s="3012"/>
    </row>
    <row r="19" spans="1:9" ht="15" thickBot="1">
      <c r="A19" s="2987"/>
      <c r="B19" s="3004"/>
      <c r="C19" s="3004"/>
      <c r="D19" s="3005"/>
      <c r="E19" s="3006"/>
      <c r="F19" s="3006"/>
      <c r="G19" s="2992"/>
      <c r="H19" s="2992"/>
      <c r="I19" s="2992"/>
    </row>
    <row r="20" spans="1:9" ht="14.25">
      <c r="A20" s="3013"/>
      <c r="B20" s="2996"/>
      <c r="C20" s="2996"/>
      <c r="D20" s="2996" t="s">
        <v>3129</v>
      </c>
      <c r="E20" s="2996" t="s">
        <v>3141</v>
      </c>
      <c r="F20" s="3014"/>
      <c r="G20" s="3015" t="s">
        <v>3117</v>
      </c>
      <c r="H20" s="2992"/>
      <c r="I20" s="2992"/>
    </row>
    <row r="21" spans="1:9" ht="15" thickBot="1">
      <c r="A21" s="3372" t="s">
        <v>3142</v>
      </c>
      <c r="B21" s="3373"/>
      <c r="C21" s="3374"/>
      <c r="D21" s="2986">
        <v>12474.67</v>
      </c>
      <c r="E21" s="2986">
        <v>292</v>
      </c>
      <c r="F21" s="3016"/>
      <c r="G21" s="3017">
        <v>4699.41</v>
      </c>
      <c r="H21" s="3018"/>
      <c r="I21" s="2987"/>
    </row>
    <row r="22" spans="1:9" ht="14.25">
      <c r="A22" s="3372" t="s">
        <v>3143</v>
      </c>
      <c r="B22" s="3373"/>
      <c r="C22" s="3374"/>
      <c r="D22" s="2986">
        <v>1433.01</v>
      </c>
      <c r="E22" s="2986">
        <v>23</v>
      </c>
      <c r="F22" s="3016"/>
      <c r="G22" s="3375">
        <v>2290.71</v>
      </c>
      <c r="H22" s="2992"/>
      <c r="I22" s="3006">
        <v>11524.59</v>
      </c>
    </row>
    <row r="23" spans="1:9" ht="14.25">
      <c r="A23" s="3372" t="s">
        <v>3144</v>
      </c>
      <c r="B23" s="3373"/>
      <c r="C23" s="3374"/>
      <c r="D23" s="2986">
        <f>I24</f>
        <v>11475.05</v>
      </c>
      <c r="E23" s="2986">
        <v>232</v>
      </c>
      <c r="F23" s="3016">
        <f>E22+E23+E24</f>
        <v>311</v>
      </c>
      <c r="G23" s="3376"/>
      <c r="H23" s="3018" t="s">
        <v>3145</v>
      </c>
      <c r="I23" s="3018">
        <v>49.54</v>
      </c>
    </row>
    <row r="24" spans="1:9" ht="15" thickBot="1">
      <c r="A24" s="3372" t="s">
        <v>3146</v>
      </c>
      <c r="B24" s="3373"/>
      <c r="C24" s="3374"/>
      <c r="D24" s="2986">
        <v>3595.49</v>
      </c>
      <c r="E24" s="2986">
        <v>56</v>
      </c>
      <c r="F24" s="2981">
        <f>SUM(D22:D24)</f>
        <v>16503.55</v>
      </c>
      <c r="G24" s="3377"/>
      <c r="H24" s="2992"/>
      <c r="I24" s="3006">
        <f>I22-I23</f>
        <v>11475.05</v>
      </c>
    </row>
    <row r="25" spans="1:9" ht="15" thickBot="1">
      <c r="A25" s="3000"/>
      <c r="B25" s="3365" t="s">
        <v>37</v>
      </c>
      <c r="C25" s="3366"/>
      <c r="D25" s="3001">
        <f>SUM(D21:D24)</f>
        <v>28978.22</v>
      </c>
      <c r="E25" s="3001">
        <f>SUM(E21:E24)</f>
        <v>603</v>
      </c>
      <c r="F25" s="3019"/>
      <c r="G25" s="3020">
        <f>SUM(G21:G24)</f>
        <v>6990.12</v>
      </c>
      <c r="H25" s="3018"/>
      <c r="I25" s="3018"/>
    </row>
    <row r="26" spans="1:9" ht="14.25">
      <c r="A26" s="2987"/>
      <c r="B26" s="3367"/>
      <c r="C26" s="3367"/>
      <c r="D26" s="2987"/>
      <c r="E26" s="2987"/>
      <c r="F26" s="3021"/>
      <c r="G26" s="2987"/>
      <c r="H26" s="2987"/>
      <c r="I26" s="2987"/>
    </row>
    <row r="27" spans="1:9" ht="14.25">
      <c r="A27" s="2987"/>
      <c r="B27" s="2987"/>
      <c r="C27" s="2987"/>
      <c r="D27" s="2987"/>
      <c r="E27" s="3022"/>
      <c r="F27" s="2973"/>
      <c r="G27" s="2973"/>
      <c r="H27" s="2973"/>
      <c r="I27" s="2973"/>
    </row>
    <row r="28" spans="1:9" ht="14.25">
      <c r="A28" s="3023"/>
      <c r="B28" s="3023"/>
      <c r="C28" s="3023"/>
      <c r="D28" s="3023"/>
      <c r="E28" s="3024"/>
      <c r="F28" s="3023"/>
      <c r="G28" s="3023"/>
      <c r="H28" s="3023"/>
      <c r="I28" s="3023"/>
    </row>
    <row r="29" spans="1:9" ht="14.25">
      <c r="A29" s="3025" t="s">
        <v>3147</v>
      </c>
      <c r="B29" s="3026"/>
      <c r="C29" s="3027" t="s">
        <v>3148</v>
      </c>
      <c r="D29" s="3027" t="s">
        <v>3117</v>
      </c>
      <c r="E29" s="2986" t="s">
        <v>3149</v>
      </c>
      <c r="F29" s="2973"/>
      <c r="G29" s="2973"/>
      <c r="H29" s="2973"/>
      <c r="I29" s="2973"/>
    </row>
    <row r="30" spans="1:9" ht="14.25">
      <c r="B30" s="3028" t="s">
        <v>3150</v>
      </c>
      <c r="C30" s="3029">
        <f>E2+F24</f>
        <v>20633.449999999997</v>
      </c>
      <c r="D30" s="3026">
        <f>H2+G22</f>
        <v>2894.89</v>
      </c>
      <c r="E30" s="2986">
        <f>ROUND(C30/D30,2)</f>
        <v>7.13</v>
      </c>
      <c r="F30" s="2973"/>
      <c r="G30" s="2973"/>
      <c r="H30" s="2973">
        <f>D25+E4</f>
        <v>46705.2</v>
      </c>
      <c r="I30" s="2973"/>
    </row>
    <row r="31" spans="1:9" ht="14.25">
      <c r="B31" s="3028" t="s">
        <v>3151</v>
      </c>
      <c r="C31" s="3029">
        <f>E3+D21</f>
        <v>26071.75</v>
      </c>
      <c r="D31" s="3026">
        <f>H3+G21</f>
        <v>9821.76</v>
      </c>
      <c r="E31" s="2986">
        <f>ROUND(C31/D31,2)</f>
        <v>2.65</v>
      </c>
      <c r="F31" s="2973"/>
      <c r="G31" s="2973"/>
      <c r="H31" s="2973">
        <f>ROUND(H30/D31,2)</f>
        <v>4.76</v>
      </c>
      <c r="I31" s="2973"/>
    </row>
    <row r="32" spans="1:9" ht="14.25">
      <c r="B32" s="3028" t="s">
        <v>3147</v>
      </c>
      <c r="C32" s="3029">
        <f>SUM(C30:C31)</f>
        <v>46705.2</v>
      </c>
      <c r="D32" s="3026"/>
      <c r="E32" s="2986"/>
      <c r="F32" s="2973"/>
      <c r="G32" s="2973"/>
      <c r="H32" s="2973"/>
      <c r="I32" s="2973"/>
    </row>
    <row r="33" spans="5:9" ht="14.25">
      <c r="E33" s="2987"/>
      <c r="F33" s="2973">
        <v>46705.2</v>
      </c>
      <c r="G33" s="2973"/>
      <c r="H33" s="2973"/>
      <c r="I33" s="2973"/>
    </row>
    <row r="34" spans="5:9">
      <c r="E34" s="3030"/>
      <c r="F34" s="3030">
        <f>F33+B33+B34</f>
        <v>46705.2</v>
      </c>
      <c r="G34" s="3030"/>
      <c r="H34" s="3030"/>
      <c r="I34" s="3030"/>
    </row>
    <row r="35" spans="5:9">
      <c r="E35" s="3030"/>
      <c r="F35" s="3030"/>
      <c r="G35" s="3030"/>
      <c r="H35" s="3030"/>
      <c r="I35" s="3030"/>
    </row>
  </sheetData>
  <mergeCells count="10">
    <mergeCell ref="B25:C25"/>
    <mergeCell ref="B26:C26"/>
    <mergeCell ref="C2:D2"/>
    <mergeCell ref="C3:D3"/>
    <mergeCell ref="A1:G1"/>
    <mergeCell ref="A21:C21"/>
    <mergeCell ref="A22:C22"/>
    <mergeCell ref="G22:G24"/>
    <mergeCell ref="A23:C23"/>
    <mergeCell ref="A24:C24"/>
  </mergeCells>
  <phoneticPr fontId="143" type="noConversion"/>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G32" sqref="G32"/>
    </sheetView>
  </sheetViews>
  <sheetFormatPr defaultRowHeight="13.5"/>
  <sheetData>
    <row r="1" spans="1:3">
      <c r="A1" s="3031" t="s">
        <v>3152</v>
      </c>
      <c r="B1">
        <v>576</v>
      </c>
      <c r="C1">
        <v>60764</v>
      </c>
    </row>
    <row r="2" spans="1:3">
      <c r="A2" s="3031" t="s">
        <v>3153</v>
      </c>
      <c r="B2">
        <v>190</v>
      </c>
      <c r="C2">
        <v>63158</v>
      </c>
    </row>
    <row r="3" spans="1:3">
      <c r="A3" s="3031" t="s">
        <v>3154</v>
      </c>
      <c r="B3">
        <v>234</v>
      </c>
      <c r="C3">
        <v>64103</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68" t="s">
        <v>1663</v>
      </c>
      <c r="B1" s="3068"/>
      <c r="C1" s="3068"/>
      <c r="D1" s="3068"/>
    </row>
    <row r="2" spans="1:4" ht="18">
      <c r="A2" s="3069" t="s">
        <v>1647</v>
      </c>
      <c r="B2" s="3069"/>
      <c r="C2" s="3069"/>
      <c r="D2" s="3069"/>
    </row>
    <row r="3" spans="1:4" ht="18.75">
      <c r="A3" s="1979" t="s">
        <v>1648</v>
      </c>
      <c r="B3" s="1979" t="s">
        <v>1649</v>
      </c>
      <c r="C3" s="1979" t="s">
        <v>1650</v>
      </c>
      <c r="D3" s="1979" t="s">
        <v>1651</v>
      </c>
    </row>
    <row r="4" spans="1:4" ht="56.25" customHeight="1">
      <c r="A4" s="1980" t="str">
        <f>项目基本情况!B4</f>
        <v>刘梅</v>
      </c>
      <c r="B4" s="1981">
        <f ca="1">项目基本情况!C4</f>
        <v>1120140022</v>
      </c>
      <c r="C4" s="1982"/>
      <c r="D4" s="1983" t="s">
        <v>1652</v>
      </c>
    </row>
    <row r="5" spans="1:4" ht="56.25" customHeight="1">
      <c r="A5" s="1980" t="str">
        <f>项目基本情况!D4</f>
        <v>吴薇</v>
      </c>
      <c r="B5" s="1981">
        <f ca="1">项目基本情况!E4</f>
        <v>1419970001</v>
      </c>
      <c r="C5" s="1984"/>
      <c r="D5" s="1983" t="s">
        <v>1652</v>
      </c>
    </row>
    <row r="6" spans="1:4" ht="18">
      <c r="A6" s="3069" t="s">
        <v>1653</v>
      </c>
      <c r="B6" s="3069"/>
      <c r="C6" s="3069"/>
      <c r="D6" s="3069"/>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070" t="s">
        <v>1656</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7"/>
      <c r="C12" s="3067"/>
      <c r="D12" s="3067"/>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7"/>
      <c r="C13" s="3067"/>
      <c r="D13" s="3067"/>
    </row>
    <row r="14" spans="1:4" ht="15.75" customHeight="1">
      <c r="A14" s="3062" t="str">
        <f>IF(项目基本情况!B8="抵押","4.本次评估估价师所知悉的法定优先受偿款情况说明如下：","——")</f>
        <v>4.本次评估估价师所知悉的法定优先受偿款情况说明如下：</v>
      </c>
      <c r="B14" s="3067"/>
      <c r="C14" s="3067"/>
      <c r="D14" s="3067"/>
    </row>
    <row r="15" spans="1:4" ht="42" customHeight="1">
      <c r="A15" s="30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2"/>
      <c r="C15" s="3062"/>
      <c r="D15" s="3062"/>
    </row>
    <row r="16" spans="1:4" ht="30" customHeight="1">
      <c r="A16" s="3064" t="s">
        <v>1657</v>
      </c>
      <c r="B16" s="3064"/>
      <c r="C16" s="3064"/>
      <c r="D16" s="3064"/>
    </row>
    <row r="17" spans="1:4" ht="144" customHeight="1">
      <c r="A17" s="3064" t="s">
        <v>1658</v>
      </c>
      <c r="B17" s="3064"/>
      <c r="C17" s="3064"/>
      <c r="D17" s="3064"/>
    </row>
    <row r="18" spans="1:4" ht="15.75" customHeight="1">
      <c r="A18" s="3062" t="str">
        <f>IF(项目基本情况!B8="抵押",'结果表-酒店配套'!K120,"——")</f>
        <v>故，本次评估不存在估价师知悉的法定优先受偿款</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酒店配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2"/>
      <c r="C20" s="3062"/>
      <c r="D20" s="3062"/>
    </row>
    <row r="21" spans="1:4" ht="57.75" customHeight="1">
      <c r="A21" s="3065" t="str">
        <f>IF('结果表-酒店配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5"/>
      <c r="C21" s="3065"/>
      <c r="D21" s="3065"/>
    </row>
    <row r="22" spans="1:4" ht="18.75" customHeight="1">
      <c r="A22" s="3066" t="s">
        <v>1659</v>
      </c>
      <c r="B22" s="3066"/>
      <c r="C22" s="3066"/>
      <c r="D22" s="3066"/>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63">
        <v>42551</v>
      </c>
      <c r="D31" s="30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76" t="s">
        <v>1670</v>
      </c>
      <c r="B15" s="3071" t="s">
        <v>136</v>
      </c>
      <c r="C15" s="3072"/>
    </row>
    <row r="16" spans="1:7" ht="13.5">
      <c r="A16" s="3077"/>
      <c r="B16" s="3071" t="s">
        <v>69</v>
      </c>
      <c r="C16" s="3072"/>
    </row>
    <row r="17" spans="1:3" ht="13.5">
      <c r="A17" s="3077"/>
      <c r="B17" s="3074" t="s">
        <v>1671</v>
      </c>
      <c r="C17" s="2002" t="s">
        <v>1670</v>
      </c>
    </row>
    <row r="18" spans="1:3" ht="13.5">
      <c r="A18" s="3077"/>
      <c r="B18" s="3074"/>
      <c r="C18" s="2002" t="s">
        <v>1672</v>
      </c>
    </row>
    <row r="19" spans="1:3" ht="13.5">
      <c r="A19" s="3077"/>
      <c r="B19" s="3074"/>
      <c r="C19" s="2002" t="s">
        <v>1673</v>
      </c>
    </row>
    <row r="20" spans="1:3" ht="13.5">
      <c r="A20" s="3078"/>
      <c r="B20" s="3073" t="s">
        <v>1674</v>
      </c>
      <c r="C20" s="3072"/>
    </row>
    <row r="21" spans="1:3" ht="13.5">
      <c r="A21" s="2003" t="s">
        <v>1675</v>
      </c>
      <c r="B21" s="2004"/>
      <c r="C21" s="2005"/>
    </row>
    <row r="22" spans="1:3" ht="13.5">
      <c r="A22" s="3075" t="s">
        <v>1676</v>
      </c>
      <c r="B22" s="3073" t="s">
        <v>1677</v>
      </c>
      <c r="C22" s="3072"/>
    </row>
    <row r="23" spans="1:3" ht="13.5">
      <c r="A23" s="3075"/>
      <c r="B23" s="3073" t="s">
        <v>1678</v>
      </c>
      <c r="C23" s="3072"/>
    </row>
    <row r="24" spans="1:3" ht="13.5">
      <c r="A24" s="3075"/>
      <c r="B24" s="3073" t="s">
        <v>1679</v>
      </c>
      <c r="C24" s="3072"/>
    </row>
    <row r="25" spans="1:3" ht="13.5">
      <c r="A25" s="3075"/>
      <c r="B25" s="3074" t="s">
        <v>1680</v>
      </c>
      <c r="C25" s="2002" t="s">
        <v>1681</v>
      </c>
    </row>
    <row r="26" spans="1:3" ht="13.5">
      <c r="A26" s="3075"/>
      <c r="B26" s="3074"/>
      <c r="C26" s="2002" t="s">
        <v>1682</v>
      </c>
    </row>
    <row r="27" spans="1:3" ht="13.5">
      <c r="A27" s="3075"/>
      <c r="B27" s="3074"/>
      <c r="C27" s="2002" t="s">
        <v>1683</v>
      </c>
    </row>
    <row r="28" spans="1:3" ht="13.5">
      <c r="A28" s="3075"/>
      <c r="B28" s="3074"/>
      <c r="C28" s="2002" t="s">
        <v>1684</v>
      </c>
    </row>
    <row r="29" spans="1:3" ht="13.5">
      <c r="A29" s="3075"/>
      <c r="B29" s="3074"/>
      <c r="C29" s="2002" t="s">
        <v>1685</v>
      </c>
    </row>
    <row r="30" spans="1:3" ht="13.5">
      <c r="A30" s="3075"/>
      <c r="B30" s="3074"/>
      <c r="C30" s="2002" t="s">
        <v>1686</v>
      </c>
    </row>
    <row r="31" spans="1:3" ht="13.5">
      <c r="A31" s="3075"/>
      <c r="B31" s="3074"/>
      <c r="C31" s="2002" t="s">
        <v>1687</v>
      </c>
    </row>
    <row r="32" spans="1:3" ht="13.5">
      <c r="A32" s="3075"/>
      <c r="B32" s="3074"/>
      <c r="C32" s="2002" t="s">
        <v>1688</v>
      </c>
    </row>
    <row r="33" spans="1:3" ht="13.5">
      <c r="A33" s="3075"/>
      <c r="B33" s="3074"/>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43168</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43359</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c r="B12" s="1024"/>
      <c r="C12" s="2350"/>
      <c r="D12" s="2353"/>
      <c r="E12" s="1024"/>
      <c r="F12" s="1024"/>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350">
        <v>43304</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079" t="s">
        <v>846</v>
      </c>
      <c r="B25" s="3079"/>
      <c r="C25" s="3079"/>
      <c r="D25" s="3079"/>
      <c r="E25" s="3079"/>
      <c r="F25" s="3079"/>
      <c r="G25" s="3079"/>
    </row>
    <row r="26" spans="1:7" s="1027" customFormat="1" ht="24" customHeight="1">
      <c r="A26" s="3080" t="s">
        <v>847</v>
      </c>
      <c r="B26" s="3080"/>
      <c r="C26" s="3081"/>
      <c r="D26" s="3082" t="s">
        <v>848</v>
      </c>
      <c r="E26" s="3080"/>
      <c r="F26" s="3080"/>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6" priority="55">
      <formula>AND($C28-TODAY()&lt;30,TODAY()&lt;$C28)</formula>
    </cfRule>
  </conditionalFormatting>
  <conditionalFormatting sqref="C28 F4">
    <cfRule type="cellIs" dxfId="235" priority="57" stopIfTrue="1" operator="lessThan">
      <formula>$B$2</formula>
    </cfRule>
  </conditionalFormatting>
  <conditionalFormatting sqref="C5">
    <cfRule type="expression" dxfId="234" priority="52">
      <formula>AND($C5-TODAY()&lt;30,TODAY()&lt;$C5)</formula>
    </cfRule>
  </conditionalFormatting>
  <conditionalFormatting sqref="C5 F5">
    <cfRule type="cellIs" dxfId="233" priority="53" stopIfTrue="1" operator="lessThan">
      <formula>$B$2</formula>
    </cfRule>
  </conditionalFormatting>
  <conditionalFormatting sqref="F6 F8 F10">
    <cfRule type="cellIs" dxfId="232" priority="51" stopIfTrue="1" operator="lessThan">
      <formula>$B$2</formula>
    </cfRule>
  </conditionalFormatting>
  <conditionalFormatting sqref="C4:C23">
    <cfRule type="expression" dxfId="231" priority="49">
      <formula>AND($C4-TODAY()&lt;30,TODAY()&lt;$C4)</formula>
    </cfRule>
  </conditionalFormatting>
  <conditionalFormatting sqref="F7 F9 F11 C4:C23">
    <cfRule type="cellIs" dxfId="230" priority="50" stopIfTrue="1" operator="lessThan">
      <formula>$B$2</formula>
    </cfRule>
  </conditionalFormatting>
  <conditionalFormatting sqref="C12">
    <cfRule type="expression" dxfId="229" priority="47">
      <formula>AND($C12-TODAY()&lt;30,TODAY()&lt;$C12)</formula>
    </cfRule>
  </conditionalFormatting>
  <conditionalFormatting sqref="C12">
    <cfRule type="cellIs" dxfId="228" priority="48" stopIfTrue="1" operator="lessThan">
      <formula>$B$2</formula>
    </cfRule>
  </conditionalFormatting>
  <conditionalFormatting sqref="C14">
    <cfRule type="expression" dxfId="227" priority="43">
      <formula>AND($C14-TODAY()&lt;30,TODAY()&lt;$C14)</formula>
    </cfRule>
  </conditionalFormatting>
  <conditionalFormatting sqref="C14">
    <cfRule type="cellIs" dxfId="226" priority="44" stopIfTrue="1" operator="lessThan">
      <formula>$B$2</formula>
    </cfRule>
  </conditionalFormatting>
  <conditionalFormatting sqref="C16">
    <cfRule type="expression" dxfId="225" priority="41">
      <formula>AND($C16-TODAY()&lt;30,TODAY()&lt;$C16)</formula>
    </cfRule>
  </conditionalFormatting>
  <conditionalFormatting sqref="C16">
    <cfRule type="cellIs" dxfId="224" priority="42" stopIfTrue="1" operator="lessThan">
      <formula>$B$2</formula>
    </cfRule>
  </conditionalFormatting>
  <conditionalFormatting sqref="C18">
    <cfRule type="expression" dxfId="223" priority="39">
      <formula>AND($C18-TODAY()&lt;30,TODAY()&lt;$C18)</formula>
    </cfRule>
  </conditionalFormatting>
  <conditionalFormatting sqref="C18">
    <cfRule type="cellIs" dxfId="222" priority="40" stopIfTrue="1" operator="lessThan">
      <formula>$B$2</formula>
    </cfRule>
  </conditionalFormatting>
  <conditionalFormatting sqref="C20">
    <cfRule type="expression" dxfId="221" priority="37">
      <formula>AND($C20-TODAY()&lt;30,TODAY()&lt;$C20)</formula>
    </cfRule>
  </conditionalFormatting>
  <conditionalFormatting sqref="C20">
    <cfRule type="cellIs" dxfId="220" priority="38" stopIfTrue="1" operator="lessThan">
      <formula>$B$2</formula>
    </cfRule>
  </conditionalFormatting>
  <conditionalFormatting sqref="C22">
    <cfRule type="expression" dxfId="219" priority="35">
      <formula>AND($C22-TODAY()&lt;30,TODAY()&lt;$C22)</formula>
    </cfRule>
  </conditionalFormatting>
  <conditionalFormatting sqref="C22">
    <cfRule type="cellIs" dxfId="218" priority="36" stopIfTrue="1" operator="lessThan">
      <formula>$B$2</formula>
    </cfRule>
  </conditionalFormatting>
  <conditionalFormatting sqref="C15">
    <cfRule type="expression" dxfId="217" priority="33">
      <formula>AND($C15-TODAY()&lt;30,TODAY()&lt;$C15)</formula>
    </cfRule>
  </conditionalFormatting>
  <conditionalFormatting sqref="C15">
    <cfRule type="cellIs" dxfId="216" priority="34" stopIfTrue="1" operator="lessThan">
      <formula>$B$2</formula>
    </cfRule>
  </conditionalFormatting>
  <conditionalFormatting sqref="C17">
    <cfRule type="expression" dxfId="215" priority="31">
      <formula>AND($C17-TODAY()&lt;30,TODAY()&lt;$C17)</formula>
    </cfRule>
  </conditionalFormatting>
  <conditionalFormatting sqref="C17">
    <cfRule type="cellIs" dxfId="214" priority="32" stopIfTrue="1" operator="lessThan">
      <formula>$B$2</formula>
    </cfRule>
  </conditionalFormatting>
  <conditionalFormatting sqref="C19">
    <cfRule type="expression" dxfId="213" priority="29">
      <formula>AND($C19-TODAY()&lt;30,TODAY()&lt;$C19)</formula>
    </cfRule>
  </conditionalFormatting>
  <conditionalFormatting sqref="C19">
    <cfRule type="cellIs" dxfId="212" priority="30" stopIfTrue="1" operator="lessThan">
      <formula>$B$2</formula>
    </cfRule>
  </conditionalFormatting>
  <conditionalFormatting sqref="C21">
    <cfRule type="expression" dxfId="211" priority="27">
      <formula>AND($C21-TODAY()&lt;30,TODAY()&lt;$C21)</formula>
    </cfRule>
  </conditionalFormatting>
  <conditionalFormatting sqref="C21">
    <cfRule type="cellIs" dxfId="210" priority="28" stopIfTrue="1" operator="lessThan">
      <formula>$B$2</formula>
    </cfRule>
  </conditionalFormatting>
  <conditionalFormatting sqref="C23">
    <cfRule type="expression" dxfId="209" priority="25">
      <formula>AND($C23-TODAY()&lt;30,TODAY()&lt;$C23)</formula>
    </cfRule>
  </conditionalFormatting>
  <conditionalFormatting sqref="C23">
    <cfRule type="cellIs" dxfId="208" priority="26" stopIfTrue="1" operator="lessThan">
      <formula>$B$2</formula>
    </cfRule>
  </conditionalFormatting>
  <conditionalFormatting sqref="F16">
    <cfRule type="cellIs" dxfId="207" priority="23" stopIfTrue="1" operator="lessThan">
      <formula>$B$2</formula>
    </cfRule>
  </conditionalFormatting>
  <conditionalFormatting sqref="F18">
    <cfRule type="cellIs" dxfId="206" priority="22" stopIfTrue="1" operator="lessThan">
      <formula>$B$2</formula>
    </cfRule>
  </conditionalFormatting>
  <conditionalFormatting sqref="F22">
    <cfRule type="cellIs" dxfId="205" priority="21" stopIfTrue="1" operator="lessThan">
      <formula>$B$2</formula>
    </cfRule>
  </conditionalFormatting>
  <conditionalFormatting sqref="F21">
    <cfRule type="cellIs" dxfId="204" priority="20" stopIfTrue="1" operator="lessThan">
      <formula>$B$2</formula>
    </cfRule>
  </conditionalFormatting>
  <conditionalFormatting sqref="F17">
    <cfRule type="cellIs" dxfId="203" priority="19" stopIfTrue="1" operator="lessThan">
      <formula>$B$2</formula>
    </cfRule>
  </conditionalFormatting>
  <conditionalFormatting sqref="B4:B14 E4:E14 B16:B23 E16:E23">
    <cfRule type="cellIs" dxfId="202" priority="18" stopIfTrue="1" operator="equal">
      <formula>"已过期"</formula>
    </cfRule>
  </conditionalFormatting>
  <conditionalFormatting sqref="A24:F24">
    <cfRule type="cellIs" dxfId="201" priority="14" stopIfTrue="1" operator="equal">
      <formula>"已过期"</formula>
    </cfRule>
  </conditionalFormatting>
  <conditionalFormatting sqref="F28">
    <cfRule type="expression" dxfId="200" priority="12">
      <formula>AND($E28-TODAY()&lt;30,TODAY()&lt;$E28)</formula>
    </cfRule>
  </conditionalFormatting>
  <conditionalFormatting sqref="F28">
    <cfRule type="cellIs" dxfId="199" priority="13" stopIfTrue="1" operator="lessThan">
      <formula>$B$2</formula>
    </cfRule>
  </conditionalFormatting>
  <conditionalFormatting sqref="F29">
    <cfRule type="expression" dxfId="198" priority="8" stopIfTrue="1">
      <formula>AND($E29-TODAY()&lt;30,TODAY()&lt;$E29)</formula>
    </cfRule>
  </conditionalFormatting>
  <conditionalFormatting sqref="F29">
    <cfRule type="cellIs" dxfId="197" priority="9" stopIfTrue="1" operator="lessThan">
      <formula>$B$2</formula>
    </cfRule>
  </conditionalFormatting>
  <conditionalFormatting sqref="B15">
    <cfRule type="cellIs" dxfId="196" priority="6" stopIfTrue="1" operator="equal">
      <formula>"已过期"</formula>
    </cfRule>
  </conditionalFormatting>
  <conditionalFormatting sqref="A15">
    <cfRule type="cellIs" dxfId="195" priority="5" stopIfTrue="1" operator="equal">
      <formula>"已过期"</formula>
    </cfRule>
  </conditionalFormatting>
  <conditionalFormatting sqref="C15">
    <cfRule type="expression" dxfId="194" priority="4">
      <formula>AND($C15-TODAY()&lt;30,TODAY()&lt;$C15)</formula>
    </cfRule>
  </conditionalFormatting>
  <conditionalFormatting sqref="E15">
    <cfRule type="cellIs" dxfId="193" priority="3" stopIfTrue="1" operator="equal">
      <formula>"已过期"</formula>
    </cfRule>
  </conditionalFormatting>
  <conditionalFormatting sqref="D15">
    <cfRule type="cellIs" dxfId="192" priority="2" stopIfTrue="1" operator="equal">
      <formula>"已过期"</formula>
    </cfRule>
  </conditionalFormatting>
  <conditionalFormatting sqref="F13">
    <cfRule type="cellIs" dxfId="19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Sheet4</vt:lpstr>
      <vt:lpstr>系统读取表</vt:lpstr>
      <vt:lpstr>结果表-酒店配套</vt:lpstr>
      <vt:lpstr>结果表-办公</vt:lpstr>
      <vt:lpstr>结果表-车库</vt:lpstr>
      <vt:lpstr>结果表-地下商业</vt:lpstr>
      <vt:lpstr>成本法 (元)</vt:lpstr>
      <vt:lpstr>假设开发法</vt:lpstr>
      <vt:lpstr>成本法-酒店配套</vt:lpstr>
      <vt:lpstr>收益法-酒店配套</vt:lpstr>
      <vt:lpstr>收益法 (元)</vt:lpstr>
      <vt:lpstr>收益法（汇总）</vt:lpstr>
      <vt:lpstr>酒店收入计算</vt:lpstr>
      <vt:lpstr>比较法-住宅</vt:lpstr>
      <vt:lpstr>成本法-办公</vt:lpstr>
      <vt:lpstr>比较法-办公</vt:lpstr>
      <vt:lpstr>比较法-工业</vt:lpstr>
      <vt:lpstr>收益法-办公</vt:lpstr>
      <vt:lpstr>基准地价修正</vt:lpstr>
      <vt:lpstr>比较法-车位</vt:lpstr>
      <vt:lpstr>比较法-仓储</vt:lpstr>
      <vt:lpstr>土地比较法-住宅、综合</vt:lpstr>
      <vt:lpstr>土地比较法-工业</vt:lpstr>
      <vt:lpstr>收益法-车位</vt:lpstr>
      <vt:lpstr>比较法-商业</vt:lpstr>
      <vt:lpstr>成本法-地下商业</vt:lpstr>
      <vt:lpstr>收益法-地下商业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'收益法-办公'!Print_Area</vt:lpstr>
      <vt:lpstr>'收益法-车位'!Print_Area</vt:lpstr>
      <vt:lpstr>'收益法-地下商业'!Print_Area</vt:lpstr>
      <vt:lpstr>'收益法-酒店配套'!Print_Area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2018-03-09T06:35:40Z</dcterms:modified>
</cp:coreProperties>
</file>