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19200" windowHeight="11370" tabRatio="936"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车位" sheetId="35"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办公" sheetId="34" state="hidden" r:id="rId25"/>
    <sheet name="比较法-工业" sheetId="37"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definedNames>
    <definedName name="_xlnm._FilterDatabase" localSheetId="24" hidden="1">'比较法-办公'!$A$1:$L$50</definedName>
    <definedName name="_xlnm._FilterDatabase" localSheetId="26" hidden="1">'比较法-仓储'!$A$1:$L$37</definedName>
    <definedName name="_xlnm._FilterDatabase" localSheetId="18"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G37" i="35" l="1"/>
  <c r="G5" i="35"/>
  <c r="I37" i="35"/>
  <c r="I5" i="35"/>
  <c r="E20" i="1"/>
  <c r="C29" i="35" s="1"/>
  <c r="E5" i="35"/>
  <c r="E37" i="35"/>
  <c r="B29" i="31"/>
  <c r="B30" i="31"/>
  <c r="B31" i="31"/>
  <c r="B32" i="31"/>
  <c r="B33" i="31"/>
  <c r="B34" i="31"/>
  <c r="B35" i="31"/>
  <c r="B36"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7" i="31"/>
  <c r="B68" i="31"/>
  <c r="B69" i="31"/>
  <c r="B70" i="31"/>
  <c r="B71" i="31"/>
  <c r="B72" i="31"/>
  <c r="B73" i="31"/>
  <c r="B74" i="31"/>
  <c r="B75" i="31"/>
  <c r="B76" i="31"/>
  <c r="B78" i="31"/>
  <c r="B79" i="31"/>
  <c r="B80" i="31"/>
  <c r="B81" i="31"/>
  <c r="B82" i="31"/>
  <c r="B83" i="31"/>
  <c r="B84" i="31"/>
  <c r="B85" i="31"/>
  <c r="B86" i="31"/>
  <c r="B87" i="31"/>
  <c r="B88" i="31"/>
  <c r="B89" i="31"/>
  <c r="B90" i="31"/>
  <c r="B91" i="31"/>
  <c r="B92" i="31"/>
  <c r="B93" i="31"/>
  <c r="B94" i="31"/>
  <c r="B95" i="31"/>
  <c r="B96" i="31"/>
  <c r="B97" i="31"/>
  <c r="B98" i="31"/>
  <c r="B100" i="31"/>
  <c r="B101" i="31"/>
  <c r="B102" i="31"/>
  <c r="B105" i="31"/>
  <c r="B106" i="31"/>
  <c r="B107" i="31"/>
  <c r="B108" i="31"/>
  <c r="B109" i="31"/>
  <c r="B110" i="31"/>
  <c r="B111" i="31"/>
  <c r="B112" i="31"/>
  <c r="B113" i="31"/>
  <c r="B114" i="31"/>
  <c r="B115" i="31"/>
  <c r="B116" i="31"/>
  <c r="B117" i="31"/>
  <c r="B118" i="31"/>
  <c r="B119" i="31"/>
  <c r="B120" i="31"/>
  <c r="B121" i="31"/>
  <c r="B122" i="31"/>
  <c r="B123" i="31"/>
  <c r="B124" i="31"/>
  <c r="B125" i="31"/>
  <c r="B126" i="31"/>
  <c r="B127" i="31"/>
  <c r="B128" i="31"/>
  <c r="B129" i="31"/>
  <c r="B130" i="31"/>
  <c r="B131" i="31"/>
  <c r="B132" i="31"/>
  <c r="B133" i="31"/>
  <c r="B134" i="31"/>
  <c r="B135" i="31"/>
  <c r="B136" i="31"/>
  <c r="B137" i="31"/>
  <c r="B138" i="31"/>
  <c r="B139" i="31"/>
  <c r="B140" i="31"/>
  <c r="B141" i="31"/>
  <c r="B142" i="31"/>
  <c r="B143" i="31"/>
  <c r="B144" i="31"/>
  <c r="B145" i="31"/>
  <c r="B146" i="31"/>
  <c r="B147" i="31"/>
  <c r="B148" i="31"/>
  <c r="B149" i="31"/>
  <c r="B150" i="31"/>
  <c r="B151" i="31"/>
  <c r="B152" i="31"/>
  <c r="B153" i="31"/>
  <c r="B154" i="31"/>
  <c r="B155" i="31"/>
  <c r="B156" i="31"/>
  <c r="B157" i="31"/>
  <c r="B158" i="31"/>
  <c r="B159" i="31"/>
  <c r="B160" i="31"/>
  <c r="B161" i="31"/>
  <c r="B162" i="31"/>
  <c r="B163" i="31"/>
  <c r="B164" i="31"/>
  <c r="B165" i="31"/>
  <c r="B166" i="31"/>
  <c r="B167" i="31"/>
  <c r="B168" i="31"/>
  <c r="B169" i="31"/>
  <c r="B170" i="31"/>
  <c r="B171" i="31"/>
  <c r="B172" i="31"/>
  <c r="B173" i="31"/>
  <c r="B174" i="31"/>
  <c r="B175" i="31"/>
  <c r="B176" i="31"/>
  <c r="B177" i="31"/>
  <c r="B178" i="31"/>
  <c r="B179" i="31"/>
  <c r="B180" i="31"/>
  <c r="B183" i="31"/>
  <c r="B184" i="31"/>
  <c r="B185" i="31"/>
  <c r="B186" i="31"/>
  <c r="B187" i="31"/>
  <c r="B188" i="31"/>
  <c r="B189" i="31"/>
  <c r="B190" i="31"/>
  <c r="B191" i="31"/>
  <c r="B192" i="31"/>
  <c r="B193" i="31"/>
  <c r="B194" i="31"/>
  <c r="B195" i="31"/>
  <c r="B196" i="31"/>
  <c r="B197" i="31"/>
  <c r="B198" i="31"/>
  <c r="B199" i="31"/>
  <c r="B200" i="31"/>
  <c r="B201" i="31"/>
  <c r="B202" i="31"/>
  <c r="B203" i="31"/>
  <c r="B204" i="31"/>
  <c r="B205" i="31"/>
  <c r="B206" i="31"/>
  <c r="B207" i="31"/>
  <c r="B208" i="31"/>
  <c r="B211" i="31"/>
  <c r="B212" i="31"/>
  <c r="B213" i="31"/>
  <c r="B214" i="31"/>
  <c r="B215" i="31"/>
  <c r="B216" i="31"/>
  <c r="B217" i="31"/>
  <c r="B218" i="31"/>
  <c r="B219" i="31"/>
  <c r="B220" i="31"/>
  <c r="B221" i="31"/>
  <c r="B222" i="31"/>
  <c r="B224" i="31"/>
  <c r="B225" i="31"/>
  <c r="B226" i="31"/>
  <c r="B227" i="31"/>
  <c r="B228" i="31"/>
  <c r="B229" i="31"/>
  <c r="B230" i="31"/>
  <c r="B231" i="31"/>
  <c r="B232" i="31"/>
  <c r="B233" i="31"/>
  <c r="B234" i="31"/>
  <c r="B237" i="31"/>
  <c r="B238" i="31"/>
  <c r="B239" i="31"/>
  <c r="B240" i="31"/>
  <c r="B241" i="31"/>
  <c r="B242" i="31"/>
  <c r="B243" i="31"/>
  <c r="B244" i="31"/>
  <c r="B245" i="31"/>
  <c r="B246" i="31"/>
  <c r="B247" i="31"/>
  <c r="B248" i="31"/>
  <c r="B249" i="31"/>
  <c r="B250" i="31"/>
  <c r="B251" i="31"/>
  <c r="B252" i="31"/>
  <c r="B253" i="31"/>
  <c r="B254" i="31"/>
  <c r="B255" i="31"/>
  <c r="B256" i="31"/>
  <c r="B257" i="31"/>
  <c r="B258" i="31"/>
  <c r="B259" i="31"/>
  <c r="B260" i="31"/>
  <c r="B261" i="31"/>
  <c r="B262" i="31"/>
  <c r="B263" i="31"/>
  <c r="B264" i="31"/>
  <c r="B265" i="31"/>
  <c r="B266" i="31"/>
  <c r="B267" i="31"/>
  <c r="B268" i="31"/>
  <c r="B269" i="31"/>
  <c r="B270" i="31"/>
  <c r="B271" i="31"/>
  <c r="B272" i="31"/>
  <c r="B273" i="31"/>
  <c r="B274" i="31"/>
  <c r="B275" i="31"/>
  <c r="B276" i="31"/>
  <c r="B277" i="31"/>
  <c r="B278" i="31"/>
  <c r="B279" i="31"/>
  <c r="B280" i="31"/>
  <c r="B281" i="31"/>
  <c r="B282" i="31"/>
  <c r="B283" i="31"/>
  <c r="B284" i="31"/>
  <c r="B285" i="31"/>
  <c r="B286" i="31"/>
  <c r="B287" i="31"/>
  <c r="B288" i="31"/>
  <c r="B289" i="31"/>
  <c r="B290" i="31"/>
  <c r="B291" i="31"/>
  <c r="B292" i="31"/>
  <c r="B293" i="31"/>
  <c r="B294" i="31"/>
  <c r="B295" i="31"/>
  <c r="B296" i="31"/>
  <c r="B298" i="31"/>
  <c r="B299" i="31"/>
  <c r="B300" i="31"/>
  <c r="B301" i="31"/>
  <c r="B302" i="31"/>
  <c r="B303" i="31"/>
  <c r="B304" i="31"/>
  <c r="B305" i="31"/>
  <c r="B306" i="31"/>
  <c r="B307" i="31"/>
  <c r="B308" i="31"/>
  <c r="B309" i="31"/>
  <c r="B310" i="31"/>
  <c r="B311" i="31"/>
  <c r="B312" i="31"/>
  <c r="B313" i="31"/>
  <c r="B314" i="31"/>
  <c r="B315" i="31"/>
  <c r="B316" i="31"/>
  <c r="B317" i="31"/>
  <c r="B318" i="31"/>
  <c r="B319" i="31"/>
  <c r="B320" i="31"/>
  <c r="B321" i="31"/>
  <c r="B322" i="31"/>
  <c r="B323" i="31"/>
  <c r="B324" i="31"/>
  <c r="B28" i="31"/>
  <c r="A247" i="31"/>
  <c r="A248" i="31"/>
  <c r="A249" i="31"/>
  <c r="A250" i="31"/>
  <c r="A251" i="31"/>
  <c r="A252" i="31"/>
  <c r="A253" i="31"/>
  <c r="A254" i="31"/>
  <c r="A255" i="31"/>
  <c r="A256" i="31"/>
  <c r="A257" i="31"/>
  <c r="A258" i="31"/>
  <c r="A259" i="31"/>
  <c r="A260" i="31"/>
  <c r="A261" i="31"/>
  <c r="A262" i="31"/>
  <c r="A263" i="31"/>
  <c r="A264" i="31"/>
  <c r="A265" i="31"/>
  <c r="A266" i="31"/>
  <c r="A267" i="31"/>
  <c r="A268" i="31"/>
  <c r="A269" i="31"/>
  <c r="A270" i="31"/>
  <c r="A271" i="31"/>
  <c r="A272" i="31"/>
  <c r="A273" i="31"/>
  <c r="A274" i="31"/>
  <c r="A275" i="31"/>
  <c r="A276" i="31"/>
  <c r="A277" i="31"/>
  <c r="A278" i="31"/>
  <c r="A279" i="31"/>
  <c r="A280" i="31"/>
  <c r="A281" i="31"/>
  <c r="A282" i="31"/>
  <c r="A283" i="31"/>
  <c r="A284" i="31"/>
  <c r="A285" i="31"/>
  <c r="A286" i="31"/>
  <c r="A287" i="31"/>
  <c r="A288" i="31"/>
  <c r="A289" i="31"/>
  <c r="A290" i="31"/>
  <c r="A291" i="31"/>
  <c r="A292" i="31"/>
  <c r="A293" i="31"/>
  <c r="A294" i="31"/>
  <c r="A295" i="31"/>
  <c r="A296" i="31"/>
  <c r="A297" i="31"/>
  <c r="A298" i="31"/>
  <c r="A299" i="31"/>
  <c r="A300" i="31"/>
  <c r="A301" i="31"/>
  <c r="A302" i="31"/>
  <c r="A303" i="31"/>
  <c r="A304" i="31"/>
  <c r="A305" i="31"/>
  <c r="A306" i="31"/>
  <c r="A307" i="31"/>
  <c r="A308" i="31"/>
  <c r="A309" i="31"/>
  <c r="A310" i="31"/>
  <c r="A311" i="31"/>
  <c r="A312" i="31"/>
  <c r="A313" i="31"/>
  <c r="A314" i="31"/>
  <c r="A315" i="31"/>
  <c r="A316" i="31"/>
  <c r="A317" i="31"/>
  <c r="A318" i="31"/>
  <c r="A319" i="31"/>
  <c r="A320" i="31"/>
  <c r="A321" i="31"/>
  <c r="A322" i="31"/>
  <c r="A323" i="31"/>
  <c r="A324"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210" i="31"/>
  <c r="A211" i="31"/>
  <c r="A212" i="31"/>
  <c r="A213" i="31"/>
  <c r="A214" i="31"/>
  <c r="A215" i="31"/>
  <c r="A216" i="31"/>
  <c r="A217" i="31"/>
  <c r="A218" i="31"/>
  <c r="A219" i="31"/>
  <c r="A220" i="31"/>
  <c r="A221" i="31"/>
  <c r="A222" i="31"/>
  <c r="A223" i="31"/>
  <c r="A224" i="31"/>
  <c r="A225" i="31"/>
  <c r="A226" i="31"/>
  <c r="A227" i="31"/>
  <c r="A228" i="31"/>
  <c r="A229" i="31"/>
  <c r="A230" i="31"/>
  <c r="A231" i="31"/>
  <c r="A232" i="31"/>
  <c r="A233" i="31"/>
  <c r="A234" i="31"/>
  <c r="A235" i="31"/>
  <c r="A236" i="31"/>
  <c r="A237" i="31"/>
  <c r="A238" i="31"/>
  <c r="A239" i="31"/>
  <c r="A240" i="31"/>
  <c r="A241" i="31"/>
  <c r="A242" i="31"/>
  <c r="A243" i="31"/>
  <c r="A244" i="31"/>
  <c r="A245" i="31"/>
  <c r="A246" i="31"/>
  <c r="A27" i="31"/>
  <c r="B271" i="63"/>
  <c r="B297" i="31" s="1"/>
  <c r="B270" i="63"/>
  <c r="B210" i="63"/>
  <c r="B236" i="31" s="1"/>
  <c r="B209" i="63"/>
  <c r="B235" i="31" s="1"/>
  <c r="B197" i="63"/>
  <c r="B223" i="31" s="1"/>
  <c r="B196" i="63"/>
  <c r="B184" i="63"/>
  <c r="B210" i="31" s="1"/>
  <c r="B183" i="63"/>
  <c r="B209" i="31" s="1"/>
  <c r="B156" i="63"/>
  <c r="B182" i="31" s="1"/>
  <c r="B155" i="63"/>
  <c r="B181" i="31" s="1"/>
  <c r="B78" i="63"/>
  <c r="B104" i="31" s="1"/>
  <c r="B77" i="63"/>
  <c r="B103" i="31" s="1"/>
  <c r="B73" i="63"/>
  <c r="B99" i="31" s="1"/>
  <c r="B72" i="63"/>
  <c r="B51" i="63"/>
  <c r="B77" i="31" s="1"/>
  <c r="B50" i="63"/>
  <c r="B40" i="63"/>
  <c r="B66" i="31" s="1"/>
  <c r="B39" i="63"/>
  <c r="B65" i="31" s="1"/>
  <c r="B12" i="63"/>
  <c r="B38" i="31" s="1"/>
  <c r="B11" i="63"/>
  <c r="B37" i="31" s="1"/>
  <c r="AH5" i="59" l="1"/>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s="1"/>
  <c r="AG7" i="59"/>
  <c r="AH7" i="59"/>
  <c r="M19" i="43"/>
  <c r="M48" i="15"/>
  <c r="B2" i="1"/>
  <c r="B23" i="1"/>
  <c r="B13" i="1"/>
  <c r="L49" i="15" s="1"/>
  <c r="J50" i="15"/>
  <c r="J51" i="15"/>
  <c r="J52" i="15" s="1"/>
  <c r="B25" i="1"/>
  <c r="AH8" i="59"/>
  <c r="AG8" i="59"/>
  <c r="AE8" i="59"/>
  <c r="AF8" i="59" s="1"/>
  <c r="AD8" i="59"/>
  <c r="AH9" i="59"/>
  <c r="AG9" i="59"/>
  <c r="AE9" i="59"/>
  <c r="AF9" i="59" s="1"/>
  <c r="AD9" i="59"/>
  <c r="Q9" i="59"/>
  <c r="P9" i="59"/>
  <c r="O9" i="59"/>
  <c r="N9" i="59"/>
  <c r="Q10" i="59"/>
  <c r="P10" i="59"/>
  <c r="O10" i="59"/>
  <c r="N10" i="59"/>
  <c r="D10" i="59"/>
  <c r="E9" i="59"/>
  <c r="E8" i="59" s="1"/>
  <c r="E7" i="59" s="1"/>
  <c r="E6" i="59" s="1"/>
  <c r="E5" i="59" s="1"/>
  <c r="F9" i="59"/>
  <c r="F8" i="59" s="1"/>
  <c r="F7" i="59" s="1"/>
  <c r="C9" i="59"/>
  <c r="C8" i="59" s="1"/>
  <c r="B9" i="59"/>
  <c r="B8" i="59" s="1"/>
  <c r="B7" i="59" s="1"/>
  <c r="A2" i="50"/>
  <c r="V9" i="59"/>
  <c r="K60" i="15"/>
  <c r="P59" i="15" s="1"/>
  <c r="A126" i="57"/>
  <c r="A6" i="52" s="1"/>
  <c r="B64" i="60" s="1"/>
  <c r="A123" i="9"/>
  <c r="A16" i="54"/>
  <c r="A14" i="54"/>
  <c r="A19" i="55"/>
  <c r="B49" i="60" s="1"/>
  <c r="A13" i="55"/>
  <c r="A1" i="52"/>
  <c r="A4" i="50"/>
  <c r="P11" i="59"/>
  <c r="O11" i="59"/>
  <c r="N11" i="59"/>
  <c r="Q11" i="59"/>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s="1"/>
  <c r="B68" i="60"/>
  <c r="D28" i="57"/>
  <c r="D29" i="57"/>
  <c r="D28" i="9"/>
  <c r="D29" i="9"/>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I10" i="43"/>
  <c r="AB10" i="43"/>
  <c r="AF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18" i="50" s="1"/>
  <c r="B39" i="50" s="1"/>
  <c r="B45" i="50"/>
  <c r="B59" i="60" s="1"/>
  <c r="D2" i="52"/>
  <c r="B60" i="60" s="1"/>
  <c r="B15" i="50"/>
  <c r="B36" i="50" s="1"/>
  <c r="B10" i="50"/>
  <c r="B31" i="50" s="1"/>
  <c r="C6" i="50"/>
  <c r="B18" i="60" s="1"/>
  <c r="A13" i="54"/>
  <c r="B51" i="60"/>
  <c r="B50" i="60"/>
  <c r="B47" i="60"/>
  <c r="B16" i="60"/>
  <c r="B51" i="10"/>
  <c r="A18" i="55"/>
  <c r="B48" i="60" s="1"/>
  <c r="A15" i="55"/>
  <c r="B45" i="60" s="1"/>
  <c r="A14" i="55"/>
  <c r="B44" i="60" s="1"/>
  <c r="B43" i="60"/>
  <c r="C10" i="50"/>
  <c r="C12" i="50" s="1"/>
  <c r="C7" i="50"/>
  <c r="C15" i="50" s="1"/>
  <c r="C35" i="50"/>
  <c r="B24" i="60"/>
  <c r="C34" i="50"/>
  <c r="C33" i="50"/>
  <c r="C14" i="50"/>
  <c r="B13" i="60"/>
  <c r="C42" i="50"/>
  <c r="C36" i="50"/>
  <c r="C39" i="50"/>
  <c r="I19" i="43"/>
  <c r="A135" i="57"/>
  <c r="F118" i="57"/>
  <c r="D74" i="59"/>
  <c r="F73" i="59"/>
  <c r="E73" i="59"/>
  <c r="E72" i="59" s="1"/>
  <c r="E71" i="59" s="1"/>
  <c r="C73" i="59"/>
  <c r="D73" i="59"/>
  <c r="B73" i="59"/>
  <c r="F72" i="59"/>
  <c r="F71" i="59" s="1"/>
  <c r="B72" i="59"/>
  <c r="B71" i="59" s="1"/>
  <c r="D70" i="59"/>
  <c r="F69" i="59"/>
  <c r="E69" i="59"/>
  <c r="E68" i="59" s="1"/>
  <c r="E67" i="59" s="1"/>
  <c r="C69" i="59"/>
  <c r="D69" i="59"/>
  <c r="B69" i="59"/>
  <c r="F68" i="59"/>
  <c r="F67" i="59" s="1"/>
  <c r="B68" i="59"/>
  <c r="B67" i="59" s="1"/>
  <c r="D66" i="59"/>
  <c r="Q65" i="59"/>
  <c r="P65" i="59"/>
  <c r="O65" i="59"/>
  <c r="N65" i="59"/>
  <c r="F65" i="59"/>
  <c r="V65" i="59" s="1"/>
  <c r="E65" i="59"/>
  <c r="U65" i="59" s="1"/>
  <c r="C65" i="59"/>
  <c r="T65" i="59" s="1"/>
  <c r="B65" i="59"/>
  <c r="S65" i="59" s="1"/>
  <c r="Q64" i="59"/>
  <c r="P64" i="59"/>
  <c r="O64" i="59"/>
  <c r="N64"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s="1"/>
  <c r="B60" i="59"/>
  <c r="B59" i="59" s="1"/>
  <c r="Q59" i="59"/>
  <c r="P59" i="59"/>
  <c r="O59" i="59"/>
  <c r="N59" i="59"/>
  <c r="Q58" i="59"/>
  <c r="P58" i="59"/>
  <c r="O58" i="59"/>
  <c r="N58" i="59"/>
  <c r="D58" i="59"/>
  <c r="Q57" i="59"/>
  <c r="P57" i="59"/>
  <c r="O57" i="59"/>
  <c r="N57" i="59"/>
  <c r="F57" i="59"/>
  <c r="V57" i="59" s="1"/>
  <c r="E57" i="59"/>
  <c r="C57" i="59"/>
  <c r="B57" i="59"/>
  <c r="S57" i="59" s="1"/>
  <c r="Q56" i="59"/>
  <c r="P56" i="59"/>
  <c r="O56" i="59"/>
  <c r="N56" i="59"/>
  <c r="Q55" i="59"/>
  <c r="P55" i="59"/>
  <c r="O55" i="59"/>
  <c r="N55" i="59"/>
  <c r="Q54" i="59"/>
  <c r="P54" i="59"/>
  <c r="O54" i="59"/>
  <c r="N54" i="59"/>
  <c r="D54" i="59"/>
  <c r="F53" i="59"/>
  <c r="V53" i="59" s="1"/>
  <c r="E53" i="59"/>
  <c r="E52" i="59" s="1"/>
  <c r="C53" i="59"/>
  <c r="B53" i="59"/>
  <c r="S53" i="59" s="1"/>
  <c r="B52" i="59"/>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c r="F36" i="59" s="1"/>
  <c r="F37" i="59" s="1"/>
  <c r="V37" i="59" s="1"/>
  <c r="P34" i="59"/>
  <c r="E35" i="59" s="1"/>
  <c r="O34" i="59"/>
  <c r="C35" i="59" s="1"/>
  <c r="N34" i="59"/>
  <c r="B35" i="59" s="1"/>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s="1"/>
  <c r="E33" i="59" s="1"/>
  <c r="U33" i="59" s="1"/>
  <c r="O30" i="59"/>
  <c r="C31" i="59"/>
  <c r="N30" i="59"/>
  <c r="B31" i="59"/>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s="1"/>
  <c r="N26" i="59"/>
  <c r="B27" i="59" s="1"/>
  <c r="B28" i="59" s="1"/>
  <c r="B29" i="59" s="1"/>
  <c r="S29" i="59" s="1"/>
  <c r="D26" i="59"/>
  <c r="Q25" i="59"/>
  <c r="P25" i="59"/>
  <c r="O25" i="59"/>
  <c r="N25" i="59"/>
  <c r="Q24" i="59"/>
  <c r="AB24" i="59" s="1"/>
  <c r="P24" i="59"/>
  <c r="AA24" i="59" s="1"/>
  <c r="O24" i="59"/>
  <c r="Y24" i="59" s="1"/>
  <c r="Z24" i="59" s="1"/>
  <c r="N24" i="59"/>
  <c r="X24" i="59" s="1"/>
  <c r="Q23" i="59"/>
  <c r="P23" i="59"/>
  <c r="O23" i="59"/>
  <c r="Y23" i="59" s="1"/>
  <c r="Z23" i="59" s="1"/>
  <c r="N23" i="59"/>
  <c r="Q22" i="59"/>
  <c r="P22" i="59"/>
  <c r="O22" i="59"/>
  <c r="Y22" i="59" s="1"/>
  <c r="Z22" i="59" s="1"/>
  <c r="N22" i="59"/>
  <c r="B23" i="59" s="1"/>
  <c r="B24" i="59" s="1"/>
  <c r="B25" i="59" s="1"/>
  <c r="S25" i="59" s="1"/>
  <c r="D22" i="59"/>
  <c r="Q21" i="59"/>
  <c r="P21" i="59"/>
  <c r="AA21" i="59" s="1"/>
  <c r="O21" i="59"/>
  <c r="N21" i="59"/>
  <c r="X21" i="59" s="1"/>
  <c r="Q20" i="59"/>
  <c r="P20" i="59"/>
  <c r="AA20" i="59" s="1"/>
  <c r="O20" i="59"/>
  <c r="N20" i="59"/>
  <c r="X20" i="59" s="1"/>
  <c r="Q19" i="59"/>
  <c r="P19" i="59"/>
  <c r="AA19" i="59" s="1"/>
  <c r="O19" i="59"/>
  <c r="N19" i="59"/>
  <c r="X19" i="59" s="1"/>
  <c r="Q18" i="59"/>
  <c r="P18" i="59"/>
  <c r="AA18" i="59" s="1"/>
  <c r="O18" i="59"/>
  <c r="C19" i="59"/>
  <c r="D19" i="59" s="1"/>
  <c r="N18" i="59"/>
  <c r="B19" i="59"/>
  <c r="B20" i="59" s="1"/>
  <c r="B21" i="59" s="1"/>
  <c r="S21" i="59" s="1"/>
  <c r="D18" i="59"/>
  <c r="Q17" i="59"/>
  <c r="AB17" i="59" s="1"/>
  <c r="P17" i="59"/>
  <c r="O17" i="59"/>
  <c r="Y17" i="59" s="1"/>
  <c r="Z17" i="59" s="1"/>
  <c r="N17" i="59"/>
  <c r="Q16" i="59"/>
  <c r="AB16" i="59" s="1"/>
  <c r="P16" i="59"/>
  <c r="O16" i="59"/>
  <c r="Y16" i="59" s="1"/>
  <c r="Z16" i="59" s="1"/>
  <c r="N16" i="59"/>
  <c r="Q15" i="59"/>
  <c r="AB15" i="59" s="1"/>
  <c r="P15" i="59"/>
  <c r="O15" i="59"/>
  <c r="Y15" i="59" s="1"/>
  <c r="Z15" i="59" s="1"/>
  <c r="N15" i="59"/>
  <c r="Q14" i="59"/>
  <c r="AB14" i="59" s="1"/>
  <c r="P14" i="59"/>
  <c r="O14" i="59"/>
  <c r="Y14" i="59" s="1"/>
  <c r="Z14" i="59" s="1"/>
  <c r="N14" i="59"/>
  <c r="X14" i="59" s="1"/>
  <c r="D14" i="59"/>
  <c r="O13" i="59"/>
  <c r="N13" i="59"/>
  <c r="B13" i="59" s="1"/>
  <c r="C13" i="59"/>
  <c r="T13" i="59"/>
  <c r="Y11" i="59"/>
  <c r="Z11" i="59" s="1"/>
  <c r="Y12" i="59"/>
  <c r="Z12" i="59" s="1"/>
  <c r="X13" i="59"/>
  <c r="X10" i="59"/>
  <c r="C20" i="59"/>
  <c r="D20" i="59" s="1"/>
  <c r="C32" i="59"/>
  <c r="D32" i="59" s="1"/>
  <c r="D31" i="59"/>
  <c r="P13" i="59"/>
  <c r="U57" i="59"/>
  <c r="E56" i="59"/>
  <c r="E55" i="59"/>
  <c r="Q13" i="59"/>
  <c r="N52" i="59"/>
  <c r="B51" i="59"/>
  <c r="T53" i="59"/>
  <c r="O53" i="59"/>
  <c r="D53" i="59"/>
  <c r="C52" i="59"/>
  <c r="T57" i="59"/>
  <c r="D57" i="59"/>
  <c r="C56" i="59"/>
  <c r="D56" i="59" s="1"/>
  <c r="Q53" i="59"/>
  <c r="C60" i="59"/>
  <c r="C59" i="59" s="1"/>
  <c r="D59" i="59" s="1"/>
  <c r="E60" i="59"/>
  <c r="E59" i="59" s="1"/>
  <c r="D61" i="59"/>
  <c r="C64" i="59"/>
  <c r="E64" i="59"/>
  <c r="E63" i="59" s="1"/>
  <c r="D65" i="59"/>
  <c r="C68" i="59"/>
  <c r="D68" i="59" s="1"/>
  <c r="C72" i="59"/>
  <c r="F13" i="59"/>
  <c r="AB3" i="59"/>
  <c r="AB11" i="59"/>
  <c r="AB13" i="59"/>
  <c r="E13" i="59"/>
  <c r="AA11" i="59"/>
  <c r="AA13" i="59"/>
  <c r="AA10" i="59"/>
  <c r="C12" i="59"/>
  <c r="D13" i="59"/>
  <c r="C67" i="59"/>
  <c r="D67" i="59" s="1"/>
  <c r="D60" i="59"/>
  <c r="C55" i="59"/>
  <c r="D55" i="59" s="1"/>
  <c r="D72" i="59"/>
  <c r="C71" i="59"/>
  <c r="D71" i="59" s="1"/>
  <c r="D64" i="59"/>
  <c r="C63" i="59"/>
  <c r="D63" i="59"/>
  <c r="C51" i="59"/>
  <c r="O52" i="59"/>
  <c r="D52" i="59"/>
  <c r="N50" i="59"/>
  <c r="N51" i="59"/>
  <c r="C21" i="59"/>
  <c r="D21" i="59" s="1"/>
  <c r="D12" i="59"/>
  <c r="C11" i="59"/>
  <c r="D11" i="59"/>
  <c r="E12" i="59"/>
  <c r="E11" i="59"/>
  <c r="U13" i="59"/>
  <c r="F12" i="59"/>
  <c r="F11" i="59" s="1"/>
  <c r="V13" i="59"/>
  <c r="O51" i="59"/>
  <c r="D51" i="59"/>
  <c r="O50"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6"/>
  <c r="U21" i="37"/>
  <c r="S21" i="37"/>
  <c r="S21" i="34"/>
  <c r="S21" i="33"/>
  <c r="J25" i="40"/>
  <c r="J27" i="39"/>
  <c r="H27" i="39"/>
  <c r="F27" i="39"/>
  <c r="H18" i="36"/>
  <c r="J18" i="36"/>
  <c r="J21" i="37"/>
  <c r="H21" i="34"/>
  <c r="J21" i="33"/>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1" i="58"/>
  <c r="C27" i="58"/>
  <c r="C32" i="58" s="1"/>
  <c r="I23" i="58"/>
  <c r="D20" i="58"/>
  <c r="I19" i="58"/>
  <c r="I18" i="58"/>
  <c r="I17" i="58"/>
  <c r="I20" i="58" s="1"/>
  <c r="E15" i="58"/>
  <c r="I14" i="58"/>
  <c r="I13" i="58"/>
  <c r="I12" i="58"/>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V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432" i="31"/>
  <c r="S428" i="31"/>
  <c r="S499" i="31"/>
  <c r="S491" i="31"/>
  <c r="S483" i="31"/>
  <c r="S475" i="31"/>
  <c r="S444" i="31"/>
  <c r="S440" i="31"/>
  <c r="S436" i="31"/>
  <c r="S503" i="31"/>
  <c r="S468" i="31"/>
  <c r="S464" i="31"/>
  <c r="S460" i="31"/>
  <c r="S456" i="31"/>
  <c r="S448" i="31"/>
  <c r="S450" i="31"/>
  <c r="S452" i="31"/>
  <c r="S510" i="31"/>
  <c r="S512" i="31"/>
  <c r="S514" i="31"/>
  <c r="S516" i="31"/>
  <c r="I48" i="37"/>
  <c r="J48" i="37" s="1"/>
  <c r="G48" i="37"/>
  <c r="H48" i="37" s="1"/>
  <c r="E48" i="37"/>
  <c r="F48" i="37" s="1"/>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s="1"/>
  <c r="G44" i="35"/>
  <c r="H44" i="35" s="1"/>
  <c r="E44" i="35"/>
  <c r="F44" i="35" s="1"/>
  <c r="I54" i="33"/>
  <c r="J54" i="33" s="1"/>
  <c r="G54" i="33"/>
  <c r="H54" i="33" s="1"/>
  <c r="E54" i="33"/>
  <c r="F54" i="33" s="1"/>
  <c r="G111" i="21"/>
  <c r="H111" i="21"/>
  <c r="B110" i="39"/>
  <c r="F35" i="39" s="1"/>
  <c r="S35" i="39" s="1"/>
  <c r="B112" i="39"/>
  <c r="J30" i="36"/>
  <c r="H30" i="36"/>
  <c r="F30" i="36"/>
  <c r="AA30" i="36" s="1"/>
  <c r="C79" i="35"/>
  <c r="D87" i="35"/>
  <c r="E87" i="35" s="1"/>
  <c r="H34" i="37"/>
  <c r="AB34" i="37" s="1"/>
  <c r="D101" i="37"/>
  <c r="F34" i="37"/>
  <c r="AA34" i="37" s="1"/>
  <c r="D99" i="37"/>
  <c r="E99" i="37" s="1"/>
  <c r="F99" i="37" s="1"/>
  <c r="G99" i="37" s="1"/>
  <c r="H42" i="34"/>
  <c r="U42" i="34" s="1"/>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c r="L111" i="33" s="1"/>
  <c r="M111" i="33" s="1"/>
  <c r="S518" i="31"/>
  <c r="S519" i="31"/>
  <c r="S520" i="31"/>
  <c r="S521" i="31"/>
  <c r="S522" i="31"/>
  <c r="S523" i="31"/>
  <c r="S524" i="31"/>
  <c r="S525" i="31"/>
  <c r="S526" i="31"/>
  <c r="S527" i="31"/>
  <c r="F41" i="21"/>
  <c r="J41" i="21"/>
  <c r="H41" i="21"/>
  <c r="D81" i="39"/>
  <c r="E81" i="39" s="1"/>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c r="J120" i="39" s="1"/>
  <c r="K120" i="39" s="1"/>
  <c r="L120" i="39" s="1"/>
  <c r="M120" i="39" s="1"/>
  <c r="B114" i="39"/>
  <c r="J37" i="39"/>
  <c r="W37" i="39" s="1"/>
  <c r="D109" i="39"/>
  <c r="F34" i="39"/>
  <c r="AA34" i="39" s="1"/>
  <c r="D107" i="39"/>
  <c r="E107" i="39" s="1"/>
  <c r="F107" i="39" s="1"/>
  <c r="G107" i="39"/>
  <c r="H107" i="39" s="1"/>
  <c r="I107" i="39" s="1"/>
  <c r="J107" i="39" s="1"/>
  <c r="K107" i="39" s="1"/>
  <c r="L107" i="39" s="1"/>
  <c r="M107" i="39" s="1"/>
  <c r="D105" i="39"/>
  <c r="E105" i="39" s="1"/>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c r="D93" i="39"/>
  <c r="E93" i="39"/>
  <c r="F93" i="39" s="1"/>
  <c r="G93" i="39" s="1"/>
  <c r="D91" i="39"/>
  <c r="E91" i="39"/>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c r="F107" i="37" s="1"/>
  <c r="G107" i="37" s="1"/>
  <c r="H107" i="37" s="1"/>
  <c r="I107" i="37" s="1"/>
  <c r="J107" i="37" s="1"/>
  <c r="K107" i="37" s="1"/>
  <c r="L107" i="37" s="1"/>
  <c r="M107" i="37" s="1"/>
  <c r="D105" i="37"/>
  <c r="E105" i="37" s="1"/>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G75" i="37" s="1"/>
  <c r="D73" i="37"/>
  <c r="E73" i="37"/>
  <c r="J17" i="37"/>
  <c r="D71" i="37"/>
  <c r="E71" i="37" s="1"/>
  <c r="F71" i="37" s="1"/>
  <c r="G71" i="37" s="1"/>
  <c r="B68" i="37"/>
  <c r="H14" i="37" s="1"/>
  <c r="B66" i="37"/>
  <c r="B64" i="37"/>
  <c r="H12" i="37" s="1"/>
  <c r="U12" i="37" s="1"/>
  <c r="D63" i="37"/>
  <c r="E63" i="37" s="1"/>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D64" i="35"/>
  <c r="F56" i="35"/>
  <c r="G56" i="35" s="1"/>
  <c r="H56" i="35" s="1"/>
  <c r="I56" i="35" s="1"/>
  <c r="C53" i="35"/>
  <c r="P39" i="35"/>
  <c r="P38" i="35"/>
  <c r="V37" i="35"/>
  <c r="T37" i="35"/>
  <c r="R37" i="35"/>
  <c r="P37" i="35"/>
  <c r="Q36" i="35"/>
  <c r="Z36" i="35" s="1"/>
  <c r="Q35" i="35"/>
  <c r="Z35" i="35" s="1"/>
  <c r="Q34" i="35"/>
  <c r="Z34" i="35" s="1"/>
  <c r="AC34" i="35"/>
  <c r="Q33" i="35"/>
  <c r="Z33" i="35"/>
  <c r="Q32" i="35"/>
  <c r="Z32" i="35"/>
  <c r="H32" i="35"/>
  <c r="AB32" i="35"/>
  <c r="F32" i="35"/>
  <c r="AA32" i="35"/>
  <c r="Q31" i="35"/>
  <c r="Z31" i="35"/>
  <c r="Q30" i="35"/>
  <c r="Z30" i="35" s="1"/>
  <c r="Q29" i="35"/>
  <c r="Z29" i="35" s="1"/>
  <c r="Q28" i="35"/>
  <c r="Z28" i="35" s="1"/>
  <c r="J28" i="35"/>
  <c r="AC28" i="35" s="1"/>
  <c r="H28" i="35"/>
  <c r="AB28" i="35" s="1"/>
  <c r="F28" i="35"/>
  <c r="AA28" i="35" s="1"/>
  <c r="Q27" i="35"/>
  <c r="Z27" i="35"/>
  <c r="Q26" i="35"/>
  <c r="Z26" i="35"/>
  <c r="Q25" i="35"/>
  <c r="Z25" i="35"/>
  <c r="Q24" i="35"/>
  <c r="Z24" i="35"/>
  <c r="Q23" i="35"/>
  <c r="Z23" i="35"/>
  <c r="Q22" i="35"/>
  <c r="Z22" i="35"/>
  <c r="Q20" i="35"/>
  <c r="Z20" i="35"/>
  <c r="Q16" i="35"/>
  <c r="Z16" i="35"/>
  <c r="Q14" i="35"/>
  <c r="Z14" i="35"/>
  <c r="Q13" i="35"/>
  <c r="Z13" i="35"/>
  <c r="Q12" i="35"/>
  <c r="Z12" i="35"/>
  <c r="Q11" i="35"/>
  <c r="Z11" i="35"/>
  <c r="Q10" i="35"/>
  <c r="Z10" i="35"/>
  <c r="Q9" i="35"/>
  <c r="Z9" i="35"/>
  <c r="J8" i="35"/>
  <c r="AC8" i="35" s="1"/>
  <c r="H8" i="35"/>
  <c r="AB8" i="35" s="1"/>
  <c r="F8" i="35"/>
  <c r="AA8" i="35" s="1"/>
  <c r="C7" i="35"/>
  <c r="C48" i="35" s="1"/>
  <c r="D48" i="35" s="1"/>
  <c r="E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s="1"/>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B41" i="21"/>
  <c r="U41" i="21"/>
  <c r="S41" i="21"/>
  <c r="AA41" i="21"/>
  <c r="F45" i="39"/>
  <c r="S8" i="39"/>
  <c r="U38" i="39"/>
  <c r="H32" i="37"/>
  <c r="AB32" i="37"/>
  <c r="F29" i="36"/>
  <c r="AA29" i="36" s="1"/>
  <c r="F16" i="36"/>
  <c r="S16" i="36" s="1"/>
  <c r="U22" i="36"/>
  <c r="AA31" i="36"/>
  <c r="AC31" i="36"/>
  <c r="U31" i="36"/>
  <c r="J33" i="36"/>
  <c r="W33" i="36" s="1"/>
  <c r="H22" i="35"/>
  <c r="AB22" i="35"/>
  <c r="S32" i="35"/>
  <c r="U32" i="35"/>
  <c r="F36" i="34"/>
  <c r="AA36" i="34"/>
  <c r="U39" i="34"/>
  <c r="H39" i="33"/>
  <c r="AB39" i="33" s="1"/>
  <c r="S40" i="33"/>
  <c r="H39" i="37"/>
  <c r="AB39" i="37" s="1"/>
  <c r="S27" i="35"/>
  <c r="F11" i="40"/>
  <c r="AA11" i="40" s="1"/>
  <c r="S8" i="40"/>
  <c r="H11" i="40"/>
  <c r="AB11" i="40"/>
  <c r="W8" i="40"/>
  <c r="U9" i="40"/>
  <c r="U34" i="40"/>
  <c r="F42" i="39"/>
  <c r="AA42" i="39"/>
  <c r="F41" i="39"/>
  <c r="AA41" i="39"/>
  <c r="H40" i="39"/>
  <c r="AB40" i="39"/>
  <c r="H39" i="39"/>
  <c r="U39" i="39"/>
  <c r="S38" i="39"/>
  <c r="H34" i="39"/>
  <c r="AB34" i="39" s="1"/>
  <c r="E109" i="39"/>
  <c r="F109" i="39" s="1"/>
  <c r="G109" i="39" s="1"/>
  <c r="H109" i="39" s="1"/>
  <c r="I109" i="39" s="1"/>
  <c r="J109" i="39" s="1"/>
  <c r="K109" i="39" s="1"/>
  <c r="L109" i="39" s="1"/>
  <c r="M109" i="39" s="1"/>
  <c r="E103" i="39"/>
  <c r="H19" i="39"/>
  <c r="AB19" i="39"/>
  <c r="F19" i="39"/>
  <c r="S19" i="39"/>
  <c r="H17" i="39"/>
  <c r="U17" i="39"/>
  <c r="F17" i="39"/>
  <c r="AA17" i="39"/>
  <c r="J23" i="40"/>
  <c r="AC23" i="40"/>
  <c r="H42" i="39"/>
  <c r="AB42" i="39"/>
  <c r="J34" i="39"/>
  <c r="AC34" i="39"/>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F14" i="35"/>
  <c r="S14" i="35" s="1"/>
  <c r="J32" i="35"/>
  <c r="AC32" i="35"/>
  <c r="J16" i="35"/>
  <c r="W16" i="35" s="1"/>
  <c r="H14" i="35"/>
  <c r="AB14" i="35" s="1"/>
  <c r="H33" i="35"/>
  <c r="AB33" i="35"/>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U40" i="33"/>
  <c r="U8" i="33"/>
  <c r="S8" i="33"/>
  <c r="F37" i="40"/>
  <c r="AA37" i="40" s="1"/>
  <c r="F36" i="40"/>
  <c r="AA36" i="40" s="1"/>
  <c r="J27" i="40"/>
  <c r="W27" i="40" s="1"/>
  <c r="F27" i="40"/>
  <c r="S27" i="40" s="1"/>
  <c r="F23" i="40"/>
  <c r="AA23" i="40" s="1"/>
  <c r="AC11" i="40"/>
  <c r="AB30" i="36"/>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W30" i="33"/>
  <c r="AC32" i="34"/>
  <c r="J10" i="36"/>
  <c r="AC10" i="36" s="1"/>
  <c r="AC14" i="21"/>
  <c r="AC13" i="36"/>
  <c r="U32" i="36"/>
  <c r="U31" i="33"/>
  <c r="W29" i="33"/>
  <c r="AB28" i="33"/>
  <c r="S33" i="21"/>
  <c r="S19" i="21"/>
  <c r="J41" i="39"/>
  <c r="W41" i="39" s="1"/>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c r="F25" i="21"/>
  <c r="S25" i="21"/>
  <c r="J25" i="21"/>
  <c r="AC25" i="21"/>
  <c r="H17" i="37"/>
  <c r="U17" i="37"/>
  <c r="F73" i="37"/>
  <c r="G73" i="37"/>
  <c r="F23" i="37"/>
  <c r="S23" i="37"/>
  <c r="F32" i="37"/>
  <c r="S32" i="37"/>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U11" i="40"/>
  <c r="AC33" i="36"/>
  <c r="AB20" i="35"/>
  <c r="S28" i="37"/>
  <c r="U39" i="37"/>
  <c r="AC8" i="37"/>
  <c r="W47" i="34"/>
  <c r="AB8" i="34"/>
  <c r="W14" i="33"/>
  <c r="AC31" i="33"/>
  <c r="AB10" i="33"/>
  <c r="S11" i="33"/>
  <c r="AC33" i="21"/>
  <c r="AB38" i="21"/>
  <c r="AA23" i="37"/>
  <c r="W38" i="37"/>
  <c r="H37" i="21"/>
  <c r="U37" i="21" s="1"/>
  <c r="J37" i="21"/>
  <c r="W37" i="21" s="1"/>
  <c r="H19" i="34"/>
  <c r="U19" i="34" s="1"/>
  <c r="F36" i="35"/>
  <c r="AA36" i="35" s="1"/>
  <c r="J9" i="37"/>
  <c r="W9" i="37" s="1"/>
  <c r="H9" i="37"/>
  <c r="AB9" i="37" s="1"/>
  <c r="F9" i="37"/>
  <c r="AA9" i="37" s="1"/>
  <c r="F11" i="37"/>
  <c r="S11" i="37" s="1"/>
  <c r="J42" i="39"/>
  <c r="AC42" i="39" s="1"/>
  <c r="S37" i="21"/>
  <c r="AB37" i="21"/>
  <c r="AB27" i="40"/>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E17" i="43"/>
  <c r="I17" i="43"/>
  <c r="D108" i="9"/>
  <c r="F22" i="43"/>
  <c r="B56" i="60"/>
  <c r="G22" i="43"/>
  <c r="E22" i="43"/>
  <c r="H14" i="44"/>
  <c r="B57" i="60"/>
  <c r="W40" i="39"/>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B113" i="43"/>
  <c r="I118" i="43" s="1"/>
  <c r="J118" i="43" s="1"/>
  <c r="K118" i="43" s="1"/>
  <c r="L118" i="43" s="1"/>
  <c r="M118" i="43" s="1"/>
  <c r="M101" i="43"/>
  <c r="M103" i="43" s="1"/>
  <c r="K101" i="43"/>
  <c r="K109" i="43" s="1"/>
  <c r="I101" i="43"/>
  <c r="I102" i="43" s="1"/>
  <c r="G101" i="43"/>
  <c r="G107" i="43" s="1"/>
  <c r="E101" i="43"/>
  <c r="E109" i="43" s="1"/>
  <c r="C101" i="43"/>
  <c r="C109" i="43" s="1"/>
  <c r="C23"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453" i="31"/>
  <c r="S457" i="31"/>
  <c r="S461" i="31"/>
  <c r="S465" i="31"/>
  <c r="S469" i="31"/>
  <c r="S505" i="31"/>
  <c r="S433" i="31"/>
  <c r="S437" i="31"/>
  <c r="S441" i="31"/>
  <c r="S445" i="31"/>
  <c r="S429" i="31"/>
  <c r="C18" i="57"/>
  <c r="D18" i="57" s="1"/>
  <c r="D47" i="15"/>
  <c r="AB12" i="37"/>
  <c r="J37" i="37"/>
  <c r="W37" i="37"/>
  <c r="AB40" i="37"/>
  <c r="U40" i="37"/>
  <c r="U15" i="21"/>
  <c r="AB15" i="21"/>
  <c r="S14" i="39"/>
  <c r="AA35" i="39"/>
  <c r="AB21" i="39"/>
  <c r="U25" i="35"/>
  <c r="W44" i="33"/>
  <c r="U36" i="37"/>
  <c r="AB46" i="34"/>
  <c r="S14" i="34"/>
  <c r="AA14" i="34"/>
  <c r="W44" i="21"/>
  <c r="AB38" i="34"/>
  <c r="U38" i="34"/>
  <c r="F40" i="34"/>
  <c r="AA40" i="34" s="1"/>
  <c r="G118" i="34"/>
  <c r="U20" i="36"/>
  <c r="AB20" i="36"/>
  <c r="AA16" i="36"/>
  <c r="H13" i="21"/>
  <c r="U13" i="21" s="1"/>
  <c r="J13" i="21"/>
  <c r="W13" i="21" s="1"/>
  <c r="F13" i="21"/>
  <c r="AA13" i="21"/>
  <c r="J45" i="21"/>
  <c r="F45" i="21"/>
  <c r="AA45" i="21" s="1"/>
  <c r="S42" i="21"/>
  <c r="B41" i="47"/>
  <c r="C23" i="40"/>
  <c r="AC8" i="34"/>
  <c r="W8" i="34"/>
  <c r="W12" i="34"/>
  <c r="AC12" i="34"/>
  <c r="J9" i="34"/>
  <c r="AC9" i="34" s="1"/>
  <c r="F9" i="34"/>
  <c r="S9" i="34" s="1"/>
  <c r="AA19" i="34"/>
  <c r="S19" i="34"/>
  <c r="AA9" i="36"/>
  <c r="S9" i="36"/>
  <c r="J12" i="36"/>
  <c r="W12" i="36" s="1"/>
  <c r="H12" i="36"/>
  <c r="AB12" i="36" s="1"/>
  <c r="AA9" i="39"/>
  <c r="S9" i="39"/>
  <c r="AB12" i="39"/>
  <c r="U12" i="39"/>
  <c r="J12" i="39"/>
  <c r="AC12" i="39" s="1"/>
  <c r="F12" i="39"/>
  <c r="S12" i="39" s="1"/>
  <c r="B103" i="9"/>
  <c r="F15" i="21"/>
  <c r="S15" i="21"/>
  <c r="AA30" i="21"/>
  <c r="J36" i="34"/>
  <c r="W36" i="34" s="1"/>
  <c r="S8" i="34"/>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AA11" i="34"/>
  <c r="S11" i="34"/>
  <c r="F80" i="34"/>
  <c r="G80" i="34" s="1"/>
  <c r="H17" i="34"/>
  <c r="U17" i="34"/>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F126" i="34" s="1"/>
  <c r="G126"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G103" i="43"/>
  <c r="D103" i="43"/>
  <c r="E103" i="43"/>
  <c r="G4" i="47"/>
  <c r="F59" i="43"/>
  <c r="H63" i="43" s="1"/>
  <c r="G15" i="47"/>
  <c r="U15" i="37"/>
  <c r="AB24" i="36"/>
  <c r="H25" i="34"/>
  <c r="U25" i="34" s="1"/>
  <c r="AB35" i="39"/>
  <c r="AC36" i="37"/>
  <c r="AA12" i="37"/>
  <c r="S34" i="35"/>
  <c r="J17" i="34"/>
  <c r="AC17" i="34" s="1"/>
  <c r="F17" i="34"/>
  <c r="AA17" i="34" s="1"/>
  <c r="H27" i="33"/>
  <c r="AB27" i="33" s="1"/>
  <c r="F43" i="33"/>
  <c r="S43" i="33" s="1"/>
  <c r="J43" i="33"/>
  <c r="AC43" i="33" s="1"/>
  <c r="AB31" i="21"/>
  <c r="U31" i="21"/>
  <c r="S29" i="21"/>
  <c r="H27" i="36"/>
  <c r="AB27" i="36" s="1"/>
  <c r="F27" i="36"/>
  <c r="AA27" i="36" s="1"/>
  <c r="J28" i="34"/>
  <c r="W28" i="34" s="1"/>
  <c r="H11" i="34"/>
  <c r="U11" i="34" s="1"/>
  <c r="J11" i="37"/>
  <c r="AC11" i="37" s="1"/>
  <c r="W12" i="39"/>
  <c r="W9" i="34"/>
  <c r="AB13" i="21"/>
  <c r="AC37" i="37"/>
  <c r="F23" i="39"/>
  <c r="AA23" i="39" s="1"/>
  <c r="S26" i="37"/>
  <c r="F44" i="34"/>
  <c r="AA44" i="34" s="1"/>
  <c r="J44" i="34"/>
  <c r="AC44" i="34"/>
  <c r="S40" i="21"/>
  <c r="U31" i="37"/>
  <c r="AB27" i="37"/>
  <c r="H10" i="37"/>
  <c r="U10" i="37" s="1"/>
  <c r="S24" i="35"/>
  <c r="AB29" i="21"/>
  <c r="AC27" i="36"/>
  <c r="W27" i="36"/>
  <c r="J32" i="33"/>
  <c r="W32" i="33" s="1"/>
  <c r="H32" i="33"/>
  <c r="AB32" i="33" s="1"/>
  <c r="W40" i="34"/>
  <c r="U12" i="36"/>
  <c r="AC45" i="21"/>
  <c r="W45" i="21"/>
  <c r="AC13" i="21"/>
  <c r="AB25" i="34"/>
  <c r="J10" i="37"/>
  <c r="AC10" i="37" s="1"/>
  <c r="H23" i="39"/>
  <c r="AB23" i="39" s="1"/>
  <c r="J11" i="34"/>
  <c r="W11" i="34" s="1"/>
  <c r="J27" i="33"/>
  <c r="W27" i="33" s="1"/>
  <c r="J25" i="34"/>
  <c r="W25" i="34" s="1"/>
  <c r="AC11" i="34"/>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D10" i="11"/>
  <c r="C10" i="11" s="1"/>
  <c r="C2" i="31"/>
  <c r="I23" i="31" s="1"/>
  <c r="P60" i="15"/>
  <c r="D3" i="35"/>
  <c r="C31" i="35" s="1"/>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W35" i="40"/>
  <c r="W33" i="40"/>
  <c r="W34" i="40"/>
  <c r="AB39" i="40"/>
  <c r="J37" i="40"/>
  <c r="H35" i="40"/>
  <c r="AB35" i="40" s="1"/>
  <c r="H37" i="40"/>
  <c r="H28" i="40"/>
  <c r="AB28" i="40" s="1"/>
  <c r="F28" i="40"/>
  <c r="J28" i="40"/>
  <c r="W28" i="40" s="1"/>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AA15" i="40" s="1"/>
  <c r="J15" i="40"/>
  <c r="H15" i="40"/>
  <c r="AB15" i="40" s="1"/>
  <c r="AC25" i="40"/>
  <c r="W25" i="40"/>
  <c r="U19" i="40"/>
  <c r="U14" i="40"/>
  <c r="U8" i="40"/>
  <c r="AA19" i="40"/>
  <c r="S36" i="40"/>
  <c r="AA35" i="40"/>
  <c r="AC38" i="39"/>
  <c r="AC17" i="39"/>
  <c r="AA37" i="39"/>
  <c r="AB29" i="39"/>
  <c r="AC25"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11" i="35"/>
  <c r="W10" i="35"/>
  <c r="W34" i="35"/>
  <c r="W28" i="35"/>
  <c r="AC27" i="35"/>
  <c r="U35" i="35"/>
  <c r="AB10" i="35"/>
  <c r="U8" i="35"/>
  <c r="AA13" i="35"/>
  <c r="AB13" i="35"/>
  <c r="S10" i="35"/>
  <c r="S34" i="37"/>
  <c r="W32" i="37"/>
  <c r="W26" i="37"/>
  <c r="AB28" i="37"/>
  <c r="AC12" i="37"/>
  <c r="J33" i="37"/>
  <c r="W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s="1"/>
  <c r="F19" i="37"/>
  <c r="AA19" i="37" s="1"/>
  <c r="H19" i="37"/>
  <c r="U19" i="37" s="1"/>
  <c r="W17" i="37"/>
  <c r="AC17" i="37"/>
  <c r="AB17" i="37"/>
  <c r="J15" i="37"/>
  <c r="W15" i="37" s="1"/>
  <c r="S10" i="37"/>
  <c r="AA11" i="37"/>
  <c r="U9" i="37"/>
  <c r="AC21" i="37"/>
  <c r="W21" i="37"/>
  <c r="W14" i="37"/>
  <c r="AC19" i="37"/>
  <c r="AB11" i="37"/>
  <c r="AA29" i="37"/>
  <c r="S37" i="37"/>
  <c r="AA14" i="37"/>
  <c r="AA38" i="37"/>
  <c r="AC39" i="34"/>
  <c r="W35" i="34"/>
  <c r="AB11"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447" i="31"/>
  <c r="S443" i="31"/>
  <c r="S439" i="31"/>
  <c r="S435" i="31"/>
  <c r="S509" i="31"/>
  <c r="S501" i="31"/>
  <c r="S467" i="31"/>
  <c r="S463" i="31"/>
  <c r="S459" i="31"/>
  <c r="S455"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471" i="31"/>
  <c r="S479" i="31"/>
  <c r="S487" i="31"/>
  <c r="S495" i="31"/>
  <c r="D33" i="50"/>
  <c r="D12" i="50"/>
  <c r="B26" i="60" s="1"/>
  <c r="D34" i="50"/>
  <c r="D13" i="50"/>
  <c r="B27" i="60" s="1"/>
  <c r="D111" i="57"/>
  <c r="D35" i="50"/>
  <c r="D14" i="50"/>
  <c r="B28" i="60" s="1"/>
  <c r="C18" i="9"/>
  <c r="D18" i="9" s="1"/>
  <c r="D22" i="15"/>
  <c r="A14" i="52"/>
  <c r="B61" i="60" s="1"/>
  <c r="C29" i="11"/>
  <c r="D27" i="11" s="1"/>
  <c r="C47" i="11"/>
  <c r="D45" i="11"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C116" i="9"/>
  <c r="H114" i="9" s="1"/>
  <c r="T420" i="31"/>
  <c r="S420" i="31"/>
  <c r="T404" i="31"/>
  <c r="S404" i="31"/>
  <c r="T388" i="31"/>
  <c r="S388" i="31"/>
  <c r="T372" i="31"/>
  <c r="S372" i="31"/>
  <c r="T356" i="31"/>
  <c r="S356" i="31"/>
  <c r="T340" i="31"/>
  <c r="S340" i="31"/>
  <c r="D32" i="9"/>
  <c r="F117" i="9"/>
  <c r="A132" i="9"/>
  <c r="D24" i="15"/>
  <c r="C27" i="15"/>
  <c r="M20" i="15"/>
  <c r="J20" i="15" s="1"/>
  <c r="D9" i="11"/>
  <c r="C9" i="11" s="1"/>
  <c r="D19" i="11"/>
  <c r="C19" i="11" s="1"/>
  <c r="C20" i="11" s="1"/>
  <c r="C17" i="12"/>
  <c r="C20" i="12"/>
  <c r="C19" i="12"/>
  <c r="G22" i="11"/>
  <c r="G41" i="11"/>
  <c r="H113" i="43"/>
  <c r="X7" i="43"/>
  <c r="E59" i="43"/>
  <c r="B57" i="43" s="1"/>
  <c r="E70" i="43"/>
  <c r="B68" i="43" s="1"/>
  <c r="H22"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H60" i="43"/>
  <c r="C92" i="9"/>
  <c r="C7" i="39"/>
  <c r="C68" i="39" s="1"/>
  <c r="C70" i="39"/>
  <c r="C53" i="10"/>
  <c r="D123" i="9"/>
  <c r="D124" i="9"/>
  <c r="D7" i="52"/>
  <c r="M48" i="57"/>
  <c r="D68" i="39"/>
  <c r="E68" i="39" s="1"/>
  <c r="F68" i="39" s="1"/>
  <c r="G68" i="39" s="1"/>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D58" i="33" s="1"/>
  <c r="E58" i="33" s="1"/>
  <c r="F58" i="33" s="1"/>
  <c r="C7" i="37"/>
  <c r="C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s="1"/>
  <c r="M109" i="43"/>
  <c r="I107" i="43"/>
  <c r="N106" i="43"/>
  <c r="J105" i="43"/>
  <c r="F104" i="43"/>
  <c r="G37" i="47"/>
  <c r="G19" i="43"/>
  <c r="O19" i="43" s="1"/>
  <c r="F36" i="43"/>
  <c r="C17" i="43"/>
  <c r="F35" i="43"/>
  <c r="F37" i="43"/>
  <c r="F39" i="43"/>
  <c r="G17" i="43"/>
  <c r="C7" i="34"/>
  <c r="C59" i="34" s="1"/>
  <c r="D59" i="34" s="1"/>
  <c r="E59" i="34" s="1"/>
  <c r="F59" i="34" s="1"/>
  <c r="G59" i="34" s="1"/>
  <c r="C7" i="36"/>
  <c r="C46" i="36" s="1"/>
  <c r="D46" i="36" s="1"/>
  <c r="E46" i="36" s="1"/>
  <c r="F46" i="36" s="1"/>
  <c r="G46" i="36" s="1"/>
  <c r="H46" i="36" s="1"/>
  <c r="F38" i="43"/>
  <c r="A10" i="52"/>
  <c r="B66" i="60" s="1"/>
  <c r="H86" i="43"/>
  <c r="K86" i="43"/>
  <c r="J86" i="43"/>
  <c r="D86" i="43"/>
  <c r="H87" i="43"/>
  <c r="M87" i="43"/>
  <c r="N87" i="43"/>
  <c r="K82" i="43"/>
  <c r="J82" i="43" s="1"/>
  <c r="D82" i="43"/>
  <c r="H83" i="43"/>
  <c r="M83" i="43"/>
  <c r="N83" i="43" s="1"/>
  <c r="H64" i="43"/>
  <c r="H65" i="43"/>
  <c r="H52"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S34" i="39"/>
  <c r="S39" i="39"/>
  <c r="U9" i="39"/>
  <c r="S20" i="36"/>
  <c r="AA13" i="36"/>
  <c r="AA33" i="36"/>
  <c r="S8" i="36"/>
  <c r="AB34" i="35"/>
  <c r="W29" i="35"/>
  <c r="U33" i="35"/>
  <c r="W33" i="35"/>
  <c r="S36" i="35"/>
  <c r="U22" i="35"/>
  <c r="AA33" i="35"/>
  <c r="AA29" i="35"/>
  <c r="S22" i="35"/>
  <c r="U28" i="35"/>
  <c r="AB27" i="35"/>
  <c r="S35" i="35"/>
  <c r="AA25" i="35"/>
  <c r="U30" i="35"/>
  <c r="AC34" i="37"/>
  <c r="U29" i="37"/>
  <c r="U30" i="37"/>
  <c r="S40" i="37"/>
  <c r="AC29" i="37"/>
  <c r="U26" i="37"/>
  <c r="AC13" i="37"/>
  <c r="U38" i="37"/>
  <c r="AA13" i="37"/>
  <c r="AA8"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AC21" i="40"/>
  <c r="U35" i="40"/>
  <c r="U37" i="40"/>
  <c r="AB37" i="40"/>
  <c r="W37" i="40"/>
  <c r="AC37" i="40"/>
  <c r="AA28" i="40"/>
  <c r="S28" i="40"/>
  <c r="AC28" i="40"/>
  <c r="U28" i="40"/>
  <c r="AB21" i="40"/>
  <c r="U21" i="40"/>
  <c r="S21" i="40"/>
  <c r="AB17" i="40"/>
  <c r="W17" i="40"/>
  <c r="AC17" i="40"/>
  <c r="S15" i="40"/>
  <c r="AC15" i="40"/>
  <c r="W15" i="40"/>
  <c r="U33" i="37"/>
  <c r="S33" i="37"/>
  <c r="S35" i="37"/>
  <c r="AC33" i="37"/>
  <c r="S19" i="37"/>
  <c r="AC15" i="37"/>
  <c r="AC21" i="21"/>
  <c r="M86" i="43"/>
  <c r="N86" i="43" s="1"/>
  <c r="F34" i="11"/>
  <c r="E19" i="1"/>
  <c r="D20" i="1"/>
  <c r="D18" i="1"/>
  <c r="F50" i="11"/>
  <c r="F19" i="1"/>
  <c r="F18" i="1"/>
  <c r="C11" i="12" s="1"/>
  <c r="D19" i="1"/>
  <c r="K87" i="43"/>
  <c r="J87" i="43" s="1"/>
  <c r="D87" i="43"/>
  <c r="E3" i="4"/>
  <c r="B5" i="55" s="1"/>
  <c r="B55" i="60" s="1"/>
  <c r="C7" i="43"/>
  <c r="C3" i="4"/>
  <c r="B4" i="55"/>
  <c r="B53" i="60" s="1"/>
  <c r="D58" i="21"/>
  <c r="E58" i="21" s="1"/>
  <c r="F58" i="21" s="1"/>
  <c r="G58" i="21" s="1"/>
  <c r="H58" i="21" s="1"/>
  <c r="D65" i="40"/>
  <c r="E63" i="40"/>
  <c r="E65" i="40" s="1"/>
  <c r="B14" i="1"/>
  <c r="H10" i="39" s="1"/>
  <c r="L59" i="15"/>
  <c r="Q58" i="15" s="1"/>
  <c r="C50" i="15"/>
  <c r="J22" i="43"/>
  <c r="M84" i="43"/>
  <c r="N84" i="43" s="1"/>
  <c r="K84" i="43"/>
  <c r="J84" i="43" s="1"/>
  <c r="D84" i="43"/>
  <c r="M81" i="43"/>
  <c r="N81" i="43"/>
  <c r="K81" i="43"/>
  <c r="J81" i="43"/>
  <c r="D81" i="43"/>
  <c r="M88" i="43"/>
  <c r="N88" i="43" s="1"/>
  <c r="K88" i="43"/>
  <c r="J88" i="43" s="1"/>
  <c r="D88" i="43"/>
  <c r="I113" i="57"/>
  <c r="D39" i="50" s="1"/>
  <c r="D40" i="50" s="1"/>
  <c r="B40" i="1"/>
  <c r="M27" i="15" s="1"/>
  <c r="C34" i="11"/>
  <c r="C35" i="11" s="1"/>
  <c r="F63" i="40"/>
  <c r="F65" i="40" s="1"/>
  <c r="C24" i="43"/>
  <c r="C13" i="12"/>
  <c r="C36" i="11"/>
  <c r="C38" i="11"/>
  <c r="F70" i="39"/>
  <c r="G63" i="40"/>
  <c r="H63" i="40" s="1"/>
  <c r="Q71" i="15"/>
  <c r="D117" i="57"/>
  <c r="D118" i="57"/>
  <c r="I114" i="57" s="1"/>
  <c r="D131" i="57" s="1"/>
  <c r="G65" i="40"/>
  <c r="D133" i="57"/>
  <c r="M57" i="57"/>
  <c r="D119" i="57"/>
  <c r="I115" i="57"/>
  <c r="D132" i="57" s="1"/>
  <c r="I14" i="62" s="1"/>
  <c r="B8" i="62" s="1"/>
  <c r="M56" i="9"/>
  <c r="D130" i="9"/>
  <c r="D13" i="52"/>
  <c r="I112" i="9"/>
  <c r="M49" i="9" s="1"/>
  <c r="D114" i="9"/>
  <c r="D115" i="9"/>
  <c r="I113" i="9"/>
  <c r="D128" i="9" s="1"/>
  <c r="D41" i="50"/>
  <c r="B63" i="60" s="1"/>
  <c r="D127" i="9"/>
  <c r="L67" i="9"/>
  <c r="M67" i="9" s="1"/>
  <c r="L65" i="9"/>
  <c r="M65" i="9" s="1"/>
  <c r="L66" i="9"/>
  <c r="M66" i="9" s="1"/>
  <c r="L68" i="9"/>
  <c r="M68" i="9" s="1"/>
  <c r="L63" i="9"/>
  <c r="M63" i="9" s="1"/>
  <c r="M69" i="9" s="1"/>
  <c r="N69" i="9" s="1"/>
  <c r="L64" i="9"/>
  <c r="M64" i="9" s="1"/>
  <c r="I114" i="9"/>
  <c r="D116" i="9"/>
  <c r="D129" i="9"/>
  <c r="D23" i="48"/>
  <c r="B18" i="49"/>
  <c r="B4" i="60"/>
  <c r="C20" i="9"/>
  <c r="E2" i="35"/>
  <c r="F4" i="61"/>
  <c r="F6" i="61"/>
  <c r="F5" i="61"/>
  <c r="E2" i="37"/>
  <c r="F7" i="61"/>
  <c r="D20" i="9"/>
  <c r="F3" i="61"/>
  <c r="E2" i="33"/>
  <c r="H23" i="31"/>
  <c r="E2" i="36"/>
  <c r="E2" i="34"/>
  <c r="C19" i="9"/>
  <c r="E2" i="11"/>
  <c r="E2" i="21"/>
  <c r="D19" i="9"/>
  <c r="C12" i="12" l="1"/>
  <c r="C15" i="12"/>
  <c r="G70" i="39"/>
  <c r="H68" i="39"/>
  <c r="AC21" i="34"/>
  <c r="E48" i="43"/>
  <c r="B46" i="43" s="1"/>
  <c r="W38" i="21"/>
  <c r="AC38" i="21"/>
  <c r="E64" i="35"/>
  <c r="F64" i="35" s="1"/>
  <c r="G64" i="35" s="1"/>
  <c r="J14" i="35"/>
  <c r="AC14" i="35" s="1"/>
  <c r="H23" i="35"/>
  <c r="J23" i="35"/>
  <c r="AC30" i="37"/>
  <c r="W30" i="37"/>
  <c r="AB14" i="37"/>
  <c r="U14" i="37"/>
  <c r="H25" i="37"/>
  <c r="J25" i="37"/>
  <c r="H44" i="39"/>
  <c r="F44" i="39"/>
  <c r="AA34" i="40"/>
  <c r="S34" i="40"/>
  <c r="AC41" i="21"/>
  <c r="W41" i="21"/>
  <c r="F87" i="35"/>
  <c r="G87" i="35" s="1"/>
  <c r="H87" i="35" s="1"/>
  <c r="I87" i="35" s="1"/>
  <c r="J87" i="35" s="1"/>
  <c r="K87" i="35" s="1"/>
  <c r="L87" i="35" s="1"/>
  <c r="M87" i="35" s="1"/>
  <c r="H29" i="35"/>
  <c r="F36" i="39"/>
  <c r="H36" i="39"/>
  <c r="J36" i="39"/>
  <c r="J31" i="35"/>
  <c r="F31" i="35"/>
  <c r="AA31" i="35" s="1"/>
  <c r="E70" i="39"/>
  <c r="C14" i="15"/>
  <c r="C18" i="15" s="1"/>
  <c r="D70" i="39"/>
  <c r="K106" i="9"/>
  <c r="U35" i="37"/>
  <c r="AA17" i="40"/>
  <c r="C34" i="15"/>
  <c r="AC32" i="33"/>
  <c r="U15" i="40"/>
  <c r="H84" i="43"/>
  <c r="H82" i="43"/>
  <c r="W9" i="33"/>
  <c r="S17" i="34"/>
  <c r="AC28" i="34"/>
  <c r="W11" i="37"/>
  <c r="AC24" i="36"/>
  <c r="AC23" i="39"/>
  <c r="H74" i="43"/>
  <c r="W17" i="34"/>
  <c r="S44" i="34"/>
  <c r="U45" i="21"/>
  <c r="AB43" i="33"/>
  <c r="W27" i="37"/>
  <c r="S24" i="36"/>
  <c r="S45" i="21"/>
  <c r="AC36" i="34"/>
  <c r="AB34" i="21"/>
  <c r="AC27" i="21"/>
  <c r="AB24" i="35"/>
  <c r="S27" i="37"/>
  <c r="AC40" i="37"/>
  <c r="M105" i="43"/>
  <c r="H106" i="43"/>
  <c r="K104" i="43"/>
  <c r="C102" i="43"/>
  <c r="F107" i="43"/>
  <c r="C106" i="9"/>
  <c r="H102" i="9" s="1"/>
  <c r="C113" i="57"/>
  <c r="H108" i="57" s="1"/>
  <c r="AA15" i="39"/>
  <c r="AB25" i="39"/>
  <c r="F15" i="47"/>
  <c r="B13" i="47" s="1"/>
  <c r="F37" i="47"/>
  <c r="B35" i="47" s="1"/>
  <c r="W10" i="36"/>
  <c r="AA30" i="33"/>
  <c r="AA13" i="33"/>
  <c r="AA11" i="35"/>
  <c r="U42" i="21"/>
  <c r="AB45" i="33"/>
  <c r="AC11" i="36"/>
  <c r="S46" i="33"/>
  <c r="AB46" i="21"/>
  <c r="AC14" i="34"/>
  <c r="S14" i="33"/>
  <c r="S47" i="34"/>
  <c r="AB37" i="37"/>
  <c r="AA44" i="33"/>
  <c r="AC34" i="36"/>
  <c r="F23" i="35"/>
  <c r="AB8" i="36"/>
  <c r="C25" i="39"/>
  <c r="J31" i="39"/>
  <c r="H31" i="39"/>
  <c r="AB34" i="36"/>
  <c r="S30" i="37"/>
  <c r="W31" i="37"/>
  <c r="J44" i="39"/>
  <c r="F12" i="21"/>
  <c r="J12" i="21"/>
  <c r="C27" i="39"/>
  <c r="B74" i="43"/>
  <c r="F9" i="21"/>
  <c r="J9" i="21"/>
  <c r="H9" i="21"/>
  <c r="J26" i="33"/>
  <c r="F26" i="33"/>
  <c r="E66" i="35"/>
  <c r="F66" i="35" s="1"/>
  <c r="G66" i="35" s="1"/>
  <c r="F16" i="35"/>
  <c r="AB8" i="37"/>
  <c r="U8" i="37"/>
  <c r="F25" i="37"/>
  <c r="J39" i="37"/>
  <c r="F39" i="37"/>
  <c r="H45" i="39"/>
  <c r="J45" i="39"/>
  <c r="H31" i="35"/>
  <c r="B12" i="59"/>
  <c r="B11" i="59" s="1"/>
  <c r="S13" i="59"/>
  <c r="D27" i="59"/>
  <c r="C28" i="59"/>
  <c r="C36" i="59"/>
  <c r="D35" i="59"/>
  <c r="D4" i="47"/>
  <c r="F4" i="47" s="1"/>
  <c r="B2" i="47" s="1"/>
  <c r="I106" i="57"/>
  <c r="L100" i="43"/>
  <c r="D100" i="43"/>
  <c r="I15" i="58"/>
  <c r="E26" i="58"/>
  <c r="C30" i="58"/>
  <c r="S21" i="21"/>
  <c r="U21" i="33"/>
  <c r="T21" i="59"/>
  <c r="AA3" i="59"/>
  <c r="AA12" i="59"/>
  <c r="AB12" i="59"/>
  <c r="AB10" i="59"/>
  <c r="X11" i="59"/>
  <c r="X12" i="59"/>
  <c r="Y13" i="59"/>
  <c r="Z13" i="59" s="1"/>
  <c r="Y10" i="59"/>
  <c r="Z10" i="59" s="1"/>
  <c r="B15" i="59"/>
  <c r="B16" i="59" s="1"/>
  <c r="B17" i="59" s="1"/>
  <c r="S17" i="59" s="1"/>
  <c r="C15" i="59"/>
  <c r="AA14" i="59"/>
  <c r="X15" i="59"/>
  <c r="AA15" i="59"/>
  <c r="X16" i="59"/>
  <c r="AA16" i="59"/>
  <c r="X17" i="59"/>
  <c r="AA17" i="59"/>
  <c r="Y18" i="59"/>
  <c r="Z18" i="59" s="1"/>
  <c r="AB18" i="59"/>
  <c r="Y19" i="59"/>
  <c r="Z19" i="59" s="1"/>
  <c r="AB19" i="59"/>
  <c r="Y20" i="59"/>
  <c r="Z20" i="59" s="1"/>
  <c r="AB20" i="59"/>
  <c r="Y21" i="59"/>
  <c r="Z21" i="59" s="1"/>
  <c r="AB21" i="59"/>
  <c r="C23" i="59"/>
  <c r="AA22" i="59"/>
  <c r="X23" i="59"/>
  <c r="AA23" i="59"/>
  <c r="E36" i="59"/>
  <c r="E37" i="59" s="1"/>
  <c r="U37" i="59" s="1"/>
  <c r="B20" i="60"/>
  <c r="AE10" i="43"/>
  <c r="J1" i="61"/>
  <c r="J56" i="9"/>
  <c r="K57" i="57"/>
  <c r="J57" i="9"/>
  <c r="J59" i="9" s="1"/>
  <c r="J61" i="9" s="1"/>
  <c r="U9" i="59"/>
  <c r="S31" i="35"/>
  <c r="AA30" i="35"/>
  <c r="S28" i="35"/>
  <c r="S26" i="35"/>
  <c r="AB26" i="35"/>
  <c r="AC26" i="35"/>
  <c r="S18" i="35"/>
  <c r="U14" i="35"/>
  <c r="AA14" i="35"/>
  <c r="AB16" i="35"/>
  <c r="AC20" i="35"/>
  <c r="W18" i="35"/>
  <c r="S20" i="35"/>
  <c r="U18" i="35"/>
  <c r="AC16" i="35"/>
  <c r="W14" i="35"/>
  <c r="D18" i="50"/>
  <c r="W8" i="35"/>
  <c r="J54" i="15"/>
  <c r="L60" i="15"/>
  <c r="Q72" i="15" s="1"/>
  <c r="J58" i="15"/>
  <c r="J56" i="15" s="1"/>
  <c r="J59" i="15" s="1"/>
  <c r="Q48" i="15" s="1"/>
  <c r="M60" i="15"/>
  <c r="N60" i="15"/>
  <c r="I55" i="15"/>
  <c r="L57" i="15"/>
  <c r="P72" i="15"/>
  <c r="C93" i="57"/>
  <c r="C95" i="57"/>
  <c r="M18" i="15"/>
  <c r="F54" i="57"/>
  <c r="F52" i="9"/>
  <c r="F32" i="15"/>
  <c r="F61" i="15" s="1"/>
  <c r="F49" i="57"/>
  <c r="O53" i="57" s="1"/>
  <c r="F53" i="57"/>
  <c r="D68" i="9"/>
  <c r="D69" i="57"/>
  <c r="F31" i="12"/>
  <c r="C31" i="12" s="1"/>
  <c r="F48" i="9"/>
  <c r="O52" i="9" s="1"/>
  <c r="F30" i="11"/>
  <c r="F28" i="15"/>
  <c r="C28" i="15" s="1"/>
  <c r="F55" i="57"/>
  <c r="F54" i="9"/>
  <c r="F53" i="9"/>
  <c r="C16" i="12"/>
  <c r="D21" i="50"/>
  <c r="D22" i="50" s="1"/>
  <c r="B35" i="60" s="1"/>
  <c r="D12" i="52"/>
  <c r="D42" i="50"/>
  <c r="D43" i="50" s="1"/>
  <c r="D11" i="52"/>
  <c r="C18" i="12"/>
  <c r="C21" i="12" s="1"/>
  <c r="C22" i="12" s="1"/>
  <c r="C30" i="12" s="1"/>
  <c r="C28" i="12" s="1"/>
  <c r="AB10" i="39"/>
  <c r="U10" i="39"/>
  <c r="H10" i="40"/>
  <c r="AB10" i="40" s="1"/>
  <c r="F10" i="39"/>
  <c r="U10" i="40"/>
  <c r="C33" i="11"/>
  <c r="C39" i="11" s="1"/>
  <c r="C46" i="11" s="1"/>
  <c r="C45" i="11" s="1"/>
  <c r="C111" i="9"/>
  <c r="H108" i="9" s="1"/>
  <c r="C110" i="9"/>
  <c r="H107" i="9" s="1"/>
  <c r="C109" i="9"/>
  <c r="H106" i="9" s="1"/>
  <c r="H105" i="9"/>
  <c r="C13" i="50"/>
  <c r="D20" i="50"/>
  <c r="C18" i="50"/>
  <c r="C109" i="57"/>
  <c r="H103" i="57" s="1"/>
  <c r="I63" i="40"/>
  <c r="H65" i="40"/>
  <c r="H59" i="34"/>
  <c r="I59" i="34" s="1"/>
  <c r="J59" i="34" s="1"/>
  <c r="K59" i="34" s="1"/>
  <c r="L59" i="34" s="1"/>
  <c r="M59" i="34" s="1"/>
  <c r="N59" i="34" s="1"/>
  <c r="O59" i="34" s="1"/>
  <c r="F7" i="34"/>
  <c r="H7" i="34"/>
  <c r="J7" i="34"/>
  <c r="I58" i="21"/>
  <c r="J58" i="21" s="1"/>
  <c r="K58" i="21" s="1"/>
  <c r="L58" i="21" s="1"/>
  <c r="M58" i="21" s="1"/>
  <c r="N58" i="21" s="1"/>
  <c r="O58" i="21" s="1"/>
  <c r="H7" i="21"/>
  <c r="F7" i="21"/>
  <c r="C8" i="62"/>
  <c r="D8" i="62"/>
  <c r="G58" i="33"/>
  <c r="H58" i="33" s="1"/>
  <c r="I58" i="33" s="1"/>
  <c r="J58" i="33" s="1"/>
  <c r="K58" i="33" s="1"/>
  <c r="L58" i="33" s="1"/>
  <c r="M58" i="33" s="1"/>
  <c r="N58" i="33" s="1"/>
  <c r="O58" i="33" s="1"/>
  <c r="I46" i="36"/>
  <c r="J46" i="36" s="1"/>
  <c r="K46" i="36" s="1"/>
  <c r="L46" i="36" s="1"/>
  <c r="M46" i="36" s="1"/>
  <c r="N46" i="36" s="1"/>
  <c r="O46" i="36" s="1"/>
  <c r="D113" i="43"/>
  <c r="M50" i="57"/>
  <c r="D130" i="57"/>
  <c r="H14" i="62" s="1"/>
  <c r="B7" i="62" s="1"/>
  <c r="J10" i="39"/>
  <c r="F10" i="40"/>
  <c r="J10" i="40"/>
  <c r="E81" i="43"/>
  <c r="B79" i="43" s="1"/>
  <c r="F7" i="36"/>
  <c r="J7" i="21"/>
  <c r="F48" i="35"/>
  <c r="C15" i="15"/>
  <c r="C16" i="15"/>
  <c r="J7" i="36"/>
  <c r="J6" i="15"/>
  <c r="Q59" i="15"/>
  <c r="C16" i="43"/>
  <c r="D5" i="43" s="1"/>
  <c r="D52" i="37"/>
  <c r="F7" i="33"/>
  <c r="C28" i="11"/>
  <c r="C27" i="11" s="1"/>
  <c r="AB19" i="37"/>
  <c r="AC27" i="33"/>
  <c r="AB10" i="37"/>
  <c r="W10" i="37"/>
  <c r="S15" i="37"/>
  <c r="S23" i="39"/>
  <c r="S40" i="40"/>
  <c r="H56" i="43"/>
  <c r="U23" i="39"/>
  <c r="S27" i="36"/>
  <c r="U9" i="34"/>
  <c r="S31" i="21"/>
  <c r="AA27" i="33"/>
  <c r="U38" i="40"/>
  <c r="S17" i="37"/>
  <c r="S37" i="34"/>
  <c r="W29" i="21"/>
  <c r="W40" i="40"/>
  <c r="W17" i="21"/>
  <c r="AC13" i="39"/>
  <c r="AC9" i="37"/>
  <c r="S36" i="37"/>
  <c r="W36" i="33"/>
  <c r="U14" i="21"/>
  <c r="AC30" i="35"/>
  <c r="W8" i="21"/>
  <c r="W22" i="36"/>
  <c r="S23" i="36"/>
  <c r="H12" i="34"/>
  <c r="F12" i="34"/>
  <c r="J12" i="35"/>
  <c r="H12" i="35"/>
  <c r="F12" i="35"/>
  <c r="H36" i="35"/>
  <c r="J36" i="35"/>
  <c r="J23" i="36"/>
  <c r="H23" i="36"/>
  <c r="J39" i="40"/>
  <c r="F39" i="40"/>
  <c r="J9" i="35"/>
  <c r="H9" i="35"/>
  <c r="F9" i="35"/>
  <c r="I21" i="58"/>
  <c r="D1" i="58" s="1"/>
  <c r="E10" i="58" s="1"/>
  <c r="B66" i="43"/>
  <c r="B86" i="43"/>
  <c r="C40" i="59"/>
  <c r="D39" i="59"/>
  <c r="C44" i="59"/>
  <c r="D43" i="59"/>
  <c r="C48" i="59"/>
  <c r="D47" i="59"/>
  <c r="E51" i="59"/>
  <c r="P52" i="59"/>
  <c r="U27" i="31"/>
  <c r="U25" i="31" s="1"/>
  <c r="C35" i="57" s="1"/>
  <c r="D124" i="57" s="1"/>
  <c r="Y27" i="31"/>
  <c r="Y25" i="31" s="1"/>
  <c r="X27" i="31"/>
  <c r="X25" i="31" s="1"/>
  <c r="C36" i="57" s="1"/>
  <c r="F124" i="57" s="1"/>
  <c r="N100" i="43"/>
  <c r="J100" i="43"/>
  <c r="F100" i="43"/>
  <c r="M100" i="43"/>
  <c r="I100" i="43"/>
  <c r="E100" i="43"/>
  <c r="C6" i="15"/>
  <c r="C29" i="39"/>
  <c r="B55" i="43"/>
  <c r="P53" i="59"/>
  <c r="U53" i="59"/>
  <c r="AB8" i="59"/>
  <c r="Y9" i="59"/>
  <c r="Z9" i="59" s="1"/>
  <c r="X8" i="59"/>
  <c r="AA9" i="59"/>
  <c r="AA7" i="59"/>
  <c r="AB6" i="59"/>
  <c r="X6" i="59"/>
  <c r="AA6" i="59"/>
  <c r="E15" i="59"/>
  <c r="E16" i="59" s="1"/>
  <c r="E17" i="59" s="1"/>
  <c r="U17" i="59" s="1"/>
  <c r="F15" i="59"/>
  <c r="F16" i="59" s="1"/>
  <c r="F17" i="59" s="1"/>
  <c r="V17" i="59" s="1"/>
  <c r="X18" i="59"/>
  <c r="E19" i="59"/>
  <c r="E20" i="59" s="1"/>
  <c r="E21" i="59" s="1"/>
  <c r="U21" i="59" s="1"/>
  <c r="F19" i="59"/>
  <c r="F20" i="59" s="1"/>
  <c r="F21" i="59" s="1"/>
  <c r="V21" i="59" s="1"/>
  <c r="X22" i="59"/>
  <c r="E23" i="59"/>
  <c r="E24" i="59" s="1"/>
  <c r="E25" i="59" s="1"/>
  <c r="U25" i="59" s="1"/>
  <c r="AB22" i="59"/>
  <c r="F23" i="59"/>
  <c r="F24" i="59" s="1"/>
  <c r="F25" i="59" s="1"/>
  <c r="V25" i="59" s="1"/>
  <c r="AB23" i="59"/>
  <c r="F52" i="59"/>
  <c r="N53" i="59"/>
  <c r="B56" i="59"/>
  <c r="B55" i="59" s="1"/>
  <c r="F56" i="59"/>
  <c r="F55" i="59" s="1"/>
  <c r="B64" i="59"/>
  <c r="B63" i="59" s="1"/>
  <c r="F64" i="59"/>
  <c r="F63" i="59" s="1"/>
  <c r="C21" i="50"/>
  <c r="X9" i="59"/>
  <c r="AA8" i="59"/>
  <c r="D8" i="59"/>
  <c r="C7" i="59"/>
  <c r="D7" i="59" s="1"/>
  <c r="Y6" i="59"/>
  <c r="Z6" i="59" s="1"/>
  <c r="AB9" i="59"/>
  <c r="AB7" i="59"/>
  <c r="X7" i="59"/>
  <c r="X5" i="59"/>
  <c r="AA5" i="59"/>
  <c r="AH10" i="43"/>
  <c r="AD10" i="43"/>
  <c r="Z10" i="43"/>
  <c r="AG10" i="43"/>
  <c r="AC10" i="43"/>
  <c r="D9" i="59"/>
  <c r="S9" i="59"/>
  <c r="T9" i="59"/>
  <c r="Y8" i="59"/>
  <c r="Z8" i="59" s="1"/>
  <c r="Y7" i="59"/>
  <c r="Z7" i="59" s="1"/>
  <c r="Y5" i="59"/>
  <c r="Z5" i="59" s="1"/>
  <c r="AB5" i="59"/>
  <c r="F6" i="59"/>
  <c r="F5" i="59" s="1"/>
  <c r="C6" i="59"/>
  <c r="C5" i="59" s="1"/>
  <c r="D5" i="59" s="1"/>
  <c r="X3" i="59"/>
  <c r="Y3" i="59"/>
  <c r="Z3" i="59" s="1"/>
  <c r="B6" i="59"/>
  <c r="B5" i="59" s="1"/>
  <c r="D6"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C101" i="9"/>
  <c r="D22" i="9"/>
  <c r="G19" i="9"/>
  <c r="I1" i="61"/>
  <c r="B30" i="1" s="1"/>
  <c r="D102" i="9"/>
  <c r="K1" i="61"/>
  <c r="D101" i="9"/>
  <c r="G20" i="9"/>
  <c r="C32" i="9" s="1"/>
  <c r="C102" i="9"/>
  <c r="B9" i="48"/>
  <c r="D9" i="48" s="1"/>
  <c r="B8" i="48"/>
  <c r="D8" i="48" s="1"/>
  <c r="B13" i="48"/>
  <c r="D13" i="48" s="1"/>
  <c r="B16" i="48"/>
  <c r="D16" i="48" s="1"/>
  <c r="B4" i="48"/>
  <c r="D4" i="48" s="1"/>
  <c r="F14" i="48"/>
  <c r="H14" i="48" s="1"/>
  <c r="F13" i="48"/>
  <c r="H13" i="48" s="1"/>
  <c r="F15" i="48"/>
  <c r="H15" i="48" s="1"/>
  <c r="F9" i="48"/>
  <c r="H9" i="48" s="1"/>
  <c r="D23" i="59" l="1"/>
  <c r="C24" i="59"/>
  <c r="D15" i="59"/>
  <c r="C16" i="59"/>
  <c r="D126" i="57"/>
  <c r="D31" i="50"/>
  <c r="D32" i="50" s="1"/>
  <c r="D10" i="50"/>
  <c r="D28" i="59"/>
  <c r="C29" i="59"/>
  <c r="AB31" i="35"/>
  <c r="U31" i="35"/>
  <c r="U45" i="39"/>
  <c r="AB45" i="39"/>
  <c r="AC39" i="37"/>
  <c r="W39" i="37"/>
  <c r="S16" i="35"/>
  <c r="AA16" i="35"/>
  <c r="AA26" i="33"/>
  <c r="S26" i="33"/>
  <c r="AB9" i="21"/>
  <c r="U9" i="21"/>
  <c r="S9" i="21"/>
  <c r="AA9" i="21"/>
  <c r="AA12" i="21"/>
  <c r="S12" i="21"/>
  <c r="W31" i="39"/>
  <c r="AC31" i="39"/>
  <c r="S6" i="43"/>
  <c r="S5" i="43"/>
  <c r="S4" i="43"/>
  <c r="S2" i="43"/>
  <c r="S7" i="43"/>
  <c r="S3" i="43"/>
  <c r="AC31" i="35"/>
  <c r="W31" i="35"/>
  <c r="W36" i="39"/>
  <c r="AC36" i="39"/>
  <c r="AA36" i="39"/>
  <c r="S36" i="39"/>
  <c r="AB44" i="39"/>
  <c r="U44" i="39"/>
  <c r="U25" i="37"/>
  <c r="AB25" i="37"/>
  <c r="U23" i="35"/>
  <c r="AB23" i="35"/>
  <c r="H70" i="39"/>
  <c r="I68" i="39"/>
  <c r="H7" i="36"/>
  <c r="J7" i="33"/>
  <c r="D36" i="59"/>
  <c r="C37" i="59"/>
  <c r="W45" i="39"/>
  <c r="AC45" i="39"/>
  <c r="S39" i="37"/>
  <c r="AA39" i="37"/>
  <c r="AA25" i="37"/>
  <c r="S25" i="37"/>
  <c r="AC26" i="33"/>
  <c r="W26" i="33"/>
  <c r="W9" i="21"/>
  <c r="AC9" i="21"/>
  <c r="AC12" i="21"/>
  <c r="W12" i="21"/>
  <c r="AC44" i="39"/>
  <c r="W44" i="39"/>
  <c r="AB31" i="39"/>
  <c r="U31" i="39"/>
  <c r="S23" i="35"/>
  <c r="AA23" i="35"/>
  <c r="AB36" i="39"/>
  <c r="U36" i="39"/>
  <c r="AB29" i="35"/>
  <c r="U29" i="35"/>
  <c r="AA44" i="39"/>
  <c r="S44" i="39"/>
  <c r="AC25" i="37"/>
  <c r="W25" i="37"/>
  <c r="AC23" i="35"/>
  <c r="W23" i="35"/>
  <c r="B31" i="60"/>
  <c r="D19" i="50"/>
  <c r="B32" i="60" s="1"/>
  <c r="B33" i="1"/>
  <c r="F41" i="15" s="1"/>
  <c r="F70" i="15" s="1"/>
  <c r="Q50" i="15"/>
  <c r="C48" i="11"/>
  <c r="C30" i="11"/>
  <c r="B33" i="60"/>
  <c r="S10" i="39"/>
  <c r="AA10" i="39"/>
  <c r="C19" i="15"/>
  <c r="H7" i="33"/>
  <c r="AB7" i="33" s="1"/>
  <c r="T48" i="33" s="1"/>
  <c r="G48" i="33" s="1"/>
  <c r="J63" i="40"/>
  <c r="I65" i="40"/>
  <c r="Q52" i="59"/>
  <c r="F51" i="59"/>
  <c r="G124" i="57"/>
  <c r="F125" i="57"/>
  <c r="E124" i="57"/>
  <c r="D125" i="57"/>
  <c r="P50" i="59"/>
  <c r="P51" i="59"/>
  <c r="D48" i="59"/>
  <c r="C49" i="59"/>
  <c r="D44" i="59"/>
  <c r="C45" i="59"/>
  <c r="D40" i="59"/>
  <c r="C41" i="59"/>
  <c r="AB9" i="35"/>
  <c r="U9" i="35"/>
  <c r="AA39" i="40"/>
  <c r="S39" i="40"/>
  <c r="U23" i="36"/>
  <c r="AB23" i="36"/>
  <c r="AC36" i="35"/>
  <c r="W36" i="35"/>
  <c r="AA12" i="35"/>
  <c r="S12" i="35"/>
  <c r="AC12" i="35"/>
  <c r="W12" i="35"/>
  <c r="U12" i="34"/>
  <c r="AB12" i="34"/>
  <c r="E52" i="37"/>
  <c r="F52" i="37" s="1"/>
  <c r="G52" i="37" s="1"/>
  <c r="H52" i="37" s="1"/>
  <c r="I52" i="37" s="1"/>
  <c r="J52" i="37" s="1"/>
  <c r="K52" i="37" s="1"/>
  <c r="L52" i="37" s="1"/>
  <c r="M52" i="37" s="1"/>
  <c r="N52" i="37" s="1"/>
  <c r="O52" i="37" s="1"/>
  <c r="J7" i="37"/>
  <c r="G48" i="35"/>
  <c r="F7" i="37"/>
  <c r="S7" i="36"/>
  <c r="AA7" i="36"/>
  <c r="R36" i="36" s="1"/>
  <c r="W10" i="40"/>
  <c r="AC10" i="40"/>
  <c r="W10" i="39"/>
  <c r="AC10" i="39"/>
  <c r="L69" i="57"/>
  <c r="M69" i="57" s="1"/>
  <c r="L68" i="57"/>
  <c r="M68" i="57" s="1"/>
  <c r="L67" i="57"/>
  <c r="M67" i="57" s="1"/>
  <c r="L66" i="57"/>
  <c r="M66" i="57" s="1"/>
  <c r="L65" i="57"/>
  <c r="M65" i="57" s="1"/>
  <c r="L64" i="57"/>
  <c r="M64" i="57" s="1"/>
  <c r="M70" i="57" s="1"/>
  <c r="N70" i="57" s="1"/>
  <c r="U7" i="33"/>
  <c r="U7" i="21"/>
  <c r="AB7" i="21"/>
  <c r="T48" i="21" s="1"/>
  <c r="G48" i="21" s="1"/>
  <c r="AC7" i="34"/>
  <c r="V49" i="34" s="1"/>
  <c r="I49" i="34" s="1"/>
  <c r="W7" i="34"/>
  <c r="S7" i="34"/>
  <c r="AA7" i="34"/>
  <c r="R49" i="34" s="1"/>
  <c r="AA9" i="35"/>
  <c r="S9" i="35"/>
  <c r="AC9" i="35"/>
  <c r="W9" i="35"/>
  <c r="AC39" i="40"/>
  <c r="W39" i="40"/>
  <c r="W23" i="36"/>
  <c r="AC23" i="36"/>
  <c r="AB36" i="35"/>
  <c r="U36" i="35"/>
  <c r="U12" i="35"/>
  <c r="AB12" i="35"/>
  <c r="S12" i="34"/>
  <c r="AA12" i="34"/>
  <c r="AA7" i="33"/>
  <c r="R48" i="33" s="1"/>
  <c r="S7" i="33"/>
  <c r="AC7" i="36"/>
  <c r="V36" i="36" s="1"/>
  <c r="I36" i="36" s="1"/>
  <c r="W7" i="36"/>
  <c r="C20" i="15"/>
  <c r="C26" i="15" s="1"/>
  <c r="AC7" i="21"/>
  <c r="V48" i="21" s="1"/>
  <c r="I48" i="21" s="1"/>
  <c r="W7" i="21"/>
  <c r="H7" i="37"/>
  <c r="S10" i="40"/>
  <c r="AA10" i="40"/>
  <c r="D7" i="62"/>
  <c r="C7" i="62"/>
  <c r="U7" i="36"/>
  <c r="AB7" i="36"/>
  <c r="T36" i="36" s="1"/>
  <c r="G36" i="36" s="1"/>
  <c r="W7" i="33"/>
  <c r="AC7" i="33"/>
  <c r="V48" i="33" s="1"/>
  <c r="I48" i="33" s="1"/>
  <c r="AA7" i="21"/>
  <c r="R48" i="21" s="1"/>
  <c r="S7" i="21"/>
  <c r="AB7" i="34"/>
  <c r="T49" i="34" s="1"/>
  <c r="G49" i="34" s="1"/>
  <c r="U7" i="34"/>
  <c r="F11" i="15"/>
  <c r="M11" i="15"/>
  <c r="J10" i="15" s="1"/>
  <c r="J5" i="15" s="1"/>
  <c r="D4" i="61"/>
  <c r="D3" i="61"/>
  <c r="D5" i="61"/>
  <c r="G1" i="61" s="1"/>
  <c r="D6" i="61"/>
  <c r="D7" i="61"/>
  <c r="E27" i="1" l="1"/>
  <c r="F24" i="15" s="1"/>
  <c r="E20" i="43"/>
  <c r="T37" i="59"/>
  <c r="D37" i="59"/>
  <c r="D16" i="59"/>
  <c r="C17" i="59"/>
  <c r="D24" i="59"/>
  <c r="C25" i="59"/>
  <c r="J68" i="39"/>
  <c r="I70" i="39"/>
  <c r="D29" i="59"/>
  <c r="T29" i="59"/>
  <c r="D11" i="50"/>
  <c r="B25" i="60" s="1"/>
  <c r="B23" i="60"/>
  <c r="K107" i="57"/>
  <c r="D6" i="52"/>
  <c r="K63" i="40"/>
  <c r="J65" i="40"/>
  <c r="E48" i="21"/>
  <c r="I53" i="21" s="1"/>
  <c r="J53" i="21" s="1"/>
  <c r="R49" i="21"/>
  <c r="U7" i="37"/>
  <c r="AB7" i="37"/>
  <c r="T42" i="37" s="1"/>
  <c r="G42" i="37" s="1"/>
  <c r="I52" i="21"/>
  <c r="J52" i="21" s="1"/>
  <c r="I40" i="36"/>
  <c r="J40" i="36" s="1"/>
  <c r="E48" i="33"/>
  <c r="R49" i="33"/>
  <c r="I53" i="34"/>
  <c r="J53" i="34" s="1"/>
  <c r="AC7" i="37"/>
  <c r="V42" i="37" s="1"/>
  <c r="I42" i="37" s="1"/>
  <c r="W7" i="37"/>
  <c r="D41" i="59"/>
  <c r="T41" i="59"/>
  <c r="D45" i="59"/>
  <c r="T45" i="59"/>
  <c r="D49" i="59"/>
  <c r="T49" i="59"/>
  <c r="Q51" i="59"/>
  <c r="Q50" i="59"/>
  <c r="G53" i="34"/>
  <c r="H53" i="34" s="1"/>
  <c r="G54" i="34"/>
  <c r="H54" i="34" s="1"/>
  <c r="I52" i="33"/>
  <c r="J52" i="33" s="1"/>
  <c r="I53" i="33"/>
  <c r="J53" i="33" s="1"/>
  <c r="G41" i="36"/>
  <c r="H41" i="36" s="1"/>
  <c r="G40" i="36"/>
  <c r="H40" i="36" s="1"/>
  <c r="E49" i="34"/>
  <c r="R50" i="34"/>
  <c r="G52" i="21"/>
  <c r="H52" i="21" s="1"/>
  <c r="G53" i="21"/>
  <c r="H53" i="21" s="1"/>
  <c r="G52" i="33"/>
  <c r="H52" i="33" s="1"/>
  <c r="G53" i="33"/>
  <c r="H53" i="33" s="1"/>
  <c r="R37" i="36"/>
  <c r="E36" i="36"/>
  <c r="AA7" i="37"/>
  <c r="R42" i="37" s="1"/>
  <c r="S7" i="37"/>
  <c r="H48" i="35"/>
  <c r="C54" i="15"/>
  <c r="C49" i="15" s="1"/>
  <c r="C10" i="15"/>
  <c r="C5" i="15" s="1"/>
  <c r="J18" i="15"/>
  <c r="J26" i="15"/>
  <c r="J29" i="15" s="1"/>
  <c r="J24" i="15"/>
  <c r="F25" i="12" l="1"/>
  <c r="C27" i="12" s="1"/>
  <c r="C25" i="12" s="1"/>
  <c r="F22" i="11"/>
  <c r="C44" i="11" s="1"/>
  <c r="D41" i="11" s="1"/>
  <c r="D25" i="59"/>
  <c r="T25" i="59"/>
  <c r="D17" i="59"/>
  <c r="T17" i="59"/>
  <c r="N17" i="43"/>
  <c r="G20" i="43" s="1"/>
  <c r="O17" i="43"/>
  <c r="M17" i="43"/>
  <c r="P17" i="43"/>
  <c r="K68" i="39"/>
  <c r="J70" i="39"/>
  <c r="M20" i="43"/>
  <c r="C19" i="43" s="1"/>
  <c r="L63" i="40"/>
  <c r="K65" i="40"/>
  <c r="E40" i="36"/>
  <c r="F40" i="36" s="1"/>
  <c r="E41" i="36"/>
  <c r="F41" i="36" s="1"/>
  <c r="E53" i="34"/>
  <c r="F53" i="34" s="1"/>
  <c r="E54" i="34"/>
  <c r="F54" i="34" s="1"/>
  <c r="I54" i="34"/>
  <c r="J54" i="34" s="1"/>
  <c r="C48" i="33"/>
  <c r="C49" i="33"/>
  <c r="B2" i="33" s="1"/>
  <c r="B3" i="33" s="1"/>
  <c r="I41" i="36"/>
  <c r="J41" i="36" s="1"/>
  <c r="G46" i="37"/>
  <c r="H46" i="37" s="1"/>
  <c r="G47" i="37"/>
  <c r="H47" i="37" s="1"/>
  <c r="C48" i="21"/>
  <c r="C49" i="21"/>
  <c r="B2" i="21" s="1"/>
  <c r="B3" i="21" s="1"/>
  <c r="I48" i="35"/>
  <c r="R43" i="37"/>
  <c r="E42" i="37"/>
  <c r="C36" i="36"/>
  <c r="C37" i="36"/>
  <c r="B2" i="36" s="1"/>
  <c r="B3" i="36" s="1"/>
  <c r="C50" i="34"/>
  <c r="B2" i="34" s="1"/>
  <c r="B3" i="34" s="1"/>
  <c r="C49" i="34"/>
  <c r="I46" i="37"/>
  <c r="J46" i="37" s="1"/>
  <c r="I47" i="37"/>
  <c r="J47" i="37" s="1"/>
  <c r="E52" i="33"/>
  <c r="F52" i="33" s="1"/>
  <c r="E53" i="33"/>
  <c r="F53" i="33" s="1"/>
  <c r="E52" i="21"/>
  <c r="F52" i="21" s="1"/>
  <c r="E53" i="21"/>
  <c r="F53" i="21" s="1"/>
  <c r="C26" i="12"/>
  <c r="D25" i="12" s="1"/>
  <c r="C38" i="15"/>
  <c r="C32" i="15"/>
  <c r="C23" i="15"/>
  <c r="C24" i="15"/>
  <c r="C67" i="15"/>
  <c r="C61" i="15"/>
  <c r="C25" i="11" l="1"/>
  <c r="C24" i="11"/>
  <c r="C26" i="11"/>
  <c r="D22" i="11" s="1"/>
  <c r="C42" i="11"/>
  <c r="C43" i="11"/>
  <c r="C23" i="11"/>
  <c r="C22" i="11" s="1"/>
  <c r="K70" i="39"/>
  <c r="L68" i="39"/>
  <c r="E41" i="43"/>
  <c r="C41" i="43" s="1"/>
  <c r="C38" i="43" s="1"/>
  <c r="C20" i="43"/>
  <c r="C37" i="43" s="1"/>
  <c r="L65" i="40"/>
  <c r="M63" i="40"/>
  <c r="E46" i="37"/>
  <c r="F46" i="37" s="1"/>
  <c r="E47" i="37"/>
  <c r="F47" i="37" s="1"/>
  <c r="C43" i="37"/>
  <c r="B2" i="37" s="1"/>
  <c r="B3" i="37" s="1"/>
  <c r="C42" i="37"/>
  <c r="J48" i="35"/>
  <c r="K48" i="35" s="1"/>
  <c r="L48" i="35" s="1"/>
  <c r="M48" i="35" s="1"/>
  <c r="N48" i="35" s="1"/>
  <c r="O48" i="35" s="1"/>
  <c r="J7" i="35"/>
  <c r="H7" i="35"/>
  <c r="G38" i="43"/>
  <c r="I38" i="43" s="1"/>
  <c r="E38" i="43"/>
  <c r="G37" i="43"/>
  <c r="I37" i="43" s="1"/>
  <c r="E37" i="43"/>
  <c r="C32" i="12"/>
  <c r="C29" i="15"/>
  <c r="C41" i="11" l="1"/>
  <c r="C49" i="11" s="1"/>
  <c r="C51" i="11" s="1"/>
  <c r="C31" i="11"/>
  <c r="C35" i="43"/>
  <c r="T8" i="43"/>
  <c r="V8" i="43" s="1"/>
  <c r="T12" i="43"/>
  <c r="V12" i="43" s="1"/>
  <c r="T2" i="43"/>
  <c r="V2" i="43" s="1"/>
  <c r="T9" i="43"/>
  <c r="V9" i="43" s="1"/>
  <c r="C34" i="43"/>
  <c r="T15" i="43"/>
  <c r="V15" i="43" s="1"/>
  <c r="C29" i="43"/>
  <c r="T10" i="43"/>
  <c r="V10" i="43" s="1"/>
  <c r="T14" i="43"/>
  <c r="V14" i="43" s="1"/>
  <c r="L70" i="39"/>
  <c r="M68" i="39"/>
  <c r="C33" i="43"/>
  <c r="T5" i="43"/>
  <c r="V5" i="43" s="1"/>
  <c r="T4" i="43"/>
  <c r="V4" i="43" s="1"/>
  <c r="T16" i="43"/>
  <c r="V16" i="43" s="1"/>
  <c r="T7" i="43"/>
  <c r="V7" i="43" s="1"/>
  <c r="C36" i="43"/>
  <c r="T13" i="43"/>
  <c r="V13" i="43" s="1"/>
  <c r="T11" i="43"/>
  <c r="V11" i="43" s="1"/>
  <c r="T3" i="43"/>
  <c r="V3" i="43" s="1"/>
  <c r="T6" i="43"/>
  <c r="V6" i="43" s="1"/>
  <c r="C39" i="43"/>
  <c r="N63" i="40"/>
  <c r="M65" i="40"/>
  <c r="U7" i="35"/>
  <c r="AB7" i="35"/>
  <c r="T38" i="35" s="1"/>
  <c r="G38" i="35" s="1"/>
  <c r="AC7" i="35"/>
  <c r="V38" i="35" s="1"/>
  <c r="I38" i="35" s="1"/>
  <c r="W7" i="35"/>
  <c r="F7" i="35"/>
  <c r="C52" i="11"/>
  <c r="B3" i="11" s="1"/>
  <c r="B2" i="12"/>
  <c r="B3" i="12"/>
  <c r="C33" i="15"/>
  <c r="C31" i="15" s="1"/>
  <c r="C58" i="15"/>
  <c r="J14" i="15"/>
  <c r="J19" i="15"/>
  <c r="J17" i="15" s="1"/>
  <c r="Q47" i="15"/>
  <c r="C13" i="15"/>
  <c r="C36" i="15"/>
  <c r="J60" i="15"/>
  <c r="J61" i="15" s="1"/>
  <c r="E36" i="43" l="1"/>
  <c r="G36" i="43"/>
  <c r="I36" i="43" s="1"/>
  <c r="M70" i="39"/>
  <c r="N68" i="39"/>
  <c r="C30" i="43"/>
  <c r="E30" i="43" s="1"/>
  <c r="E29" i="43"/>
  <c r="E34" i="43"/>
  <c r="G34" i="43"/>
  <c r="I34" i="43" s="1"/>
  <c r="E39" i="43"/>
  <c r="G39" i="43"/>
  <c r="I39" i="43" s="1"/>
  <c r="E33" i="43"/>
  <c r="G33" i="43"/>
  <c r="I33" i="43" s="1"/>
  <c r="E35" i="43"/>
  <c r="G35" i="43"/>
  <c r="I35" i="43" s="1"/>
  <c r="N65" i="40"/>
  <c r="F7" i="40" s="1"/>
  <c r="O63" i="40"/>
  <c r="O65" i="40" s="1"/>
  <c r="H7" i="40" s="1"/>
  <c r="G42" i="35"/>
  <c r="H42" i="35" s="1"/>
  <c r="G43" i="35"/>
  <c r="H43" i="35" s="1"/>
  <c r="AA7" i="35"/>
  <c r="R38" i="35" s="1"/>
  <c r="S7" i="35"/>
  <c r="I42" i="35"/>
  <c r="J42" i="35" s="1"/>
  <c r="B2" i="11"/>
  <c r="C56" i="11"/>
  <c r="C57" i="11" s="1"/>
  <c r="Q46" i="15"/>
  <c r="C57" i="15"/>
  <c r="C66" i="15" s="1"/>
  <c r="J34" i="15"/>
  <c r="Q68" i="15"/>
  <c r="C37" i="15"/>
  <c r="C30" i="15" s="1"/>
  <c r="C39" i="15" s="1"/>
  <c r="C62" i="15"/>
  <c r="C60" i="15" s="1"/>
  <c r="C65" i="15"/>
  <c r="J22" i="15"/>
  <c r="J13" i="15"/>
  <c r="J23" i="15" s="1"/>
  <c r="C26" i="43" l="1"/>
  <c r="B2" i="43" s="1"/>
  <c r="B3" i="43" s="1"/>
  <c r="O68" i="39"/>
  <c r="O70" i="39" s="1"/>
  <c r="H7" i="39" s="1"/>
  <c r="N70" i="39"/>
  <c r="C27" i="43"/>
  <c r="AA7" i="40"/>
  <c r="R42" i="40" s="1"/>
  <c r="S7" i="40"/>
  <c r="U7" i="40"/>
  <c r="AB7" i="40"/>
  <c r="T42" i="40" s="1"/>
  <c r="G42" i="40" s="1"/>
  <c r="J7" i="40"/>
  <c r="E38" i="35"/>
  <c r="R39" i="35"/>
  <c r="J16" i="15"/>
  <c r="J25" i="15" s="1"/>
  <c r="C59" i="15"/>
  <c r="C68" i="15" s="1"/>
  <c r="C69" i="15" s="1"/>
  <c r="C72" i="15" s="1"/>
  <c r="J38" i="15"/>
  <c r="J39" i="15" s="1"/>
  <c r="Q67" i="15"/>
  <c r="Q66" i="15" s="1"/>
  <c r="C40" i="15"/>
  <c r="U7" i="39" l="1"/>
  <c r="AB7" i="39"/>
  <c r="T47" i="39" s="1"/>
  <c r="G47" i="39" s="1"/>
  <c r="F7" i="39"/>
  <c r="J7" i="39"/>
  <c r="W7" i="40"/>
  <c r="AC7" i="40"/>
  <c r="V42" i="40" s="1"/>
  <c r="I42" i="40" s="1"/>
  <c r="E42" i="40"/>
  <c r="R43" i="40"/>
  <c r="G46" i="40"/>
  <c r="H46" i="40" s="1"/>
  <c r="G47" i="40"/>
  <c r="H47" i="40" s="1"/>
  <c r="C38" i="35"/>
  <c r="C39" i="35"/>
  <c r="E42" i="35"/>
  <c r="F42" i="35" s="1"/>
  <c r="E43" i="35"/>
  <c r="F43" i="35" s="1"/>
  <c r="I43" i="35"/>
  <c r="J43" i="35" s="1"/>
  <c r="C47" i="15"/>
  <c r="L52" i="15"/>
  <c r="C43" i="15"/>
  <c r="Q45" i="15"/>
  <c r="Q51" i="15" s="1"/>
  <c r="Q54" i="15"/>
  <c r="Q63" i="15"/>
  <c r="J41" i="15"/>
  <c r="AC7" i="39" l="1"/>
  <c r="V47" i="39" s="1"/>
  <c r="I47" i="39" s="1"/>
  <c r="G52" i="39" s="1"/>
  <c r="H52" i="39" s="1"/>
  <c r="W7" i="39"/>
  <c r="G51" i="39"/>
  <c r="H51" i="39" s="1"/>
  <c r="AA7" i="39"/>
  <c r="R47" i="39" s="1"/>
  <c r="S7" i="39"/>
  <c r="E47" i="40"/>
  <c r="F47" i="40" s="1"/>
  <c r="E46" i="40"/>
  <c r="F46" i="40" s="1"/>
  <c r="C43" i="40"/>
  <c r="C42" i="40"/>
  <c r="I46" i="40"/>
  <c r="J46" i="40" s="1"/>
  <c r="I47" i="40"/>
  <c r="J47" i="40" s="1"/>
  <c r="B3" i="35"/>
  <c r="B2" i="35"/>
  <c r="J42" i="15"/>
  <c r="D35" i="9"/>
  <c r="L58" i="15"/>
  <c r="L61" i="15" s="1"/>
  <c r="L47" i="15" s="1"/>
  <c r="Q65" i="15"/>
  <c r="C20" i="57"/>
  <c r="C19" i="57"/>
  <c r="C102" i="57" l="1"/>
  <c r="C103" i="57"/>
  <c r="R48" i="39"/>
  <c r="E47" i="39"/>
  <c r="I51" i="39"/>
  <c r="J51" i="39" s="1"/>
  <c r="I52" i="39"/>
  <c r="J52" i="39" s="1"/>
  <c r="B3" i="15"/>
  <c r="B2" i="15"/>
  <c r="B60" i="40"/>
  <c r="F60" i="40" s="1"/>
  <c r="B59" i="40"/>
  <c r="F59" i="40" s="1"/>
  <c r="B56" i="40"/>
  <c r="F56" i="40" s="1"/>
  <c r="B53" i="40"/>
  <c r="F53" i="40" s="1"/>
  <c r="B57" i="40"/>
  <c r="F57" i="40" s="1"/>
  <c r="B54" i="40"/>
  <c r="F54" i="40" s="1"/>
  <c r="B52" i="40"/>
  <c r="F52" i="40" s="1"/>
  <c r="B55" i="40"/>
  <c r="F55" i="40" s="1"/>
  <c r="B58" i="40"/>
  <c r="F58" i="40" s="1"/>
  <c r="B51" i="40"/>
  <c r="F51" i="40" s="1"/>
  <c r="F61" i="40" s="1"/>
  <c r="B2" i="40" s="1"/>
  <c r="B3" i="40" s="1"/>
  <c r="D34" i="9"/>
  <c r="C35" i="9"/>
  <c r="C34" i="9" s="1"/>
  <c r="Q64" i="15"/>
  <c r="Q73" i="15" s="1"/>
  <c r="Q55" i="15"/>
  <c r="Q60" i="15" s="1"/>
  <c r="D19" i="57"/>
  <c r="D20" i="57"/>
  <c r="E51" i="39" l="1"/>
  <c r="F51" i="39" s="1"/>
  <c r="E52" i="39"/>
  <c r="F52" i="39" s="1"/>
  <c r="C48" i="39"/>
  <c r="C47" i="39"/>
  <c r="G20" i="57"/>
  <c r="R27" i="31" s="1"/>
  <c r="D103" i="57"/>
  <c r="D22" i="57"/>
  <c r="D102" i="57"/>
  <c r="G19" i="57"/>
  <c r="B56" i="39" l="1"/>
  <c r="F56" i="39" s="1"/>
  <c r="F66" i="39" s="1"/>
  <c r="B2" i="39" s="1"/>
  <c r="B3" i="39" s="1"/>
  <c r="B64" i="39"/>
  <c r="F64" i="39" s="1"/>
  <c r="B60" i="39"/>
  <c r="F60" i="39" s="1"/>
  <c r="B61" i="39"/>
  <c r="F61" i="39" s="1"/>
  <c r="B57" i="39"/>
  <c r="F57" i="39" s="1"/>
  <c r="B62" i="39"/>
  <c r="F62" i="39" s="1"/>
  <c r="B58" i="39"/>
  <c r="F58" i="39" s="1"/>
  <c r="B59" i="39"/>
  <c r="F59" i="39" s="1"/>
  <c r="B63" i="39"/>
  <c r="F63" i="39" s="1"/>
  <c r="B65" i="39"/>
  <c r="F65" i="39" s="1"/>
  <c r="C32" i="57"/>
  <c r="T27" i="31"/>
  <c r="R28" i="31"/>
  <c r="R29" i="31"/>
  <c r="S27" i="31"/>
  <c r="R40" i="31"/>
  <c r="R36" i="31"/>
  <c r="R32" i="31"/>
  <c r="R321" i="31"/>
  <c r="R317" i="31"/>
  <c r="R313" i="31"/>
  <c r="R309" i="31"/>
  <c r="R305" i="31"/>
  <c r="R301" i="31"/>
  <c r="R297" i="31"/>
  <c r="R293" i="31"/>
  <c r="R289" i="31"/>
  <c r="R285" i="31"/>
  <c r="R281" i="31"/>
  <c r="R277" i="31"/>
  <c r="R273" i="31"/>
  <c r="R269" i="31"/>
  <c r="R265" i="31"/>
  <c r="R261" i="31"/>
  <c r="R257" i="31"/>
  <c r="R253" i="31"/>
  <c r="R249" i="31"/>
  <c r="R245" i="31"/>
  <c r="R241" i="31"/>
  <c r="R237" i="31"/>
  <c r="R233" i="31"/>
  <c r="R229" i="31"/>
  <c r="R225" i="31"/>
  <c r="R221" i="31"/>
  <c r="R217" i="31"/>
  <c r="R213" i="31"/>
  <c r="R209" i="31"/>
  <c r="R205" i="31"/>
  <c r="R201" i="31"/>
  <c r="R197" i="31"/>
  <c r="R39" i="31"/>
  <c r="R35" i="31"/>
  <c r="R30" i="31"/>
  <c r="R324" i="31"/>
  <c r="R320" i="31"/>
  <c r="R316" i="31"/>
  <c r="R312" i="31"/>
  <c r="R308" i="31"/>
  <c r="R304" i="31"/>
  <c r="R300" i="31"/>
  <c r="R296" i="31"/>
  <c r="R292" i="31"/>
  <c r="R288" i="31"/>
  <c r="R284" i="31"/>
  <c r="R280" i="31"/>
  <c r="R276" i="31"/>
  <c r="R272" i="31"/>
  <c r="R268" i="31"/>
  <c r="R264" i="31"/>
  <c r="R260" i="31"/>
  <c r="R256" i="31"/>
  <c r="R252" i="31"/>
  <c r="R248" i="31"/>
  <c r="R244" i="31"/>
  <c r="R240" i="31"/>
  <c r="R236" i="31"/>
  <c r="R232" i="31"/>
  <c r="R228" i="31"/>
  <c r="R224" i="31"/>
  <c r="R220" i="31"/>
  <c r="R216" i="31"/>
  <c r="R212" i="31"/>
  <c r="R208" i="31"/>
  <c r="R204" i="31"/>
  <c r="R200" i="31"/>
  <c r="R196" i="31"/>
  <c r="R192" i="31"/>
  <c r="R188" i="31"/>
  <c r="R184" i="31"/>
  <c r="R180" i="31"/>
  <c r="R176" i="31"/>
  <c r="R172" i="31"/>
  <c r="R168" i="31"/>
  <c r="R164" i="31"/>
  <c r="R160" i="31"/>
  <c r="R156" i="31"/>
  <c r="R152" i="31"/>
  <c r="R148" i="31"/>
  <c r="R144" i="31"/>
  <c r="R140" i="31"/>
  <c r="R136" i="31"/>
  <c r="R132" i="31"/>
  <c r="R128" i="31"/>
  <c r="R124" i="31"/>
  <c r="R120" i="31"/>
  <c r="R116" i="31"/>
  <c r="R112" i="31"/>
  <c r="R108" i="31"/>
  <c r="R104" i="31"/>
  <c r="R100" i="31"/>
  <c r="R96" i="31"/>
  <c r="R92" i="31"/>
  <c r="R88" i="31"/>
  <c r="R84" i="31"/>
  <c r="R80" i="31"/>
  <c r="R76" i="31"/>
  <c r="R72" i="31"/>
  <c r="R68" i="31"/>
  <c r="R64" i="31"/>
  <c r="R60" i="31"/>
  <c r="R56" i="31"/>
  <c r="R52" i="31"/>
  <c r="R48" i="31"/>
  <c r="R44" i="31"/>
  <c r="R195" i="31"/>
  <c r="R191" i="31"/>
  <c r="R187" i="31"/>
  <c r="R183" i="31"/>
  <c r="R179" i="31"/>
  <c r="R175" i="31"/>
  <c r="R171" i="31"/>
  <c r="R167" i="31"/>
  <c r="R163" i="31"/>
  <c r="R159" i="31"/>
  <c r="R155" i="31"/>
  <c r="R151" i="31"/>
  <c r="R147" i="31"/>
  <c r="R143" i="31"/>
  <c r="R139" i="31"/>
  <c r="R135" i="31"/>
  <c r="R131" i="31"/>
  <c r="R127" i="31"/>
  <c r="R123" i="31"/>
  <c r="R119" i="31"/>
  <c r="R115" i="31"/>
  <c r="R107" i="31"/>
  <c r="R103" i="31"/>
  <c r="R99" i="31"/>
  <c r="R95" i="31"/>
  <c r="R91" i="31"/>
  <c r="R87" i="31"/>
  <c r="R83" i="31"/>
  <c r="R79" i="31"/>
  <c r="R75" i="31"/>
  <c r="R67" i="31"/>
  <c r="R55" i="31"/>
  <c r="R43" i="31"/>
  <c r="R38" i="31"/>
  <c r="R34" i="31"/>
  <c r="R323" i="31"/>
  <c r="R319" i="31"/>
  <c r="R315" i="31"/>
  <c r="R311" i="31"/>
  <c r="R307" i="31"/>
  <c r="R303" i="31"/>
  <c r="R299" i="31"/>
  <c r="R295" i="31"/>
  <c r="R291" i="31"/>
  <c r="R287" i="31"/>
  <c r="R283" i="31"/>
  <c r="R279" i="31"/>
  <c r="R275" i="31"/>
  <c r="R271" i="31"/>
  <c r="R267" i="31"/>
  <c r="R263" i="31"/>
  <c r="R259" i="31"/>
  <c r="R255" i="31"/>
  <c r="R251" i="31"/>
  <c r="R247" i="31"/>
  <c r="R243" i="31"/>
  <c r="R239" i="31"/>
  <c r="R235" i="31"/>
  <c r="R231" i="31"/>
  <c r="R227" i="31"/>
  <c r="R223" i="31"/>
  <c r="R219" i="31"/>
  <c r="R215" i="31"/>
  <c r="R211" i="31"/>
  <c r="R207" i="31"/>
  <c r="R203" i="31"/>
  <c r="R199" i="31"/>
  <c r="R41" i="31"/>
  <c r="R37" i="31"/>
  <c r="R33" i="31"/>
  <c r="R31" i="31"/>
  <c r="R322" i="31"/>
  <c r="R318" i="31"/>
  <c r="R314" i="31"/>
  <c r="R310" i="31"/>
  <c r="R306" i="31"/>
  <c r="R302" i="31"/>
  <c r="R298" i="31"/>
  <c r="R294" i="31"/>
  <c r="R290" i="31"/>
  <c r="R286" i="31"/>
  <c r="R282" i="31"/>
  <c r="R278" i="31"/>
  <c r="R274" i="31"/>
  <c r="R270" i="31"/>
  <c r="R266" i="31"/>
  <c r="R262" i="31"/>
  <c r="R258" i="31"/>
  <c r="R254" i="31"/>
  <c r="R250" i="31"/>
  <c r="R246" i="31"/>
  <c r="R242" i="31"/>
  <c r="R238" i="31"/>
  <c r="R234" i="31"/>
  <c r="R230" i="31"/>
  <c r="R226" i="31"/>
  <c r="R222" i="31"/>
  <c r="R218" i="31"/>
  <c r="R214" i="31"/>
  <c r="R210" i="31"/>
  <c r="R206" i="31"/>
  <c r="R202" i="31"/>
  <c r="R198" i="31"/>
  <c r="R194" i="31"/>
  <c r="R190" i="31"/>
  <c r="R186" i="31"/>
  <c r="R182" i="31"/>
  <c r="R178" i="31"/>
  <c r="R174" i="31"/>
  <c r="R170" i="31"/>
  <c r="R166" i="31"/>
  <c r="R162" i="31"/>
  <c r="R158" i="31"/>
  <c r="R154" i="31"/>
  <c r="R150" i="31"/>
  <c r="R146" i="31"/>
  <c r="R142" i="31"/>
  <c r="R138" i="31"/>
  <c r="R134" i="31"/>
  <c r="R130" i="31"/>
  <c r="R126" i="31"/>
  <c r="R122" i="31"/>
  <c r="R118" i="31"/>
  <c r="R114" i="31"/>
  <c r="R110" i="31"/>
  <c r="R106" i="31"/>
  <c r="R102" i="31"/>
  <c r="R98" i="31"/>
  <c r="R94" i="31"/>
  <c r="R90" i="31"/>
  <c r="R86" i="31"/>
  <c r="R82" i="31"/>
  <c r="R78" i="31"/>
  <c r="R74" i="31"/>
  <c r="R70" i="31"/>
  <c r="R66" i="31"/>
  <c r="R62" i="31"/>
  <c r="R58" i="31"/>
  <c r="R54" i="31"/>
  <c r="R50" i="31"/>
  <c r="R46" i="31"/>
  <c r="R42" i="31"/>
  <c r="R193" i="31"/>
  <c r="R189" i="31"/>
  <c r="R185" i="31"/>
  <c r="R181" i="31"/>
  <c r="R177" i="31"/>
  <c r="R173" i="31"/>
  <c r="R169" i="31"/>
  <c r="R165" i="31"/>
  <c r="R161" i="31"/>
  <c r="R157" i="31"/>
  <c r="R153" i="31"/>
  <c r="R149" i="31"/>
  <c r="R145" i="31"/>
  <c r="R141" i="31"/>
  <c r="R137" i="31"/>
  <c r="R133" i="31"/>
  <c r="R129" i="31"/>
  <c r="R125" i="31"/>
  <c r="R121" i="31"/>
  <c r="R117" i="31"/>
  <c r="R113" i="31"/>
  <c r="R109" i="31"/>
  <c r="R105" i="31"/>
  <c r="R101" i="31"/>
  <c r="R97" i="31"/>
  <c r="R93" i="31"/>
  <c r="R89" i="31"/>
  <c r="R85" i="31"/>
  <c r="R81" i="31"/>
  <c r="R77" i="31"/>
  <c r="R73" i="31"/>
  <c r="R69" i="31"/>
  <c r="R65" i="31"/>
  <c r="R61" i="31"/>
  <c r="R57" i="31"/>
  <c r="R53" i="31"/>
  <c r="R49" i="31"/>
  <c r="R45" i="31"/>
  <c r="R111" i="31"/>
  <c r="R71" i="31"/>
  <c r="R63" i="31"/>
  <c r="R59" i="31"/>
  <c r="R51" i="31"/>
  <c r="R47" i="31"/>
  <c r="C104" i="57"/>
  <c r="C105" i="57"/>
  <c r="T63" i="31" l="1"/>
  <c r="S63" i="31"/>
  <c r="T49" i="31"/>
  <c r="S49" i="31"/>
  <c r="T65" i="31"/>
  <c r="S65" i="31"/>
  <c r="T73" i="31"/>
  <c r="S73" i="31"/>
  <c r="T89" i="31"/>
  <c r="S89" i="31"/>
  <c r="T105" i="31"/>
  <c r="S105" i="31"/>
  <c r="T121" i="31"/>
  <c r="S121" i="31"/>
  <c r="T137" i="31"/>
  <c r="S137" i="31"/>
  <c r="T153" i="31"/>
  <c r="S153" i="31"/>
  <c r="T169" i="31"/>
  <c r="S169" i="31"/>
  <c r="T185" i="31"/>
  <c r="S185" i="31"/>
  <c r="T193" i="31"/>
  <c r="S193" i="31"/>
  <c r="S54" i="31"/>
  <c r="T54" i="31"/>
  <c r="T70" i="31"/>
  <c r="S70" i="31"/>
  <c r="T86" i="31"/>
  <c r="S86" i="31"/>
  <c r="T102" i="31"/>
  <c r="S102" i="31"/>
  <c r="T118" i="31"/>
  <c r="S118" i="31"/>
  <c r="T134" i="31"/>
  <c r="S134" i="31"/>
  <c r="T150" i="31"/>
  <c r="S150" i="31"/>
  <c r="T158" i="31"/>
  <c r="S158" i="31"/>
  <c r="T174" i="31"/>
  <c r="S174" i="31"/>
  <c r="T190" i="31"/>
  <c r="S190" i="31"/>
  <c r="T206" i="31"/>
  <c r="S206" i="31"/>
  <c r="T230" i="31"/>
  <c r="S230" i="31"/>
  <c r="T47" i="31"/>
  <c r="S47" i="31"/>
  <c r="T59" i="31"/>
  <c r="S59" i="31"/>
  <c r="T71" i="31"/>
  <c r="S71" i="31"/>
  <c r="T45" i="31"/>
  <c r="S45" i="31"/>
  <c r="T53" i="31"/>
  <c r="S53" i="31"/>
  <c r="T61" i="31"/>
  <c r="S61" i="31"/>
  <c r="T69" i="31"/>
  <c r="S69" i="31"/>
  <c r="T77" i="31"/>
  <c r="S77" i="31"/>
  <c r="T85" i="31"/>
  <c r="S85" i="31"/>
  <c r="T93" i="31"/>
  <c r="S93" i="31"/>
  <c r="T101" i="31"/>
  <c r="S101" i="31"/>
  <c r="T109" i="31"/>
  <c r="S109" i="31"/>
  <c r="T117" i="31"/>
  <c r="S117" i="31"/>
  <c r="T125" i="31"/>
  <c r="S125" i="31"/>
  <c r="T133" i="31"/>
  <c r="S133" i="31"/>
  <c r="T141" i="31"/>
  <c r="S141" i="31"/>
  <c r="T149" i="31"/>
  <c r="S149" i="31"/>
  <c r="T157" i="31"/>
  <c r="S157" i="31"/>
  <c r="T165" i="31"/>
  <c r="S165" i="31"/>
  <c r="T173" i="31"/>
  <c r="S173" i="31"/>
  <c r="T181" i="31"/>
  <c r="S181" i="31"/>
  <c r="T189" i="31"/>
  <c r="S189" i="31"/>
  <c r="S42" i="31"/>
  <c r="T42" i="31"/>
  <c r="S50" i="31"/>
  <c r="T50" i="31"/>
  <c r="T58" i="31"/>
  <c r="S58" i="31"/>
  <c r="T66" i="31"/>
  <c r="S66" i="31"/>
  <c r="T74" i="31"/>
  <c r="S74" i="31"/>
  <c r="T82" i="31"/>
  <c r="S82" i="31"/>
  <c r="T90" i="31"/>
  <c r="S90" i="31"/>
  <c r="T98" i="31"/>
  <c r="S98" i="31"/>
  <c r="T106" i="31"/>
  <c r="S106" i="31"/>
  <c r="T114" i="31"/>
  <c r="S114" i="31"/>
  <c r="T122" i="31"/>
  <c r="S122" i="31"/>
  <c r="T130" i="31"/>
  <c r="S130" i="31"/>
  <c r="T138" i="31"/>
  <c r="S138" i="31"/>
  <c r="T146" i="31"/>
  <c r="S146" i="31"/>
  <c r="T154" i="31"/>
  <c r="S154" i="31"/>
  <c r="T162" i="31"/>
  <c r="S162" i="31"/>
  <c r="T170" i="31"/>
  <c r="S170" i="31"/>
  <c r="T178" i="31"/>
  <c r="S178" i="31"/>
  <c r="T186" i="31"/>
  <c r="S186" i="31"/>
  <c r="T194" i="31"/>
  <c r="S194" i="31"/>
  <c r="T202" i="31"/>
  <c r="S202" i="31"/>
  <c r="T210" i="31"/>
  <c r="S210" i="31"/>
  <c r="T218" i="31"/>
  <c r="S218" i="31"/>
  <c r="T226" i="31"/>
  <c r="S226" i="31"/>
  <c r="T234" i="31"/>
  <c r="S234" i="31"/>
  <c r="T242" i="31"/>
  <c r="S242" i="31"/>
  <c r="T250" i="31"/>
  <c r="S250" i="31"/>
  <c r="T258" i="31"/>
  <c r="S258" i="31"/>
  <c r="T266" i="31"/>
  <c r="S266" i="31"/>
  <c r="T274" i="31"/>
  <c r="S274" i="31"/>
  <c r="T282" i="31"/>
  <c r="S282" i="31"/>
  <c r="T290" i="31"/>
  <c r="S290" i="31"/>
  <c r="T298" i="31"/>
  <c r="S298" i="31"/>
  <c r="S306" i="31"/>
  <c r="T306" i="31"/>
  <c r="S314" i="31"/>
  <c r="T314" i="31"/>
  <c r="T322" i="31"/>
  <c r="S322" i="31"/>
  <c r="T33" i="31"/>
  <c r="S33" i="31"/>
  <c r="T41" i="31"/>
  <c r="S41" i="31"/>
  <c r="T203" i="31"/>
  <c r="S203" i="31"/>
  <c r="T211" i="31"/>
  <c r="S211" i="31"/>
  <c r="T219" i="31"/>
  <c r="S219" i="31"/>
  <c r="T227" i="31"/>
  <c r="S227" i="31"/>
  <c r="T235" i="31"/>
  <c r="S235" i="31"/>
  <c r="T243" i="31"/>
  <c r="S243" i="31"/>
  <c r="T251" i="31"/>
  <c r="S251" i="31"/>
  <c r="S259" i="31"/>
  <c r="T259" i="31"/>
  <c r="S267" i="31"/>
  <c r="T267" i="31"/>
  <c r="S275" i="31"/>
  <c r="T275" i="31"/>
  <c r="S283" i="31"/>
  <c r="T283" i="31"/>
  <c r="S291" i="31"/>
  <c r="T291" i="31"/>
  <c r="S299" i="31"/>
  <c r="T299" i="31"/>
  <c r="T307" i="31"/>
  <c r="S307" i="31"/>
  <c r="S315" i="31"/>
  <c r="T315" i="31"/>
  <c r="S323" i="31"/>
  <c r="T323" i="31"/>
  <c r="S38" i="31"/>
  <c r="T38" i="31"/>
  <c r="T55" i="31"/>
  <c r="S55" i="31"/>
  <c r="T75" i="31"/>
  <c r="S75" i="31"/>
  <c r="T83" i="31"/>
  <c r="S83" i="31"/>
  <c r="T91" i="31"/>
  <c r="S91" i="31"/>
  <c r="T99" i="31"/>
  <c r="S99" i="31"/>
  <c r="T107" i="31"/>
  <c r="S107" i="31"/>
  <c r="T119" i="31"/>
  <c r="S119" i="31"/>
  <c r="T127" i="31"/>
  <c r="S127" i="31"/>
  <c r="T135" i="31"/>
  <c r="S135" i="31"/>
  <c r="T143" i="31"/>
  <c r="S143" i="31"/>
  <c r="T151" i="31"/>
  <c r="S151" i="31"/>
  <c r="T159" i="31"/>
  <c r="S159" i="31"/>
  <c r="T167" i="31"/>
  <c r="S167" i="31"/>
  <c r="T175" i="31"/>
  <c r="S175" i="31"/>
  <c r="T183" i="31"/>
  <c r="S183" i="31"/>
  <c r="T191" i="31"/>
  <c r="S191" i="31"/>
  <c r="S44" i="31"/>
  <c r="T44" i="31"/>
  <c r="S52" i="31"/>
  <c r="T52" i="31"/>
  <c r="T60" i="31"/>
  <c r="S60" i="31"/>
  <c r="T68" i="31"/>
  <c r="S68" i="31"/>
  <c r="S76" i="31"/>
  <c r="T76" i="31"/>
  <c r="T84" i="31"/>
  <c r="S84" i="31"/>
  <c r="T92" i="31"/>
  <c r="S92" i="31"/>
  <c r="T100" i="31"/>
  <c r="S100" i="31"/>
  <c r="T108" i="31"/>
  <c r="S108" i="31"/>
  <c r="T116" i="31"/>
  <c r="S116" i="31"/>
  <c r="T124" i="31"/>
  <c r="S124" i="31"/>
  <c r="T132" i="31"/>
  <c r="S132" i="31"/>
  <c r="T140" i="31"/>
  <c r="S140" i="31"/>
  <c r="T148" i="31"/>
  <c r="S148" i="31"/>
  <c r="T156" i="31"/>
  <c r="S156" i="31"/>
  <c r="T164" i="31"/>
  <c r="S164" i="31"/>
  <c r="T172" i="31"/>
  <c r="S172" i="31"/>
  <c r="T180" i="31"/>
  <c r="S180" i="31"/>
  <c r="T188" i="31"/>
  <c r="S188" i="31"/>
  <c r="T196" i="31"/>
  <c r="S196" i="31"/>
  <c r="T204" i="31"/>
  <c r="S204" i="31"/>
  <c r="T212" i="31"/>
  <c r="S212" i="31"/>
  <c r="T220" i="31"/>
  <c r="S220" i="31"/>
  <c r="T228" i="31"/>
  <c r="S228" i="31"/>
  <c r="T236" i="31"/>
  <c r="S236" i="31"/>
  <c r="T244" i="31"/>
  <c r="S244" i="31"/>
  <c r="T252" i="31"/>
  <c r="S252" i="31"/>
  <c r="T260" i="31"/>
  <c r="S260" i="31"/>
  <c r="T268" i="31"/>
  <c r="S268" i="31"/>
  <c r="T276" i="31"/>
  <c r="S276" i="31"/>
  <c r="T284" i="31"/>
  <c r="S284" i="31"/>
  <c r="T292" i="31"/>
  <c r="S292" i="31"/>
  <c r="T300" i="31"/>
  <c r="S300" i="31"/>
  <c r="S308" i="31"/>
  <c r="T308" i="31"/>
  <c r="S316" i="31"/>
  <c r="T316" i="31"/>
  <c r="S324" i="31"/>
  <c r="T324" i="31"/>
  <c r="T35" i="31"/>
  <c r="S35" i="31"/>
  <c r="T197" i="31"/>
  <c r="S197" i="31"/>
  <c r="T205" i="31"/>
  <c r="S205" i="31"/>
  <c r="T213" i="31"/>
  <c r="S213" i="31"/>
  <c r="T221" i="31"/>
  <c r="S221" i="31"/>
  <c r="T229" i="31"/>
  <c r="S229" i="31"/>
  <c r="T237" i="31"/>
  <c r="S237" i="31"/>
  <c r="T245" i="31"/>
  <c r="S245" i="31"/>
  <c r="T253" i="31"/>
  <c r="S253" i="31"/>
  <c r="S261" i="31"/>
  <c r="T261" i="31"/>
  <c r="S269" i="31"/>
  <c r="T269" i="31"/>
  <c r="S277" i="31"/>
  <c r="T277" i="31"/>
  <c r="S285" i="31"/>
  <c r="T285" i="31"/>
  <c r="S293" i="31"/>
  <c r="T293" i="31"/>
  <c r="S301" i="31"/>
  <c r="T301" i="31"/>
  <c r="T309" i="31"/>
  <c r="S309" i="31"/>
  <c r="S317" i="31"/>
  <c r="T317" i="31"/>
  <c r="T32" i="31"/>
  <c r="S32" i="31"/>
  <c r="S40" i="31"/>
  <c r="T40" i="31"/>
  <c r="T29" i="31"/>
  <c r="S29" i="31"/>
  <c r="T51" i="31"/>
  <c r="S51" i="31"/>
  <c r="T111" i="31"/>
  <c r="S111" i="31"/>
  <c r="T57" i="31"/>
  <c r="S57" i="31"/>
  <c r="T81" i="31"/>
  <c r="S81" i="31"/>
  <c r="T97" i="31"/>
  <c r="S97" i="31"/>
  <c r="T113" i="31"/>
  <c r="S113" i="31"/>
  <c r="T129" i="31"/>
  <c r="S129" i="31"/>
  <c r="T145" i="31"/>
  <c r="S145" i="31"/>
  <c r="T161" i="31"/>
  <c r="S161" i="31"/>
  <c r="T177" i="31"/>
  <c r="S177" i="31"/>
  <c r="S46" i="31"/>
  <c r="T46" i="31"/>
  <c r="T62" i="31"/>
  <c r="S62" i="31"/>
  <c r="S78" i="31"/>
  <c r="T78" i="31"/>
  <c r="T94" i="31"/>
  <c r="S94" i="31"/>
  <c r="T110" i="31"/>
  <c r="S110" i="31"/>
  <c r="T126" i="31"/>
  <c r="S126" i="31"/>
  <c r="T142" i="31"/>
  <c r="S142" i="31"/>
  <c r="T166" i="31"/>
  <c r="S166" i="31"/>
  <c r="T182" i="31"/>
  <c r="S182" i="31"/>
  <c r="T198" i="31"/>
  <c r="S198" i="31"/>
  <c r="T214" i="31"/>
  <c r="S214" i="31"/>
  <c r="T222" i="31"/>
  <c r="S222" i="31"/>
  <c r="T238" i="31"/>
  <c r="S238" i="31"/>
  <c r="T246" i="31"/>
  <c r="S246" i="31"/>
  <c r="T254" i="31"/>
  <c r="S254" i="31"/>
  <c r="S262" i="31"/>
  <c r="T262" i="31"/>
  <c r="T270" i="31"/>
  <c r="S270" i="31"/>
  <c r="S278" i="31"/>
  <c r="T278" i="31"/>
  <c r="T286" i="31"/>
  <c r="S286" i="31"/>
  <c r="S294" i="31"/>
  <c r="T294" i="31"/>
  <c r="T302" i="31"/>
  <c r="S302" i="31"/>
  <c r="T310" i="31"/>
  <c r="S310" i="31"/>
  <c r="S318" i="31"/>
  <c r="T318" i="31"/>
  <c r="T31" i="31"/>
  <c r="S31" i="31"/>
  <c r="T37" i="31"/>
  <c r="S37" i="31"/>
  <c r="T199" i="31"/>
  <c r="S199" i="31"/>
  <c r="T207" i="31"/>
  <c r="S207" i="31"/>
  <c r="T215" i="31"/>
  <c r="S215" i="31"/>
  <c r="T223" i="31"/>
  <c r="S223" i="31"/>
  <c r="T231" i="31"/>
  <c r="S231" i="31"/>
  <c r="T239" i="31"/>
  <c r="S239" i="31"/>
  <c r="T247" i="31"/>
  <c r="S247" i="31"/>
  <c r="T255" i="31"/>
  <c r="S255" i="31"/>
  <c r="S263" i="31"/>
  <c r="T263" i="31"/>
  <c r="S271" i="31"/>
  <c r="T271" i="31"/>
  <c r="S279" i="31"/>
  <c r="T279" i="31"/>
  <c r="S287" i="31"/>
  <c r="T287" i="31"/>
  <c r="S295" i="31"/>
  <c r="T295" i="31"/>
  <c r="S303" i="31"/>
  <c r="T303" i="31"/>
  <c r="S311" i="31"/>
  <c r="T311" i="31"/>
  <c r="S319" i="31"/>
  <c r="T319" i="31"/>
  <c r="T34" i="31"/>
  <c r="S34" i="31"/>
  <c r="T43" i="31"/>
  <c r="S43" i="31"/>
  <c r="T67" i="31"/>
  <c r="S67" i="31"/>
  <c r="T79" i="31"/>
  <c r="S79" i="31"/>
  <c r="T87" i="31"/>
  <c r="S87" i="31"/>
  <c r="T95" i="31"/>
  <c r="S95" i="31"/>
  <c r="T103" i="31"/>
  <c r="S103" i="31"/>
  <c r="T115" i="31"/>
  <c r="S115" i="31"/>
  <c r="T123" i="31"/>
  <c r="S123" i="31"/>
  <c r="T131" i="31"/>
  <c r="S131" i="31"/>
  <c r="T139" i="31"/>
  <c r="S139" i="31"/>
  <c r="T147" i="31"/>
  <c r="S147" i="31"/>
  <c r="T155" i="31"/>
  <c r="S155" i="31"/>
  <c r="T163" i="31"/>
  <c r="S163" i="31"/>
  <c r="T171" i="31"/>
  <c r="S171" i="31"/>
  <c r="T179" i="31"/>
  <c r="S179" i="31"/>
  <c r="T187" i="31"/>
  <c r="S187" i="31"/>
  <c r="T195" i="31"/>
  <c r="S195" i="31"/>
  <c r="S48" i="31"/>
  <c r="T48" i="31"/>
  <c r="S56" i="31"/>
  <c r="T56" i="31"/>
  <c r="T64" i="31"/>
  <c r="S64" i="31"/>
  <c r="T72" i="31"/>
  <c r="S72" i="31"/>
  <c r="S80" i="31"/>
  <c r="T80" i="31"/>
  <c r="T88" i="31"/>
  <c r="S88" i="31"/>
  <c r="T96" i="31"/>
  <c r="S96" i="31"/>
  <c r="T104" i="31"/>
  <c r="S104" i="31"/>
  <c r="T112" i="31"/>
  <c r="S112" i="31"/>
  <c r="T120" i="31"/>
  <c r="S120" i="31"/>
  <c r="T128" i="31"/>
  <c r="S128" i="31"/>
  <c r="T136" i="31"/>
  <c r="S136" i="31"/>
  <c r="T144" i="31"/>
  <c r="S144" i="31"/>
  <c r="T152" i="31"/>
  <c r="S152" i="31"/>
  <c r="T160" i="31"/>
  <c r="S160" i="31"/>
  <c r="T168" i="31"/>
  <c r="S168" i="31"/>
  <c r="T176" i="31"/>
  <c r="S176" i="31"/>
  <c r="T184" i="31"/>
  <c r="S184" i="31"/>
  <c r="T192" i="31"/>
  <c r="S192" i="31"/>
  <c r="T200" i="31"/>
  <c r="S200" i="31"/>
  <c r="T208" i="31"/>
  <c r="S208" i="31"/>
  <c r="T216" i="31"/>
  <c r="S216" i="31"/>
  <c r="T224" i="31"/>
  <c r="S224" i="31"/>
  <c r="T232" i="31"/>
  <c r="S232" i="31"/>
  <c r="T240" i="31"/>
  <c r="S240" i="31"/>
  <c r="T248" i="31"/>
  <c r="S248" i="31"/>
  <c r="T256" i="31"/>
  <c r="S256" i="31"/>
  <c r="T264" i="31"/>
  <c r="S264" i="31"/>
  <c r="T272" i="31"/>
  <c r="S272" i="31"/>
  <c r="T280" i="31"/>
  <c r="S280" i="31"/>
  <c r="T288" i="31"/>
  <c r="S288" i="31"/>
  <c r="T296" i="31"/>
  <c r="S296" i="31"/>
  <c r="T304" i="31"/>
  <c r="S304" i="31"/>
  <c r="S312" i="31"/>
  <c r="T312" i="31"/>
  <c r="T320" i="31"/>
  <c r="S320" i="31"/>
  <c r="T30" i="31"/>
  <c r="S30" i="31"/>
  <c r="T39" i="31"/>
  <c r="S39" i="31"/>
  <c r="T201" i="31"/>
  <c r="S201" i="31"/>
  <c r="T209" i="31"/>
  <c r="S209" i="31"/>
  <c r="T217" i="31"/>
  <c r="S217" i="31"/>
  <c r="T225" i="31"/>
  <c r="S225" i="31"/>
  <c r="T233" i="31"/>
  <c r="S233" i="31"/>
  <c r="T241" i="31"/>
  <c r="S241" i="31"/>
  <c r="T249" i="31"/>
  <c r="S249" i="31"/>
  <c r="T257" i="31"/>
  <c r="S257" i="31"/>
  <c r="S265" i="31"/>
  <c r="T265" i="31"/>
  <c r="S273" i="31"/>
  <c r="T273" i="31"/>
  <c r="S281" i="31"/>
  <c r="T281" i="31"/>
  <c r="S289" i="31"/>
  <c r="T289" i="31"/>
  <c r="S297" i="31"/>
  <c r="T297" i="31"/>
  <c r="S305" i="31"/>
  <c r="T305" i="31"/>
  <c r="S313" i="31"/>
  <c r="T313" i="31"/>
  <c r="S321" i="31"/>
  <c r="T321" i="31"/>
  <c r="S36" i="31"/>
  <c r="T36" i="31"/>
  <c r="S28" i="31"/>
  <c r="T28" i="31"/>
  <c r="S25" i="31" l="1"/>
  <c r="T25" i="31"/>
  <c r="B23" i="31" s="1"/>
  <c r="B2" i="31" s="1"/>
  <c r="C33" i="57" s="1"/>
  <c r="H124" i="57" s="1"/>
  <c r="R25" i="31" l="1"/>
  <c r="B24" i="31" s="1"/>
  <c r="B3" i="31" s="1"/>
  <c r="C34" i="57" s="1"/>
  <c r="I124" i="57" s="1"/>
  <c r="C107" i="57" s="1"/>
  <c r="H125" i="57"/>
  <c r="D109" i="57"/>
  <c r="I103" i="57"/>
  <c r="D14" i="62"/>
  <c r="C106" i="57"/>
  <c r="I104" i="57" l="1"/>
  <c r="D110" i="57"/>
  <c r="F14" i="62"/>
  <c r="B5" i="62"/>
  <c r="E14" i="62"/>
  <c r="D115" i="57"/>
  <c r="D116" i="57" s="1"/>
  <c r="I112" i="57" s="1"/>
  <c r="D129" i="57" s="1"/>
  <c r="D10" i="52" s="1"/>
  <c r="D120" i="57"/>
  <c r="I116" i="57" s="1"/>
  <c r="M49" i="57"/>
  <c r="D46" i="57"/>
  <c r="I111" i="57"/>
  <c r="D128" i="57" s="1"/>
  <c r="G14" i="62" s="1"/>
  <c r="B6" i="62" s="1"/>
  <c r="D53" i="57" l="1"/>
  <c r="C94" i="57"/>
  <c r="C87" i="57" s="1"/>
  <c r="D56" i="57"/>
  <c r="M54" i="57" s="1"/>
  <c r="C86" i="57"/>
  <c r="C96" i="57" s="1"/>
  <c r="C79" i="57"/>
  <c r="C74" i="57" s="1"/>
  <c r="C73" i="57"/>
  <c r="C65" i="57"/>
  <c r="C64" i="57" s="1"/>
  <c r="C68" i="57" s="1"/>
  <c r="C69" i="57" s="1"/>
  <c r="D55" i="57" s="1"/>
  <c r="D54" i="57"/>
  <c r="D49" i="57" s="1"/>
  <c r="M53" i="57" s="1"/>
  <c r="D6" i="62"/>
  <c r="C6" i="62"/>
  <c r="D5" i="62"/>
  <c r="C5" i="62"/>
  <c r="C80" i="57" l="1"/>
  <c r="C97" i="57"/>
  <c r="E97" i="57" s="1"/>
  <c r="E98" i="57" s="1"/>
  <c r="C98" i="57" l="1"/>
  <c r="D59" i="57" s="1"/>
  <c r="D57" i="57" s="1"/>
  <c r="M55" i="57" s="1"/>
  <c r="N58" i="57" s="1"/>
  <c r="N59" i="57" s="1"/>
  <c r="C81" i="57"/>
  <c r="E81" i="57" s="1"/>
  <c r="E82" i="57" s="1"/>
  <c r="N60" i="57" l="1"/>
  <c r="N61" i="57" s="1"/>
  <c r="P58" i="57"/>
  <c r="C82" i="57"/>
  <c r="N62" i="57" l="1"/>
  <c r="E121" i="9" l="1"/>
  <c r="E4" i="52" s="1"/>
  <c r="B38" i="60" s="1"/>
  <c r="G121" i="9"/>
  <c r="G4" i="52" s="1"/>
  <c r="B41" i="60" s="1"/>
  <c r="I121" i="9"/>
  <c r="I4" i="52" s="1"/>
  <c r="D121" i="9" l="1"/>
  <c r="D4" i="52" s="1"/>
  <c r="B37" i="60" s="1"/>
  <c r="F121" i="9"/>
  <c r="F122" i="9" s="1"/>
  <c r="F5" i="52" s="1"/>
  <c r="B42" i="60" s="1"/>
  <c r="I103" i="9"/>
  <c r="D107" i="9"/>
  <c r="C104" i="9"/>
  <c r="H121" i="9"/>
  <c r="D122" i="9" l="1"/>
  <c r="D5" i="52" s="1"/>
  <c r="B39" i="60" s="1"/>
  <c r="F4" i="52"/>
  <c r="B40" i="60" s="1"/>
  <c r="H4" i="52"/>
  <c r="H122" i="9"/>
  <c r="H5" i="52" s="1"/>
  <c r="D106" i="9"/>
  <c r="D112" i="9" s="1"/>
  <c r="C103" i="9"/>
  <c r="I102" i="9"/>
  <c r="D9" i="50"/>
  <c r="B21" i="60" s="1"/>
  <c r="D30" i="50"/>
  <c r="M48" i="9" l="1"/>
  <c r="I110" i="9"/>
  <c r="D28" i="50"/>
  <c r="D29" i="50" s="1"/>
  <c r="D45" i="9"/>
  <c r="D7" i="50"/>
  <c r="D117" i="9"/>
  <c r="D113" i="9"/>
  <c r="D52" i="9" l="1"/>
  <c r="C93" i="9"/>
  <c r="C86" i="9" s="1"/>
  <c r="D59" i="9"/>
  <c r="M55" i="9" s="1"/>
  <c r="C85" i="9"/>
  <c r="C78" i="9"/>
  <c r="C73" i="9" s="1"/>
  <c r="D55" i="9"/>
  <c r="M53" i="9" s="1"/>
  <c r="C72" i="9"/>
  <c r="C64" i="9"/>
  <c r="C63" i="9" s="1"/>
  <c r="C67" i="9" s="1"/>
  <c r="C68" i="9" s="1"/>
  <c r="D54" i="9" s="1"/>
  <c r="D53" i="9"/>
  <c r="D48" i="9" s="1"/>
  <c r="M52" i="9" s="1"/>
  <c r="D36" i="50"/>
  <c r="D37" i="50" s="1"/>
  <c r="D125" i="9"/>
  <c r="D8" i="52" s="1"/>
  <c r="D15" i="50"/>
  <c r="D44" i="50"/>
  <c r="I115" i="9"/>
  <c r="D23" i="50" s="1"/>
  <c r="B34" i="60" s="1"/>
  <c r="I111" i="9"/>
  <c r="D38" i="50"/>
  <c r="B62" i="60" s="1"/>
  <c r="D8" i="50"/>
  <c r="B22" i="60" s="1"/>
  <c r="B19" i="60"/>
  <c r="C95" i="9" l="1"/>
  <c r="C97" i="9" s="1"/>
  <c r="D58" i="9" s="1"/>
  <c r="D56" i="9" s="1"/>
  <c r="M54" i="9" s="1"/>
  <c r="N57" i="9" s="1"/>
  <c r="C79" i="9"/>
  <c r="C81" i="9" s="1"/>
  <c r="D16" i="50"/>
  <c r="B30" i="60" s="1"/>
  <c r="B29" i="60"/>
  <c r="C96" i="9"/>
  <c r="E96" i="9" s="1"/>
  <c r="E97" i="9" s="1"/>
  <c r="D17" i="50"/>
  <c r="D126" i="9"/>
  <c r="D9" i="52" s="1"/>
  <c r="C80" i="9" l="1"/>
  <c r="E80" i="9" s="1"/>
  <c r="E81" i="9" s="1"/>
  <c r="P57" i="9"/>
  <c r="N59" i="9"/>
  <c r="N58"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<sst xmlns="http://schemas.openxmlformats.org/spreadsheetml/2006/main" count="7292" uniqueCount="3258">
  <si>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</si>
  <si>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</si>
  <si>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</si>
  <si>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</si>
  <si>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</si>
  <si>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</si>
  <si>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</si>
  <si>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</si>
  <si>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</si>
  <si>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</si>
  <si>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</si>
  <si>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</si>
  <si>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</si>
  <si>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</si>
  <si>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</si>
  <si>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</si>
  <si>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</si>
  <si>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</si>
  <si>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</si>
  <si>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</si>
  <si>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</si>
  <si>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</si>
  <si>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</si>
  <si>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</si>
  <si>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</si>
  <si>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</si>
  <si>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</si>
  <si>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</si>
  <si>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</si>
  <si>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</si>
  <si>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</si>
  <si>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</si>
  <si>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</si>
  <si>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</si>
  <si>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</si>
  <si>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</si>
  <si>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</si>
  <si>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</si>
  <si>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</si>
  <si>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</si>
  <si>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</si>
  <si>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</si>
  <si>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</si>
  <si>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</si>
  <si>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</si>
  <si>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</si>
  <si>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</si>
  <si>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</si>
  <si>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</si>
  <si>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</si>
  <si>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</si>
  <si>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</si>
  <si>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</si>
  <si>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</si>
  <si>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</si>
  <si>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</si>
  <si>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</si>
  <si>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</si>
  <si>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</si>
  <si>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</si>
  <si>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</si>
  <si>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</si>
  <si>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</si>
  <si>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</si>
  <si>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</si>
  <si>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</si>
  <si>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</si>
  <si>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</si>
  <si>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</si>
  <si>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</si>
  <si>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</si>
  <si>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</si>
  <si>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</si>
  <si>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</si>
  <si>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</si>
  <si>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</si>
  <si>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</si>
  <si>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</si>
  <si>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</si>
  <si>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</si>
  <si>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</si>
  <si>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</si>
  <si>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</si>
  <si>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</si>
  <si>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</si>
  <si>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</si>
  <si>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</si>
  <si>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</si>
  <si>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</si>
  <si>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</si>
  <si>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</si>
  <si>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</si>
  <si>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</si>
  <si>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</si>
  <si>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</si>
  <si>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</si>
  <si>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</si>
  <si>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</si>
  <si>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</si>
  <si>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</si>
  <si>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</si>
  <si>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</si>
  <si>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</si>
  <si>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</si>
  <si>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</si>
  <si>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</si>
  <si>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</si>
  <si>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</si>
  <si>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</si>
  <si>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</si>
  <si>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</si>
  <si>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</si>
  <si>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</si>
  <si>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</si>
  <si>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</si>
  <si>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</si>
  <si>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</si>
  <si>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</si>
  <si>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</si>
  <si>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</si>
  <si>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</si>
  <si>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</si>
  <si>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</si>
  <si>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</si>
  <si>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</si>
  <si>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</si>
  <si>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</si>
  <si>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</si>
  <si>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</si>
  <si>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</si>
  <si>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</si>
  <si>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</si>
  <si>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</si>
  <si>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</si>
  <si>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</si>
  <si>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</si>
  <si>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</si>
  <si>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</si>
  <si>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</si>
  <si>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</si>
  <si>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</si>
  <si>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</si>
  <si>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</si>
  <si>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</si>
  <si>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</si>
  <si>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</si>
  <si>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</si>
  <si>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</si>
  <si>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</si>
  <si>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</si>
  <si>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</si>
  <si>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</si>
  <si>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</si>
  <si>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</si>
  <si>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</si>
  <si>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</si>
  <si>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</si>
  <si>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</si>
  <si>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</si>
  <si>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</si>
  <si>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</si>
  <si>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</si>
  <si>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</si>
  <si>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</si>
  <si>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</si>
  <si>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</si>
  <si>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</si>
  <si>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</si>
  <si>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</si>
  <si>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</si>
  <si>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</si>
  <si>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</si>
  <si>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</si>
  <si>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</si>
  <si>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</si>
  <si>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</si>
  <si>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</si>
  <si>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</si>
  <si>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</si>
  <si>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</si>
  <si>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</si>
  <si>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</si>
  <si>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</si>
  <si>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</si>
  <si>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</si>
  <si>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</si>
  <si>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</si>
  <si>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</si>
  <si>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</si>
  <si>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</si>
  <si>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</si>
  <si>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</si>
  <si>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</si>
  <si>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</si>
  <si>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</si>
  <si>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</si>
  <si>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</si>
  <si>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</si>
  <si>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</si>
  <si>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</si>
  <si>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</si>
  <si>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</si>
  <si>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</si>
  <si>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</si>
  <si>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</si>
  <si>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</si>
  <si>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</si>
  <si>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</si>
  <si>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</si>
  <si>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</si>
  <si>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</si>
  <si>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</si>
  <si>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</si>
  <si>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</si>
  <si>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</si>
  <si>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</si>
  <si>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</si>
  <si>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</si>
  <si>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</si>
  <si>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</si>
  <si>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</si>
  <si>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</si>
  <si>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</si>
  <si>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</si>
  <si>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</si>
  <si>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</si>
  <si>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</si>
  <si>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</si>
  <si>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</si>
  <si>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</si>
  <si>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</si>
  <si>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</si>
  <si>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</si>
  <si>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</si>
  <si>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</si>
  <si>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</si>
  <si>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</si>
  <si>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</si>
  <si>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</si>
  <si>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</si>
  <si>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</si>
  <si>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</si>
  <si>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</si>
  <si>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</si>
  <si>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</si>
  <si>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</si>
  <si>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</si>
  <si>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</si>
  <si>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</si>
  <si>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</si>
  <si>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</si>
  <si>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</si>
  <si>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</si>
  <si>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</si>
  <si>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</si>
  <si>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</si>
  <si>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</si>
  <si>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</si>
  <si>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</si>
  <si>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</si>
  <si>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</si>
  <si>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</si>
  <si>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</si>
  <si>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</si>
  <si>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</si>
  <si>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</si>
  <si>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</si>
  <si>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</si>
  <si>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</si>
  <si>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</si>
  <si>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</si>
  <si>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</si>
  <si>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</si>
  <si>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</si>
  <si>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</si>
  <si>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</si>
  <si>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</si>
  <si>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</si>
  <si>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</si>
  <si>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</si>
  <si>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</si>
  <si>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</si>
  <si>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</si>
  <si>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</si>
  <si>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</si>
  <si>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</si>
  <si>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</si>
  <si>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</si>
  <si>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</si>
  <si>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</si>
  <si>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</si>
  <si>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</si>
  <si>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</si>
  <si>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</si>
  <si>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</si>
  <si>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</si>
  <si>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</si>
  <si>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</si>
  <si>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</si>
  <si>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</si>
  <si>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</si>
  <si>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</si>
  <si>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</si>
  <si>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</si>
  <si>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</si>
  <si>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</si>
  <si>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</si>
  <si>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</si>
  <si>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</si>
  <si>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</si>
  <si>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</si>
  <si>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</si>
  <si>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</si>
  <si>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</si>
  <si>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</si>
  <si>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</si>
  <si>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</si>
  <si>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</si>
  <si>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</si>
  <si>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</si>
  <si>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</si>
  <si>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</si>
  <si>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</si>
  <si>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</si>
  <si>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</si>
  <si>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</si>
  <si>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</si>
  <si>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</si>
  <si>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</si>
  <si>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</si>
  <si>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</si>
  <si>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</si>
  <si>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</si>
  <si>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</si>
  <si>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</si>
  <si>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</si>
  <si>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</si>
  <si>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</si>
  <si>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</si>
  <si>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</si>
  <si>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</si>
  <si>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</si>
  <si>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</si>
  <si>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</si>
  <si>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</si>
  <si>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</si>
  <si>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</si>
  <si>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</si>
  <si>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</si>
  <si>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</si>
  <si>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</si>
  <si>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</si>
  <si>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</si>
  <si>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</si>
  <si>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</si>
  <si>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</si>
  <si>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</si>
  <si>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</si>
  <si>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</si>
  <si>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</si>
  <si>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</si>
  <si>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</si>
  <si>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</si>
  <si>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</si>
  <si>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</si>
  <si>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</si>
  <si>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</si>
  <si>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</si>
  <si>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</si>
  <si>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</si>
  <si>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</si>
  <si>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</si>
  <si>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</si>
  <si>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</si>
  <si>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</si>
  <si>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</si>
  <si>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</si>
  <si>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</si>
  <si>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</si>
  <si>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</si>
  <si>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</si>
  <si>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</si>
  <si>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</si>
  <si>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</si>
  <si>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</si>
  <si>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</si>
  <si>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</si>
  <si>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</si>
  <si>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</si>
  <si>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</si>
  <si>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</si>
  <si>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</si>
  <si>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</si>
  <si>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</si>
  <si>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</si>
  <si>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</si>
  <si>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</si>
  <si>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</si>
  <si>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</si>
  <si>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</si>
  <si>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</si>
  <si>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</si>
  <si>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</si>
  <si>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</si>
  <si>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</si>
  <si>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</si>
  <si>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</si>
  <si>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</si>
  <si>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</si>
  <si>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</si>
  <si>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</si>
  <si>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</si>
  <si>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</si>
  <si>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</si>
  <si>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</si>
  <si>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</si>
  <si>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</si>
  <si>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</si>
  <si>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</si>
  <si>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</si>
  <si>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</si>
  <si>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</si>
  <si>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</si>
  <si>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</si>
  <si>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</si>
  <si>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</si>
  <si>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</si>
  <si>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</si>
  <si>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</si>
  <si>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</si>
  <si>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</si>
  <si>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</si>
  <si>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</si>
  <si>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</si>
  <si>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</si>
  <si>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</si>
  <si>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</si>
  <si>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</si>
  <si>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</si>
  <si>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</si>
  <si>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</si>
  <si>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</si>
  <si>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</si>
  <si>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</si>
  <si>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</si>
  <si>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</si>
  <si>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</si>
  <si>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</si>
  <si>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</si>
  <si>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</si>
  <si>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</si>
  <si>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</si>
  <si>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</si>
  <si>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</si>
  <si>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</si>
  <si>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</si>
  <si>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</si>
  <si>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</si>
  <si>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</si>
  <si>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</si>
  <si>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</si>
  <si>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</si>
  <si>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</si>
  <si>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</si>
  <si>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</si>
  <si>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</si>
  <si>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</si>
  <si>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</si>
  <si>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</si>
  <si>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</si>
  <si>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</si>
  <si>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</si>
  <si>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</si>
  <si>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</si>
  <si>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</si>
  <si>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</si>
  <si>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</si>
  <si>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</si>
  <si>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</si>
  <si>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</si>
  <si>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</si>
  <si>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</si>
  <si>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</si>
  <si>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</si>
  <si>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</si>
  <si>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</si>
  <si>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</si>
  <si>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</si>
  <si>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</si>
  <si>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</si>
  <si>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</si>
  <si>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</si>
  <si>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</si>
  <si>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</si>
  <si>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</si>
  <si>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</si>
  <si>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</si>
  <si>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</si>
  <si>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</si>
  <si>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</si>
  <si>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</si>
  <si>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</si>
  <si>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</si>
  <si>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</si>
  <si>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</si>
  <si>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</si>
  <si>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</si>
  <si>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</si>
  <si>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</si>
  <si>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</si>
  <si>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</si>
  <si>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</si>
  <si>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</si>
  <si>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</si>
  <si>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</si>
  <si>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</si>
  <si>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</si>
  <si>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</si>
  <si>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</si>
  <si>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</si>
  <si>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</si>
  <si>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</si>
  <si>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</si>
  <si>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</si>
  <si>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</si>
  <si>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</si>
  <si>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</si>
  <si>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</si>
  <si>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</si>
  <si>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</si>
  <si>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</si>
  <si>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</si>
  <si>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</si>
  <si>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</si>
  <si>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</si>
  <si>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</si>
  <si>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</si>
  <si>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</si>
  <si>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</si>
  <si>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</si>
  <si>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</si>
  <si>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</si>
  <si>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</si>
  <si>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</si>
  <si>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</si>
  <si>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</si>
  <si>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</si>
  <si>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</si>
  <si>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</si>
  <si>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</si>
  <si>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</si>
  <si>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</si>
  <si>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</si>
  <si>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</si>
  <si>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</si>
  <si>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</si>
  <si>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</si>
  <si>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</si>
  <si>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</si>
  <si>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</si>
  <si>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</si>
  <si>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</si>
  <si>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</si>
  <si>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</si>
  <si>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</si>
  <si>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</si>
  <si>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</si>
  <si>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</si>
  <si>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</si>
  <si>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</si>
  <si>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</si>
  <si>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</si>
  <si>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</si>
  <si>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</si>
  <si>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</si>
  <si>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</si>
  <si>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</si>
  <si>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</si>
  <si>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</si>
  <si>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</si>
  <si>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</si>
  <si>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</si>
  <si>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</si>
  <si>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</si>
  <si>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</si>
  <si>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</si>
  <si>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</si>
  <si>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</si>
  <si>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</si>
  <si>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</si>
  <si>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</si>
  <si>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</si>
  <si>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</si>
  <si>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</si>
  <si>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</si>
  <si>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</si>
  <si>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</si>
  <si>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</si>
  <si>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</si>
  <si>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</si>
  <si>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</si>
  <si>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</si>
  <si>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</si>
  <si>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</si>
  <si>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</si>
  <si>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</si>
  <si>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</si>
  <si>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</si>
  <si>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</si>
  <si>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</si>
  <si>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</si>
  <si>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</si>
  <si>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</si>
  <si>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</si>
  <si>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</si>
  <si>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</si>
  <si>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</si>
  <si>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</si>
  <si>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</si>
  <si>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</si>
  <si>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</si>
  <si>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</si>
  <si>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</si>
  <si>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</si>
  <si>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</si>
  <si>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</si>
  <si>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</si>
  <si>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</si>
  <si>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</si>
  <si>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</si>
  <si>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</si>
  <si>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</si>
  <si>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</si>
  <si>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</si>
  <si>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</si>
  <si>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</si>
  <si>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</si>
  <si>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</si>
  <si>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</si>
  <si>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</si>
  <si>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</si>
  <si>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</si>
  <si>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</si>
  <si>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</si>
  <si>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</si>
  <si>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</si>
  <si>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</si>
  <si>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</si>
  <si>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</si>
  <si>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</si>
  <si>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</si>
  <si>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</si>
  <si>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</si>
  <si>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</si>
  <si>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</si>
  <si>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</si>
  <si>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</si>
  <si>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</si>
  <si>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</si>
  <si>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</si>
  <si>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</si>
  <si>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</si>
  <si>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</si>
  <si>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</si>
  <si>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</si>
  <si>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</si>
  <si>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</si>
  <si>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</si>
  <si>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</si>
  <si>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</si>
  <si>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</si>
  <si>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</si>
  <si>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</si>
  <si>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</si>
  <si>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</si>
  <si>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</si>
  <si>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</si>
  <si>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</si>
  <si>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</si>
  <si>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</si>
  <si>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</si>
  <si>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</si>
  <si>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</si>
  <si>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</si>
  <si>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</si>
  <si>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</si>
  <si>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</si>
  <si>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</si>
  <si>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</si>
  <si>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</si>
  <si>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</si>
  <si>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</si>
  <si>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</si>
  <si>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</si>
  <si>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</si>
  <si>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</si>
  <si>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</si>
  <si>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</si>
  <si>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</si>
  <si>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</si>
  <si>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</si>
  <si>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</si>
  <si>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</si>
  <si>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</si>
  <si>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</si>
  <si>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</si>
  <si>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</si>
  <si>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</si>
  <si>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</si>
  <si>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</si>
  <si>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</si>
  <si>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</si>
  <si>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</si>
  <si>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</si>
  <si>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</si>
  <si>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</si>
  <si>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</si>
  <si>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</si>
  <si>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</si>
  <si>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</si>
  <si>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</si>
  <si>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</si>
  <si>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</si>
  <si>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</si>
  <si>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</si>
  <si>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</si>
  <si>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</si>
  <si>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</si>
  <si>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</si>
  <si>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</si>
  <si>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</si>
  <si>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</si>
  <si>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</si>
  <si>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</si>
  <si>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</si>
  <si>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</si>
  <si>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</si>
  <si>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</si>
  <si>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</si>
  <si>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</si>
  <si>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</si>
  <si>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</si>
  <si>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</si>
  <si>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</si>
  <si>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</si>
  <si>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</si>
  <si>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</si>
  <si>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</si>
  <si>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</si>
  <si>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</si>
  <si>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</si>
  <si>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</si>
  <si>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</si>
  <si>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</si>
  <si>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</si>
  <si>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</si>
  <si>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</si>
  <si>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</si>
  <si>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</si>
  <si>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</si>
  <si>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</si>
  <si>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</si>
  <si>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</si>
  <si>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</si>
  <si>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</si>
  <si>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</si>
  <si>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</si>
  <si>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</si>
  <si>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</si>
  <si>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</si>
  <si>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</si>
  <si>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</si>
  <si>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</si>
  <si>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</si>
  <si>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</si>
  <si>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</si>
  <si>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</si>
  <si>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</si>
  <si>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</si>
  <si>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</si>
  <si>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</si>
  <si>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</si>
  <si>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</si>
  <si>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</si>
  <si>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</si>
  <si>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</si>
  <si>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</si>
  <si>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</si>
  <si>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</si>
  <si>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</si>
  <si>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</si>
  <si>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</si>
  <si>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</si>
  <si>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</si>
  <si>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</si>
  <si>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</si>
  <si>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</si>
  <si>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</si>
  <si>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</si>
  <si>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</si>
  <si>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</si>
  <si>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</si>
  <si>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</si>
  <si>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</si>
  <si>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</si>
  <si>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</si>
  <si>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</si>
  <si>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</si>
  <si>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</si>
  <si>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</si>
  <si>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</si>
  <si>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</si>
  <si>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</si>
  <si>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</si>
  <si>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</si>
  <si>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</si>
  <si>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</si>
  <si>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</si>
  <si>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</si>
  <si>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</si>
  <si>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</si>
  <si>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</si>
  <si>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</si>
  <si>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</si>
  <si>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</si>
  <si>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</si>
  <si>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</si>
  <si>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</si>
  <si>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</si>
  <si>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</si>
  <si>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</si>
  <si>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</si>
  <si>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</si>
  <si>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</si>
  <si>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</si>
  <si>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</si>
  <si>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</si>
  <si>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</si>
  <si>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</si>
  <si>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</si>
  <si>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</si>
  <si>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</si>
  <si>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</si>
  <si>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</si>
  <si>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</si>
  <si>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</si>
  <si>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</si>
  <si>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</si>
  <si>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</si>
  <si>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</si>
  <si>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</si>
  <si>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</si>
  <si>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</si>
  <si>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</si>
  <si>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</si>
  <si>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</si>
  <si>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</si>
  <si>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</si>
  <si>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</si>
  <si>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</si>
  <si>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</si>
  <si>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</si>
  <si>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</si>
  <si>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</si>
  <si>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</si>
  <si>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</si>
  <si>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</si>
  <si>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</si>
  <si>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</si>
  <si>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</si>
  <si>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</si>
  <si>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</si>
  <si>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</si>
  <si>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</si>
  <si>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</si>
  <si>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</si>
  <si>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</si>
  <si>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</si>
  <si>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</si>
  <si>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</si>
  <si>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</si>
  <si>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</si>
  <si>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</si>
  <si>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</si>
  <si>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</si>
  <si>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</si>
  <si>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</si>
  <si>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</si>
  <si>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</si>
  <si>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</si>
  <si>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</si>
  <si>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</si>
  <si>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</si>
  <si>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</si>
  <si>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</si>
  <si>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</si>
  <si>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</si>
  <si>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</si>
  <si>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</si>
  <si>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</si>
  <si>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</si>
  <si>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</si>
  <si>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</si>
  <si>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</si>
  <si>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</si>
  <si>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</si>
  <si>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</si>
  <si>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</si>
  <si>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</si>
  <si>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</si>
  <si>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</si>
  <si>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</si>
  <si>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</si>
  <si>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</si>
  <si>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</si>
  <si>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</si>
  <si>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</si>
  <si>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</si>
  <si>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</si>
  <si>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</si>
  <si>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</si>
  <si>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</si>
  <si>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</si>
  <si>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</si>
  <si>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</si>
  <si>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</si>
  <si>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</si>
  <si>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</si>
  <si>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</si>
  <si>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</si>
  <si>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</si>
  <si>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</si>
  <si>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</si>
  <si>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</si>
  <si>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</si>
  <si>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</si>
  <si>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</si>
  <si>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</si>
  <si>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</si>
  <si>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</si>
  <si>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</si>
  <si>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</si>
  <si>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</si>
  <si>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</si>
  <si>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</si>
  <si>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</si>
  <si>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</si>
  <si>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</si>
  <si>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</si>
  <si>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</si>
  <si>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</si>
  <si>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</si>
  <si>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</si>
  <si>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</si>
  <si>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</si>
  <si>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</si>
  <si>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</si>
  <si>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</si>
  <si>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</si>
  <si>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</si>
  <si>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</si>
  <si>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</si>
  <si>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</si>
  <si>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</si>
  <si>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</si>
  <si>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</si>
  <si>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</si>
  <si>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</si>
  <si>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</si>
  <si>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</si>
  <si>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</si>
  <si>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</si>
  <si>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</si>
  <si>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</si>
  <si>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</si>
  <si>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</si>
  <si>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</si>
  <si>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</si>
  <si>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</si>
  <si>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</si>
  <si>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</si>
  <si>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</si>
  <si>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</si>
  <si>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</si>
  <si>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</si>
  <si>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</si>
  <si>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</si>
  <si>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</si>
  <si>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</si>
  <si>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</si>
  <si>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</si>
  <si>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</si>
  <si>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</si>
  <si>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</si>
  <si>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</si>
  <si>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</si>
  <si>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</si>
  <si>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</si>
  <si>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</si>
  <si>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</si>
  <si>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</si>
  <si>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</si>
  <si>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</si>
  <si>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</si>
  <si>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</si>
  <si>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</si>
  <si>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</si>
  <si>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</si>
  <si>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</si>
  <si>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</si>
  <si>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</si>
  <si>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</si>
  <si>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</si>
  <si>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</si>
  <si>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</si>
  <si>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</si>
  <si>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</si>
  <si>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</si>
  <si>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</si>
  <si>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</si>
  <si>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</si>
  <si>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</si>
  <si>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</si>
  <si>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</si>
  <si>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</si>
  <si>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</si>
  <si>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</si>
  <si>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</si>
  <si>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</si>
  <si>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</si>
  <si>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</si>
  <si>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</si>
  <si>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</si>
  <si>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</si>
  <si>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</si>
  <si>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</si>
  <si>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</si>
  <si>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</si>
  <si>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</si>
  <si>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</si>
  <si>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</si>
  <si>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</si>
  <si>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</si>
  <si>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</si>
  <si>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</si>
  <si>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</si>
  <si>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</si>
  <si>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</si>
  <si>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</si>
  <si>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</si>
  <si>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</si>
  <si>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</si>
  <si>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</si>
  <si>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</si>
  <si>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</si>
  <si>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</si>
  <si>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</si>
  <si>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</si>
  <si>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</si>
  <si>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</si>
  <si>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</si>
  <si>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</si>
  <si>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</si>
  <si>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</si>
  <si>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</si>
  <si>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</si>
  <si>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</si>
  <si>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</si>
  <si>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</si>
  <si>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</si>
  <si>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</si>
  <si>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</si>
  <si>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</si>
  <si>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</si>
  <si>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</si>
  <si>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</si>
  <si>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</si>
  <si>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</si>
  <si>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</si>
  <si>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</si>
  <si>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</si>
  <si>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</si>
  <si>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</si>
  <si>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</si>
  <si>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</si>
  <si>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</si>
  <si>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</si>
  <si>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</si>
  <si>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</si>
  <si>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</si>
  <si>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</si>
  <si>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</si>
  <si>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</si>
  <si>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</si>
  <si>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</si>
  <si>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</si>
  <si>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</si>
  <si>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</si>
  <si>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</si>
  <si>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</si>
  <si>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</si>
  <si>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</si>
  <si>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</si>
  <si>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</si>
  <si>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</si>
  <si>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</si>
  <si>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</si>
  <si>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</si>
  <si>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</si>
  <si>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</si>
  <si>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</si>
  <si>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</si>
  <si>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</si>
  <si>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</si>
  <si>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</si>
  <si>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</si>
  <si>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</si>
  <si>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</si>
  <si>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</si>
  <si>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</si>
  <si>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</si>
  <si>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</si>
  <si>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</si>
  <si>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</si>
  <si>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</si>
  <si>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</si>
  <si>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</si>
  <si>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</si>
  <si>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</si>
  <si>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</si>
  <si>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</si>
  <si>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</si>
  <si>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</si>
  <si>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</si>
  <si>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</si>
  <si>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</si>
  <si>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</si>
  <si>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</si>
  <si>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</si>
  <si>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</si>
  <si>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</si>
  <si>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</si>
  <si>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</si>
  <si>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</si>
  <si>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</si>
  <si>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</si>
  <si>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</si>
  <si>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</si>
  <si>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</si>
  <si>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</si>
  <si>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</si>
  <si>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</si>
  <si>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</si>
  <si>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</si>
  <si>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</si>
  <si>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</si>
  <si>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</si>
  <si>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</si>
  <si>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</si>
  <si>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</si>
  <si>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</si>
  <si>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</si>
  <si>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</si>
  <si>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</si>
  <si>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</si>
  <si>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</si>
  <si>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</si>
  <si>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</si>
  <si>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</si>
  <si>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</si>
  <si>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</si>
  <si>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</si>
  <si>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</si>
  <si>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</si>
  <si>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</si>
  <si>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</si>
  <si>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</si>
  <si>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</si>
  <si>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</si>
  <si>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</si>
  <si>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</si>
  <si>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</si>
  <si>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</si>
  <si>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</si>
  <si>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</si>
  <si>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</si>
  <si>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</si>
  <si>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</si>
  <si>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</si>
  <si>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</si>
  <si>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</si>
  <si>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</si>
  <si>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</si>
  <si>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</si>
  <si>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</si>
  <si>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</si>
  <si>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</si>
  <si>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</si>
  <si>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</si>
  <si>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</si>
  <si>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</si>
  <si>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</si>
  <si>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</si>
  <si>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</si>
  <si>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</si>
  <si>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</si>
  <si>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</si>
  <si>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</si>
  <si>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</si>
  <si>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</si>
  <si>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</si>
  <si>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</si>
  <si>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</si>
  <si>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</si>
  <si>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</si>
  <si>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</si>
  <si>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</si>
  <si>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</si>
  <si>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</si>
  <si>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</si>
  <si>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</si>
  <si>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</si>
  <si>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</si>
  <si>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</si>
  <si>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</si>
  <si>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</si>
  <si>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</si>
  <si>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</si>
  <si>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</si>
  <si>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</si>
  <si>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</si>
  <si>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</si>
  <si>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</si>
  <si>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</si>
  <si>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</si>
  <si>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</si>
  <si>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</si>
  <si>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</si>
  <si>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</si>
  <si>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</si>
  <si>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</si>
  <si>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</si>
  <si>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</si>
  <si>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</si>
  <si>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</si>
  <si>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</si>
  <si>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</si>
  <si>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</si>
  <si>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</si>
  <si>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</si>
  <si>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</si>
  <si>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</si>
  <si>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</si>
  <si>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</si>
  <si>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</si>
  <si>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</si>
  <si>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</si>
  <si>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</si>
  <si>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</si>
  <si>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</si>
  <si>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</si>
  <si>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</si>
  <si>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</si>
  <si>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</si>
  <si>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</si>
  <si>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</si>
  <si>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</si>
  <si>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</si>
  <si>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</si>
  <si>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</si>
  <si>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</si>
  <si>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</si>
  <si>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</si>
  <si>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</si>
  <si>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</si>
  <si>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</si>
  <si>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</si>
  <si>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</si>
  <si>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</si>
  <si>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</si>
  <si>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</si>
  <si>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</si>
  <si>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</si>
  <si>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</si>
  <si>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</si>
  <si>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</si>
  <si>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</si>
  <si>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</si>
  <si>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</si>
  <si>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</si>
  <si>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</si>
  <si>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</si>
  <si>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</si>
  <si>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</si>
  <si>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</si>
  <si>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</si>
  <si>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</si>
  <si>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</si>
  <si>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</si>
  <si>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</si>
  <si>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</si>
  <si>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</si>
  <si>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</si>
  <si>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</si>
  <si>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</si>
  <si>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</si>
  <si>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</si>
  <si>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</si>
  <si>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</si>
  <si>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</si>
  <si>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</si>
  <si>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</si>
  <si>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</si>
  <si>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</si>
  <si>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</si>
  <si>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</si>
  <si>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</si>
  <si>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</si>
  <si>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</si>
  <si>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</si>
  <si>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</si>
  <si>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</si>
  <si>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</si>
  <si>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</si>
  <si>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</si>
  <si>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</si>
  <si>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</si>
  <si>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</si>
  <si>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</si>
  <si>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</si>
  <si>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</si>
  <si>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</si>
  <si>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</si>
  <si>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</si>
  <si>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</si>
  <si>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</si>
  <si>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</si>
  <si>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</si>
  <si>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</si>
  <si>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</si>
  <si>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</si>
  <si>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</si>
  <si>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</si>
  <si>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</si>
  <si>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</si>
  <si>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</si>
  <si>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</si>
  <si>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</si>
  <si>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</si>
  <si>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</si>
  <si>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</si>
  <si>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</si>
  <si>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</si>
  <si>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</si>
  <si>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</si>
  <si>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</si>
  <si>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</si>
  <si>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</si>
  <si>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</si>
  <si>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</si>
  <si>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</si>
  <si>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</si>
  <si>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</si>
  <si>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</si>
  <si>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</si>
  <si>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</si>
  <si>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</si>
  <si>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</si>
  <si>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</si>
  <si>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</si>
  <si>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</si>
  <si>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</si>
  <si>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</si>
  <si>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</si>
  <si>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</si>
  <si>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</si>
  <si>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</si>
  <si>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</si>
  <si>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</si>
  <si>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</si>
  <si>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</si>
  <si>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</si>
  <si>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</si>
  <si>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</si>
  <si>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</si>
  <si>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</si>
  <si>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</si>
  <si>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</si>
  <si>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</si>
  <si>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</si>
  <si>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</si>
  <si>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</si>
  <si>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</si>
  <si>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</si>
  <si>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</si>
  <si>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</si>
  <si>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</si>
  <si>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</si>
  <si>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</si>
  <si>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</si>
  <si>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</si>
  <si>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</si>
  <si>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</si>
  <si>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</si>
  <si>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</si>
  <si>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</si>
  <si>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</si>
  <si>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</si>
  <si>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</si>
  <si>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</si>
  <si>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</si>
  <si>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</si>
  <si>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</si>
  <si>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</si>
  <si>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</si>
  <si>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</si>
  <si>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</si>
  <si>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</si>
  <si>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</si>
  <si>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</si>
  <si>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</si>
  <si>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</si>
  <si>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</si>
  <si>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</si>
  <si>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</si>
  <si>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</si>
  <si>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</si>
  <si>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</si>
  <si>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</si>
  <si>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</si>
  <si>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</si>
  <si>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</si>
  <si>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</si>
  <si>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</si>
  <si>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</si>
  <si>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</si>
  <si>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</si>
  <si>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</si>
  <si>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</si>
  <si>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</si>
  <si>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</si>
  <si>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</si>
  <si>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</si>
  <si>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</si>
  <si>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</si>
  <si>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</si>
  <si>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</si>
  <si>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</si>
  <si>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</si>
  <si>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</si>
  <si>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</si>
  <si>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</si>
  <si>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</si>
  <si>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</si>
  <si>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</si>
  <si>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</si>
  <si>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</si>
  <si>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</si>
  <si>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</si>
  <si>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</si>
  <si>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</si>
  <si>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</si>
  <si>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</si>
  <si>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</si>
  <si>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</si>
  <si>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</si>
  <si>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</si>
  <si>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</si>
  <si>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</si>
  <si>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</si>
  <si>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</si>
  <si>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</si>
  <si>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</si>
  <si>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</si>
  <si>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</si>
  <si>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</si>
  <si>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</si>
  <si>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</si>
  <si>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</si>
  <si>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</si>
  <si>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</si>
  <si>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</si>
  <si>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</si>
  <si>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</si>
  <si>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</si>
  <si>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</si>
  <si>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</si>
  <si>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</si>
  <si>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</si>
  <si>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</si>
  <si>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</si>
  <si>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</si>
  <si>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</si>
  <si>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</si>
  <si>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</si>
  <si>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</si>
  <si>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</si>
  <si>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</si>
  <si>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</si>
  <si>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</si>
  <si>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</si>
  <si>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</si>
  <si>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</si>
  <si>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</si>
  <si>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</si>
  <si>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</si>
  <si>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</si>
  <si>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</si>
  <si>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</si>
  <si>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</si>
  <si>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</si>
  <si>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</si>
  <si>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</si>
  <si>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</si>
  <si>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</si>
  <si>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</si>
  <si>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</si>
  <si>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</si>
  <si>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</si>
  <si>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</si>
  <si>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</si>
  <si>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</si>
  <si>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</si>
  <si>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</si>
  <si>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</si>
  <si>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</si>
  <si>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</si>
  <si>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</si>
  <si>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</si>
  <si>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</si>
  <si>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</si>
  <si>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</si>
  <si>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</si>
  <si>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</si>
  <si>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</si>
  <si>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</si>
  <si>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</si>
  <si>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</si>
  <si>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</si>
  <si>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</si>
  <si>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</si>
  <si>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</si>
  <si>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</si>
  <si>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</si>
  <si>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</si>
  <si>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</si>
  <si>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</si>
  <si>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</si>
  <si>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</si>
  <si>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</si>
  <si>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</si>
  <si>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</si>
  <si>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</si>
  <si>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</si>
  <si>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</si>
  <si>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</si>
  <si>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</si>
  <si>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</si>
  <si>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</si>
  <si>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</si>
  <si>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</si>
  <si>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</si>
  <si>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</si>
  <si>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</si>
  <si>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</si>
  <si>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</si>
  <si>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</si>
  <si>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</si>
  <si>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</si>
  <si>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</si>
  <si>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</si>
  <si>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</si>
  <si>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</si>
  <si>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</si>
  <si>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</si>
  <si>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</si>
  <si>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</si>
  <si>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</si>
  <si>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</si>
  <si>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</si>
  <si>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</si>
  <si>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</si>
  <si>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</si>
  <si>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</si>
  <si>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</si>
  <si>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</si>
  <si>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</si>
  <si>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</si>
  <si>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</si>
  <si>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</si>
  <si>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</si>
  <si>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</si>
  <si>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</si>
  <si>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</si>
  <si>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</si>
  <si>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</si>
  <si>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</si>
  <si>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</si>
  <si>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</si>
  <si>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</si>
  <si>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</si>
  <si>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</si>
  <si>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</si>
  <si>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</si>
  <si>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</si>
  <si>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</si>
  <si>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</si>
  <si>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</si>
  <si>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</si>
  <si>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</si>
  <si>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</si>
  <si>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</si>
  <si>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</si>
  <si>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</si>
  <si>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</si>
  <si>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</si>
  <si>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</si>
  <si>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</si>
  <si>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</si>
  <si>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</si>
  <si>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</si>
  <si>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</si>
  <si>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</si>
  <si>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</si>
  <si>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</si>
  <si>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</si>
  <si>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</si>
  <si>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</si>
  <si>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</si>
  <si>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</si>
  <si>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</si>
  <si>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</si>
  <si>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</si>
  <si>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</si>
  <si>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</si>
  <si>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</si>
  <si>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</si>
  <si>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</si>
  <si>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</si>
  <si>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</si>
  <si>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</si>
  <si>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</si>
  <si>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</si>
  <si>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</si>
  <si>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</si>
  <si>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</si>
  <si>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</si>
  <si>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</si>
  <si>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</si>
  <si>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</si>
  <si>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</si>
  <si>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</si>
  <si>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</si>
  <si>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</si>
  <si>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</si>
  <si>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</si>
  <si>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</si>
  <si>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</si>
  <si>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</si>
  <si>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</si>
  <si>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</si>
  <si>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</si>
  <si>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</si>
  <si>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</si>
  <si>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</si>
  <si>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</si>
  <si>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</si>
  <si>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</si>
  <si>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</si>
  <si>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</si>
  <si>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</si>
  <si>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</si>
  <si>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</si>
  <si>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</si>
  <si>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</si>
  <si>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</si>
  <si>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</si>
  <si>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</si>
  <si>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</si>
  <si>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</si>
  <si>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</si>
  <si>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</si>
  <si>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</si>
  <si>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</si>
  <si>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</si>
  <si>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</si>
  <si>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</si>
  <si>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</si>
  <si>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</si>
  <si>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</si>
  <si>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</si>
  <si>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</si>
  <si>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</si>
  <si>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</si>
  <si>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</si>
  <si>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</si>
  <si>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</si>
  <si>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</si>
  <si>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</si>
  <si>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</si>
  <si>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</si>
  <si>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</si>
  <si>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</si>
  <si>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</si>
  <si>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</si>
  <si>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</si>
  <si>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</si>
  <si>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</si>
  <si>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</si>
  <si>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</si>
  <si>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</si>
  <si>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</si>
  <si>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</si>
  <si>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</si>
  <si>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</si>
  <si>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</si>
  <si>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</si>
  <si>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</si>
  <si>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</si>
  <si>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</si>
  <si>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</si>
  <si>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</si>
  <si>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</si>
  <si>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</si>
  <si>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</si>
  <si>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</si>
  <si>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</si>
  <si>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</si>
  <si>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</si>
  <si>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</si>
  <si>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</si>
  <si>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</si>
  <si>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</si>
  <si>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</si>
  <si>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</si>
  <si>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</si>
  <si>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</si>
  <si>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</si>
  <si>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</si>
  <si>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</si>
  <si>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</si>
  <si>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</si>
  <si>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</si>
  <si>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</si>
  <si>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</si>
  <si>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</si>
  <si>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</si>
  <si>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</si>
  <si>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</si>
  <si>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</si>
  <si>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</si>
  <si>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</si>
  <si>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</si>
  <si>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</si>
  <si>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</si>
  <si>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</si>
  <si>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</si>
  <si>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</si>
  <si>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</si>
  <si>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</si>
  <si>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</si>
  <si>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</si>
  <si>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</si>
  <si>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</si>
  <si>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</si>
  <si>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</si>
  <si>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</si>
  <si>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</si>
  <si>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</si>
  <si>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</si>
  <si>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</si>
  <si>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</si>
  <si>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</si>
  <si>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</si>
  <si>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</si>
  <si>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</si>
  <si>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</si>
  <si>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</si>
  <si>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</si>
  <si>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</si>
  <si>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</si>
  <si>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</si>
  <si>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</si>
  <si>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</si>
  <si>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</si>
  <si>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</si>
  <si>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</si>
  <si>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</si>
  <si>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</si>
  <si>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</si>
  <si>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</si>
  <si>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</si>
  <si>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</si>
  <si>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</si>
  <si>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</si>
  <si>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</si>
  <si>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</si>
  <si>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</si>
  <si>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</si>
  <si>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</si>
  <si>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</si>
  <si>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</si>
  <si>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</si>
  <si>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</si>
  <si>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</si>
  <si>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</si>
  <si>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</si>
  <si>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</si>
  <si>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</si>
  <si>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</si>
  <si>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</si>
  <si>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</si>
  <si>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</si>
  <si>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</si>
  <si>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</si>
  <si>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</si>
  <si>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</si>
  <si>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</si>
  <si>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</si>
  <si>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</si>
  <si>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</si>
  <si>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</si>
  <si>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</si>
  <si>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</si>
  <si>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</si>
  <si>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</si>
  <si>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</si>
  <si>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</si>
  <si>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</si>
  <si>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</si>
  <si>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</si>
  <si>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</si>
  <si>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</si>
  <si>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</si>
  <si>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</si>
  <si>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</si>
  <si>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</si>
  <si>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</si>
  <si>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</si>
  <si>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</si>
  <si>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</si>
  <si>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</si>
  <si>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</si>
  <si>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</si>
  <si>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</si>
  <si>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</si>
  <si>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</si>
  <si>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</si>
  <si>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</si>
  <si>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</si>
  <si>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</si>
  <si>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</si>
  <si>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</si>
  <si>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</si>
  <si>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</si>
  <si>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</si>
  <si>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</si>
  <si>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</si>
  <si>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</si>
  <si>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</si>
  <si>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</si>
  <si>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</si>
  <si>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</si>
  <si>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</si>
  <si>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</si>
  <si>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</si>
  <si>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</si>
  <si>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</si>
  <si>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</si>
  <si>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</si>
  <si>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</si>
  <si>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</si>
  <si>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</si>
  <si>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</si>
  <si>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</si>
  <si>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</si>
  <si>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</si>
  <si>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</si>
  <si>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</si>
  <si>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</si>
  <si>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</si>
  <si>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</si>
  <si>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</si>
  <si>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</si>
  <si>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</si>
  <si>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</si>
  <si>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</si>
  <si>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</si>
  <si>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</si>
  <si>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</si>
  <si>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</si>
  <si>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</si>
  <si>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</si>
  <si>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</si>
  <si>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</si>
  <si>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</si>
  <si>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</si>
  <si>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</si>
  <si>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</si>
  <si>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</si>
  <si>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</si>
  <si>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</si>
  <si>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</si>
  <si>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</si>
  <si>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</si>
  <si>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</si>
  <si>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</si>
  <si>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</si>
  <si>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</si>
  <si>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</si>
  <si>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</si>
  <si>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</si>
  <si>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</si>
  <si>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</si>
  <si>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</si>
  <si>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</si>
  <si>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</si>
  <si>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</si>
  <si>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</si>
  <si>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</si>
  <si>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</si>
  <si>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</si>
  <si>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</si>
  <si>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</si>
  <si>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</si>
  <si>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</si>
  <si>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</si>
  <si>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</si>
  <si>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</si>
  <si>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</si>
  <si>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</si>
  <si>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</si>
  <si>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</si>
  <si>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</si>
  <si>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</si>
  <si>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</si>
  <si>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</si>
  <si>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</si>
  <si>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</si>
  <si>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</si>
  <si>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</si>
  <si>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</si>
  <si>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</si>
  <si>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</si>
  <si>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</si>
  <si>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</si>
  <si>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</si>
  <si>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</si>
  <si>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</si>
  <si>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</si>
  <si>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</si>
  <si>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</si>
  <si>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</si>
  <si>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</si>
  <si>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</si>
  <si>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</si>
  <si>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</si>
  <si>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</si>
  <si>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</si>
  <si>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</si>
  <si>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</si>
  <si>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</si>
  <si>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</si>
  <si>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</si>
  <si>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</si>
  <si>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</si>
  <si>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</si>
  <si>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</si>
  <si>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</si>
  <si>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</si>
  <si>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</si>
  <si>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</si>
  <si>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</si>
  <si>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</si>
  <si>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</si>
  <si>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</si>
  <si>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</si>
  <si>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</si>
  <si>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</si>
  <si>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</si>
  <si>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</si>
  <si>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</si>
  <si>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</si>
  <si>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</si>
  <si>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</si>
  <si>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</si>
  <si>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</si>
  <si>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</si>
  <si>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</si>
  <si>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</si>
  <si>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</si>
  <si>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</si>
  <si>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</si>
  <si>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</si>
  <si>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</si>
  <si>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</si>
  <si>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</si>
  <si>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</si>
  <si>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</si>
  <si>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</si>
  <si>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</si>
  <si>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</si>
  <si>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</si>
  <si>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</si>
  <si>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</si>
  <si>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</si>
  <si>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</si>
  <si>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</si>
  <si>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</si>
  <si>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</si>
  <si>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</si>
  <si>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</si>
  <si>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</si>
  <si>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</si>
  <si>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</si>
  <si>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</si>
  <si>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</si>
  <si>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</si>
  <si>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</si>
  <si>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</si>
  <si>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</si>
  <si>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</si>
  <si>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</si>
  <si>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</si>
  <si>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</si>
  <si>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</si>
  <si>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</si>
  <si>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</si>
  <si>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</si>
  <si>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</si>
  <si>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</si>
  <si>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</si>
  <si>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</si>
  <si>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</si>
  <si>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</si>
  <si>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</si>
  <si>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</si>
  <si>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</si>
  <si>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</si>
  <si>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</si>
  <si>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</si>
  <si>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</si>
  <si>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</si>
  <si>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</si>
  <si>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</si>
  <si>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</si>
  <si>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</si>
  <si>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</si>
  <si>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</si>
  <si>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</si>
  <si>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</si>
  <si>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</si>
  <si>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</si>
  <si>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</si>
  <si>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</si>
  <si>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</si>
  <si>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</si>
  <si>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</si>
  <si>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</si>
  <si>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</si>
  <si>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</si>
  <si>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</si>
  <si>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</si>
  <si>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</si>
  <si>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</si>
  <si>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</si>
  <si>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</si>
  <si>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</si>
  <si>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</si>
  <si>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</si>
  <si>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</si>
  <si>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</si>
  <si>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</si>
  <si>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</si>
  <si>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</si>
  <si>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</si>
  <si>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</si>
  <si>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</si>
  <si>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</si>
  <si>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</si>
  <si>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</si>
  <si>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</si>
  <si>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</si>
  <si>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</si>
  <si>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</si>
  <si>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</si>
  <si>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</si>
  <si>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</si>
  <si>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</si>
  <si>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</si>
  <si>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</si>
  <si>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</si>
  <si>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</si>
  <si>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</si>
  <si>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</si>
  <si>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</si>
  <si>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</si>
  <si>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</si>
  <si>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</si>
  <si>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</si>
  <si>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</si>
  <si>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</si>
  <si>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</si>
  <si>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</si>
  <si>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</si>
  <si>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</si>
  <si>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</si>
  <si>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</si>
  <si>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</si>
  <si>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</si>
  <si>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</si>
  <si>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</si>
  <si>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</si>
  <si>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</si>
  <si>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</si>
  <si>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</si>
  <si>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</si>
  <si>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</si>
  <si>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</si>
  <si>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</si>
  <si>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</si>
  <si>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</si>
  <si>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</si>
  <si>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</si>
  <si>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</si>
  <si>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</si>
  <si>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</si>
  <si>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</si>
  <si>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</si>
  <si>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</si>
  <si>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</si>
  <si>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</si>
  <si>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</si>
  <si>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</si>
  <si>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</si>
  <si>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</si>
  <si>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</si>
  <si>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</si>
  <si>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</si>
  <si>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</si>
  <si>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</si>
  <si>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</si>
  <si>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</si>
  <si>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</si>
  <si>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</si>
  <si>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</si>
  <si>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</si>
  <si>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</si>
  <si>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</si>
  <si>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</si>
  <si>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</si>
  <si>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</si>
  <si>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</si>
  <si>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</si>
  <si>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</si>
  <si>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</si>
  <si>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</si>
  <si>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</si>
  <si>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</si>
  <si>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</si>
  <si>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</si>
  <si>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</si>
  <si>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</si>
  <si>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</si>
  <si>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</si>
  <si>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</si>
  <si>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</si>
  <si>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</si>
  <si>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</si>
  <si>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</si>
  <si>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</si>
  <si>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</si>
  <si>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</si>
  <si>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</si>
  <si>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</si>
  <si>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</si>
  <si>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</si>
  <si>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</si>
  <si>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</si>
  <si>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</si>
  <si>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</si>
  <si>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</si>
  <si>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</si>
  <si>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</si>
  <si>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</si>
  <si>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</si>
  <si>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</si>
  <si>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</si>
  <si>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</si>
  <si>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</si>
  <si>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</si>
  <si>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</si>
  <si>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</si>
  <si>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</si>
  <si>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</si>
  <si>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</si>
  <si>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</si>
  <si>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</si>
  <si>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</si>
  <si>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</si>
  <si>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</si>
  <si>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</si>
  <si>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</si>
  <si>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</si>
  <si>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</si>
  <si>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</si>
  <si>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</si>
  <si>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</si>
  <si>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</si>
  <si>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</si>
  <si>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</si>
  <si>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</si>
  <si>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</si>
  <si>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</si>
  <si>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</si>
  <si>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</si>
  <si>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</si>
  <si>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</si>
  <si>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</si>
  <si>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</si>
  <si>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</si>
  <si>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</si>
  <si>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</si>
  <si>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</si>
  <si>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</si>
  <si>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</si>
  <si>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</si>
  <si>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</si>
  <si>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</si>
  <si>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</si>
  <si>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</si>
  <si>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</si>
  <si>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</si>
  <si>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</si>
  <si>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</si>
  <si>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</si>
  <si>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</si>
  <si>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</si>
  <si>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</si>
  <si>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</si>
  <si>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</si>
  <si>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</si>
  <si>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</si>
  <si>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</si>
  <si>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</si>
  <si>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</si>
  <si>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</si>
  <si>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</si>
  <si>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</si>
  <si>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</si>
  <si>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</si>
  <si>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</si>
  <si>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</si>
  <si>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</si>
  <si>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</si>
  <si>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</si>
  <si>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</si>
  <si>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</si>
  <si>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</si>
  <si>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</si>
  <si>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</si>
  <si>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</si>
  <si>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</si>
  <si>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</si>
  <si>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</si>
  <si>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</si>
  <si>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</si>
  <si>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</si>
  <si>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</si>
  <si>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</si>
  <si>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</si>
  <si>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</si>
  <si>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</si>
  <si>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</si>
  <si>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</si>
  <si>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</si>
  <si>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</si>
  <si>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</si>
  <si>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</si>
  <si>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</si>
  <si>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</si>
  <si>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</si>
  <si>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</si>
  <si>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</si>
  <si>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</si>
  <si>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</si>
  <si>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</si>
  <si>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</si>
  <si>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</si>
  <si>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</si>
  <si>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</si>
  <si>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</si>
  <si>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</si>
  <si>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</si>
  <si>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</si>
  <si>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</si>
  <si>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</si>
  <si>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</si>
  <si>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</si>
  <si>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</si>
  <si>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</si>
  <si>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</si>
  <si>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</si>
  <si>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</si>
  <si>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</si>
  <si>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</si>
  <si>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</si>
  <si>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</si>
  <si>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</si>
  <si>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</si>
  <si>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</si>
  <si>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</si>
  <si>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</si>
  <si>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</si>
  <si>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</si>
  <si>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</si>
  <si>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</si>
  <si>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</si>
  <si>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</si>
  <si>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</si>
  <si>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</si>
  <si>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</si>
  <si>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</si>
  <si>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</si>
  <si>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</si>
  <si>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</si>
  <si>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</si>
  <si>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</si>
  <si>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</si>
  <si>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</si>
  <si>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</si>
  <si>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</si>
  <si>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</si>
  <si>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</si>
  <si>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</si>
  <si>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</si>
  <si>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</si>
  <si>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</si>
  <si>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</si>
  <si>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</si>
  <si>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</si>
  <si>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</si>
  <si>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</si>
  <si>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</si>
  <si>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</si>
  <si>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</si>
  <si>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</si>
  <si>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</si>
  <si>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</si>
  <si>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</si>
  <si>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</si>
  <si>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</si>
  <si>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</si>
  <si>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</si>
  <si>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</si>
  <si>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</si>
  <si>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</si>
  <si>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</si>
  <si>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</si>
  <si>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</si>
  <si>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</si>
  <si>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</si>
  <si>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</si>
  <si>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</si>
  <si>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</si>
  <si>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</si>
  <si>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</si>
  <si>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</si>
  <si>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</si>
  <si>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</si>
  <si>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</si>
  <si>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</si>
  <si>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</si>
  <si>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</si>
  <si>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</si>
  <si>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</si>
  <si>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</si>
  <si>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</si>
  <si>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</si>
  <si>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</si>
  <si>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</si>
  <si>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</si>
  <si>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</si>
  <si>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</si>
  <si>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</si>
  <si>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</si>
  <si>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</si>
  <si>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</si>
  <si>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</si>
  <si>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</si>
  <si>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</si>
  <si>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</si>
  <si>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</si>
  <si>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</si>
  <si>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</si>
  <si>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</si>
  <si>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</si>
  <si>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</si>
  <si>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</si>
  <si>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</si>
  <si>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</si>
  <si>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</si>
  <si>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</si>
  <si>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</si>
  <si>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</si>
  <si>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</si>
  <si>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</si>
  <si>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</si>
  <si>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</si>
  <si>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</si>
  <si>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</si>
  <si>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</si>
  <si>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</si>
  <si>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</si>
  <si>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</si>
  <si>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</si>
  <si>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</si>
  <si>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</si>
  <si>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</si>
  <si>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</si>
  <si>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</si>
  <si>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</si>
  <si>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</si>
  <si>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</si>
  <si>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</si>
  <si>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</si>
  <si>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</si>
  <si>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</si>
  <si>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</si>
  <si>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</si>
  <si>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</si>
  <si>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</si>
  <si>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</si>
  <si>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</si>
  <si>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</si>
  <si>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</si>
  <si>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</si>
  <si>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</si>
  <si>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</si>
  <si>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</si>
  <si>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</si>
  <si>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</si>
  <si>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</si>
  <si>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</si>
  <si>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</si>
  <si>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</si>
  <si>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</si>
  <si>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</si>
  <si>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</si>
  <si>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</si>
  <si>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</si>
  <si>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</si>
  <si>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</si>
  <si>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</si>
  <si>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</si>
  <si>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</si>
  <si>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</si>
  <si>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</si>
  <si>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</si>
  <si>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</si>
  <si>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</si>
  <si>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</si>
  <si>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</si>
  <si>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</si>
  <si>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</si>
  <si>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</si>
  <si>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</si>
  <si>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</si>
  <si>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</si>
  <si>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</si>
  <si>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</si>
  <si>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</si>
  <si>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</si>
  <si>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</si>
  <si>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</si>
  <si>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</si>
  <si>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</si>
  <si>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</si>
  <si>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</si>
  <si>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</si>
  <si>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</si>
  <si>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</si>
  <si>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</si>
  <si>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</si>
  <si>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</si>
  <si>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</si>
  <si>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</si>
  <si>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</si>
  <si>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</si>
  <si>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</si>
  <si>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</si>
  <si>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</si>
  <si>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</si>
  <si>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</si>
  <si>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</si>
  <si>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</si>
  <si>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</si>
  <si>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</si>
  <si>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</si>
  <si>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</si>
  <si>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</si>
  <si>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</si>
  <si>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</si>
  <si>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</si>
  <si>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</si>
  <si>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</si>
  <si>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</si>
  <si>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</si>
  <si>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</si>
  <si>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</si>
  <si>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</si>
  <si>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</si>
  <si>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</si>
  <si>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</si>
  <si>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</si>
  <si>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</si>
  <si>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</si>
  <si>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</si>
  <si>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</si>
  <si>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</si>
  <si>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</si>
  <si>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</si>
  <si>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</si>
  <si>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</si>
  <si>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</si>
  <si>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</si>
  <si>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</si>
  <si>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</si>
  <si>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</si>
  <si>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</si>
  <si>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</si>
  <si>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</si>
  <si>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</si>
  <si>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</si>
  <si>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</si>
  <si>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</si>
  <si>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</si>
  <si>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</si>
  <si>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</si>
  <si>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</si>
  <si>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</si>
  <si>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</si>
  <si>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</si>
  <si>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</si>
  <si>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</si>
  <si>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</si>
  <si>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</si>
  <si>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</si>
  <si>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</si>
  <si>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</si>
  <si>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</si>
  <si>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</si>
  <si>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</si>
  <si>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</si>
  <si>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</si>
  <si>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</si>
  <si>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</si>
  <si>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</si>
  <si>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</si>
  <si>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</si>
  <si>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</si>
  <si>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</si>
  <si>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</si>
  <si>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</si>
  <si>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</si>
  <si>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</si>
  <si>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</si>
  <si>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</si>
  <si>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</si>
  <si>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</si>
  <si>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</si>
  <si>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</si>
  <si>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</si>
  <si>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</si>
  <si>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</si>
  <si>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</si>
  <si>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</si>
  <si>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</si>
  <si>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</si>
  <si>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</si>
  <si>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</si>
  <si>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</si>
  <si>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</si>
  <si>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</si>
  <si>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</si>
  <si>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</si>
  <si>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</si>
  <si>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</si>
  <si>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</si>
  <si>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</si>
  <si>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</si>
  <si>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</si>
  <si>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</si>
  <si>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</si>
  <si>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</si>
  <si>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</si>
  <si>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</si>
  <si>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</si>
  <si>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</si>
  <si>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</si>
  <si>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</si>
  <si>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</si>
  <si>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</si>
  <si>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</si>
  <si>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</si>
  <si>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</si>
  <si>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</si>
  <si>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</si>
  <si>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</si>
  <si>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</si>
  <si>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</si>
  <si>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</si>
  <si>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</si>
  <si>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</si>
  <si>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</si>
  <si>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</si>
  <si>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</si>
  <si>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</si>
  <si>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</si>
  <si>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</si>
  <si>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</si>
  <si>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</si>
  <si>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</si>
  <si>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</si>
  <si>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</si>
  <si>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</si>
  <si>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</si>
  <si>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</si>
  <si>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</si>
  <si>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</si>
  <si>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</si>
  <si>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</si>
  <si>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</si>
  <si>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</si>
  <si>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</si>
  <si>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</si>
  <si>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</si>
  <si>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</si>
  <si>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</si>
  <si>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</si>
  <si>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</si>
  <si>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</si>
  <si>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</si>
  <si>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</si>
  <si>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</si>
  <si>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</si>
  <si>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</si>
  <si>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</si>
  <si>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</si>
  <si>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</si>
  <si>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</si>
  <si>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</si>
  <si>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</si>
  <si>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</si>
  <si>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</si>
  <si>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</si>
  <si>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</si>
  <si>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</si>
  <si>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</si>
  <si>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</si>
  <si>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</si>
  <si>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</si>
  <si>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</si>
  <si>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</si>
  <si>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</si>
  <si>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</si>
  <si>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</si>
  <si>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</si>
  <si>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</si>
  <si>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</si>
  <si>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</si>
  <si>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</si>
  <si>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</si>
  <si>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</si>
  <si>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</si>
  <si>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</si>
  <si>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</si>
  <si>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</si>
  <si>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</si>
  <si>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</si>
  <si>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</si>
  <si>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</si>
  <si>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</si>
  <si>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</si>
  <si>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</si>
  <si>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</si>
  <si>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</si>
  <si>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</si>
  <si>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</si>
  <si>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</si>
  <si>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</si>
  <si>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</si>
  <si>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</si>
  <si>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</si>
  <si>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</si>
  <si>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</si>
  <si>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</si>
  <si>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</si>
  <si>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</si>
  <si>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</si>
  <si>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</si>
  <si>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</si>
  <si>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</si>
  <si>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</si>
  <si>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</si>
  <si>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</si>
  <si>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</si>
  <si>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</si>
  <si>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</si>
  <si>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</si>
  <si>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</si>
  <si>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</si>
  <si>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</si>
  <si>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</si>
  <si>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</si>
  <si>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</si>
  <si>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</si>
  <si>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</si>
  <si>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</si>
  <si>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</si>
  <si>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</si>
  <si>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</si>
  <si>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</si>
  <si>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</si>
  <si>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</si>
  <si>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</si>
  <si>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</si>
  <si>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</si>
  <si>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</si>
  <si>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</si>
  <si>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</si>
  <si>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</si>
  <si>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</si>
  <si>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</si>
  <si>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</si>
  <si>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</si>
  <si>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</si>
  <si>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</si>
  <si>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</si>
  <si>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</si>
  <si>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</si>
  <si>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</si>
  <si>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</si>
  <si>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</si>
  <si>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</si>
  <si>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</si>
  <si>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</si>
  <si>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</si>
  <si>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</si>
  <si>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</si>
  <si>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</si>
  <si>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</si>
  <si>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</si>
  <si>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</si>
  <si>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</si>
  <si>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</si>
  <si>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</si>
  <si>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</si>
  <si>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</si>
  <si>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</si>
  <si>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</si>
  <si>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</si>
  <si>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</si>
  <si>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</si>
  <si>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</si>
  <si>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</si>
  <si>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</si>
  <si>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</si>
  <si>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</si>
  <si>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</si>
  <si>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</si>
  <si>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</si>
  <si>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</si>
  <si>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</si>
  <si>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</si>
  <si>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</si>
  <si>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</si>
  <si>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</si>
  <si>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</si>
  <si>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</si>
  <si>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</si>
  <si>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</si>
  <si>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</si>
  <si>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</si>
  <si>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</si>
  <si>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</si>
  <si>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</si>
  <si>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</si>
  <si>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</si>
  <si>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</si>
  <si>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</si>
  <si>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</si>
  <si>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</si>
  <si>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</si>
  <si>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</si>
  <si>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</si>
  <si>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</si>
  <si>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</si>
  <si>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</si>
  <si>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</si>
  <si>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</si>
  <si>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</si>
  <si>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</si>
  <si>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</si>
  <si>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</si>
  <si>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</si>
  <si>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</si>
  <si>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</si>
  <si>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</si>
  <si>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</si>
  <si>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</si>
  <si>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</si>
  <si>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</si>
  <si>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</si>
  <si>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</si>
  <si>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</si>
  <si>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</si>
  <si>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</si>
  <si>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</si>
  <si>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</si>
  <si>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</si>
  <si>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</si>
  <si>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</si>
  <si>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B38</t>
  </si>
  <si>
    <t>B39</t>
    <phoneticPr fontId="244" type="noConversion"/>
  </si>
  <si>
    <t>B40</t>
    <phoneticPr fontId="244" type="noConversion"/>
  </si>
  <si>
    <t>B41</t>
    <phoneticPr fontId="244" type="noConversion"/>
  </si>
  <si>
    <t>B42</t>
    <phoneticPr fontId="244" type="noConversion"/>
  </si>
  <si>
    <t>B43</t>
    <phoneticPr fontId="244" type="noConversion"/>
  </si>
  <si>
    <t>B44</t>
    <phoneticPr fontId="244" type="noConversion"/>
  </si>
  <si>
    <t>B45</t>
    <phoneticPr fontId="244" type="noConversion"/>
  </si>
  <si>
    <t>B46</t>
    <phoneticPr fontId="244" type="noConversion"/>
  </si>
  <si>
    <t>B47</t>
    <phoneticPr fontId="244" type="noConversion"/>
  </si>
  <si>
    <t>B48-1</t>
    <phoneticPr fontId="244" type="noConversion"/>
  </si>
  <si>
    <t>B48-2</t>
    <phoneticPr fontId="244" type="noConversion"/>
  </si>
  <si>
    <t>B49</t>
    <phoneticPr fontId="244" type="noConversion"/>
  </si>
  <si>
    <t>B50</t>
    <phoneticPr fontId="244" type="noConversion"/>
  </si>
  <si>
    <t>B51</t>
    <phoneticPr fontId="244" type="noConversion"/>
  </si>
  <si>
    <t>B52</t>
    <phoneticPr fontId="244" type="noConversion"/>
  </si>
  <si>
    <t>B53</t>
    <phoneticPr fontId="244" type="noConversion"/>
  </si>
  <si>
    <t>B54</t>
    <phoneticPr fontId="244" type="noConversion"/>
  </si>
  <si>
    <t>B55</t>
    <phoneticPr fontId="244" type="noConversion"/>
  </si>
  <si>
    <t>B56</t>
    <phoneticPr fontId="244" type="noConversion"/>
  </si>
  <si>
    <t>B57</t>
    <phoneticPr fontId="244" type="noConversion"/>
  </si>
  <si>
    <t>B58</t>
    <phoneticPr fontId="244" type="noConversion"/>
  </si>
  <si>
    <t>B59</t>
    <phoneticPr fontId="244" type="noConversion"/>
  </si>
  <si>
    <t>B60</t>
    <phoneticPr fontId="244" type="noConversion"/>
  </si>
  <si>
    <t>B61</t>
    <phoneticPr fontId="244" type="noConversion"/>
  </si>
  <si>
    <t>B62</t>
    <phoneticPr fontId="244" type="noConversion"/>
  </si>
  <si>
    <t>C01</t>
    <phoneticPr fontId="244" type="noConversion"/>
  </si>
  <si>
    <t>C02</t>
    <phoneticPr fontId="244" type="noConversion"/>
  </si>
  <si>
    <t>C03</t>
    <phoneticPr fontId="244" type="noConversion"/>
  </si>
  <si>
    <t>C04</t>
    <phoneticPr fontId="244" type="noConversion"/>
  </si>
  <si>
    <t>C05</t>
    <phoneticPr fontId="244" type="noConversion"/>
  </si>
  <si>
    <t>C06</t>
    <phoneticPr fontId="244" type="noConversion"/>
  </si>
  <si>
    <t>C31</t>
    <phoneticPr fontId="244" type="noConversion"/>
  </si>
  <si>
    <t>C32</t>
    <phoneticPr fontId="244" type="noConversion"/>
  </si>
  <si>
    <t>C33</t>
    <phoneticPr fontId="244" type="noConversion"/>
  </si>
  <si>
    <t>C34</t>
    <phoneticPr fontId="244" type="noConversion"/>
  </si>
  <si>
    <t>C35</t>
    <phoneticPr fontId="244" type="noConversion"/>
  </si>
  <si>
    <t>C36</t>
    <phoneticPr fontId="244" type="noConversion"/>
  </si>
  <si>
    <t>C37-1</t>
    <phoneticPr fontId="244" type="noConversion"/>
  </si>
  <si>
    <t>C37-2</t>
    <phoneticPr fontId="244" type="noConversion"/>
  </si>
  <si>
    <t>C52</t>
    <phoneticPr fontId="244" type="noConversion"/>
  </si>
  <si>
    <t>C53</t>
    <phoneticPr fontId="244" type="noConversion"/>
  </si>
  <si>
    <t>C54</t>
    <phoneticPr fontId="244" type="noConversion"/>
  </si>
  <si>
    <t>C55</t>
    <phoneticPr fontId="244" type="noConversion"/>
  </si>
  <si>
    <t>C56</t>
    <phoneticPr fontId="244" type="noConversion"/>
  </si>
  <si>
    <t>C57</t>
    <phoneticPr fontId="244" type="noConversion"/>
  </si>
  <si>
    <t>C58</t>
    <phoneticPr fontId="244" type="noConversion"/>
  </si>
  <si>
    <t>C59</t>
    <phoneticPr fontId="244" type="noConversion"/>
  </si>
  <si>
    <t>C60</t>
    <phoneticPr fontId="244" type="noConversion"/>
  </si>
  <si>
    <t>C61-1</t>
    <phoneticPr fontId="244" type="noConversion"/>
  </si>
  <si>
    <t>C61-2</t>
    <phoneticPr fontId="244" type="noConversion"/>
  </si>
  <si>
    <t>C62</t>
    <phoneticPr fontId="244" type="noConversion"/>
  </si>
  <si>
    <t>C63</t>
    <phoneticPr fontId="244" type="noConversion"/>
  </si>
  <si>
    <t>C64</t>
    <phoneticPr fontId="244" type="noConversion"/>
  </si>
  <si>
    <t>C65</t>
    <phoneticPr fontId="244" type="noConversion"/>
  </si>
  <si>
    <t>C66</t>
    <phoneticPr fontId="244" type="noConversion"/>
  </si>
  <si>
    <t>C67</t>
    <phoneticPr fontId="244" type="noConversion"/>
  </si>
  <si>
    <t>C68</t>
    <phoneticPr fontId="244" type="noConversion"/>
  </si>
  <si>
    <t>C69</t>
    <phoneticPr fontId="244" type="noConversion"/>
  </si>
  <si>
    <t>C70</t>
    <phoneticPr fontId="244" type="noConversion"/>
  </si>
  <si>
    <t>C71</t>
    <phoneticPr fontId="244" type="noConversion"/>
  </si>
  <si>
    <t>C72</t>
    <phoneticPr fontId="244" type="noConversion"/>
  </si>
  <si>
    <t>D01</t>
    <phoneticPr fontId="244" type="noConversion"/>
  </si>
  <si>
    <t>D02</t>
    <phoneticPr fontId="244" type="noConversion"/>
  </si>
  <si>
    <t>D03</t>
    <phoneticPr fontId="244" type="noConversion"/>
  </si>
  <si>
    <t>D04</t>
    <phoneticPr fontId="244" type="noConversion"/>
  </si>
  <si>
    <t>D05</t>
    <phoneticPr fontId="244" type="noConversion"/>
  </si>
  <si>
    <t>D06</t>
    <phoneticPr fontId="244" type="noConversion"/>
  </si>
  <si>
    <t>D07</t>
    <phoneticPr fontId="244" type="noConversion"/>
  </si>
  <si>
    <t>D08</t>
    <phoneticPr fontId="244" type="noConversion"/>
  </si>
  <si>
    <t>D09</t>
    <phoneticPr fontId="244" type="noConversion"/>
  </si>
  <si>
    <t>D10-1</t>
    <phoneticPr fontId="244" type="noConversion"/>
  </si>
  <si>
    <t>D10-2</t>
    <phoneticPr fontId="244" type="noConversion"/>
  </si>
  <si>
    <t>D11</t>
    <phoneticPr fontId="244" type="noConversion"/>
  </si>
  <si>
    <t>D12</t>
    <phoneticPr fontId="244" type="noConversion"/>
  </si>
  <si>
    <t>D13</t>
    <phoneticPr fontId="244" type="noConversion"/>
  </si>
  <si>
    <t>D14-1</t>
    <phoneticPr fontId="244" type="noConversion"/>
  </si>
  <si>
    <t>D14-2</t>
    <phoneticPr fontId="244" type="noConversion"/>
  </si>
  <si>
    <t>D15</t>
    <phoneticPr fontId="244" type="noConversion"/>
  </si>
  <si>
    <t>D16</t>
    <phoneticPr fontId="244" type="noConversion"/>
  </si>
  <si>
    <t>D20</t>
    <phoneticPr fontId="244" type="noConversion"/>
  </si>
  <si>
    <t>D21</t>
    <phoneticPr fontId="244" type="noConversion"/>
  </si>
  <si>
    <t>D22</t>
    <phoneticPr fontId="244" type="noConversion"/>
  </si>
  <si>
    <t>D23</t>
    <phoneticPr fontId="244" type="noConversion"/>
  </si>
  <si>
    <t>D24</t>
    <phoneticPr fontId="244" type="noConversion"/>
  </si>
  <si>
    <t>D25</t>
    <phoneticPr fontId="244" type="noConversion"/>
  </si>
  <si>
    <t>D26</t>
    <phoneticPr fontId="244" type="noConversion"/>
  </si>
  <si>
    <t>D27</t>
    <phoneticPr fontId="244" type="noConversion"/>
  </si>
  <si>
    <t>D28</t>
    <phoneticPr fontId="244" type="noConversion"/>
  </si>
  <si>
    <t>D29</t>
    <phoneticPr fontId="244" type="noConversion"/>
  </si>
  <si>
    <t>D30</t>
    <phoneticPr fontId="244" type="noConversion"/>
  </si>
  <si>
    <t>D31</t>
    <phoneticPr fontId="244" type="noConversion"/>
  </si>
  <si>
    <t>D32</t>
    <phoneticPr fontId="244" type="noConversion"/>
  </si>
  <si>
    <t>D33</t>
    <phoneticPr fontId="244" type="noConversion"/>
  </si>
  <si>
    <t>D34</t>
    <phoneticPr fontId="244" type="noConversion"/>
  </si>
  <si>
    <t>D35</t>
    <phoneticPr fontId="244" type="noConversion"/>
  </si>
  <si>
    <t>D36</t>
    <phoneticPr fontId="244" type="noConversion"/>
  </si>
  <si>
    <t>D37</t>
    <phoneticPr fontId="244" type="noConversion"/>
  </si>
  <si>
    <t>D38</t>
    <phoneticPr fontId="244" type="noConversion"/>
  </si>
  <si>
    <t>D39</t>
    <phoneticPr fontId="244" type="noConversion"/>
  </si>
  <si>
    <t>D40</t>
    <phoneticPr fontId="244" type="noConversion"/>
  </si>
  <si>
    <t>D41</t>
    <phoneticPr fontId="244" type="noConversion"/>
  </si>
  <si>
    <t>D42</t>
    <phoneticPr fontId="244" type="noConversion"/>
  </si>
  <si>
    <t>D43</t>
    <phoneticPr fontId="244" type="noConversion"/>
  </si>
  <si>
    <t>D44</t>
    <phoneticPr fontId="244" type="noConversion"/>
  </si>
  <si>
    <t>D45</t>
    <phoneticPr fontId="244" type="noConversion"/>
  </si>
  <si>
    <t>D46</t>
  </si>
  <si>
    <t>D47</t>
    <phoneticPr fontId="244" type="noConversion"/>
  </si>
  <si>
    <t>D48</t>
    <phoneticPr fontId="244" type="noConversion"/>
  </si>
  <si>
    <t>D49</t>
    <phoneticPr fontId="244" type="noConversion"/>
  </si>
  <si>
    <t>D50</t>
    <phoneticPr fontId="244" type="noConversion"/>
  </si>
  <si>
    <t>D51</t>
    <phoneticPr fontId="244" type="noConversion"/>
  </si>
  <si>
    <t>D52</t>
    <phoneticPr fontId="244" type="noConversion"/>
  </si>
  <si>
    <t>D53</t>
    <phoneticPr fontId="244" type="noConversion"/>
  </si>
  <si>
    <t>D54</t>
    <phoneticPr fontId="244" type="noConversion"/>
  </si>
  <si>
    <t>D55</t>
    <phoneticPr fontId="244" type="noConversion"/>
  </si>
  <si>
    <t>D56</t>
    <phoneticPr fontId="244" type="noConversion"/>
  </si>
  <si>
    <t>D57</t>
    <phoneticPr fontId="244" type="noConversion"/>
  </si>
  <si>
    <t>D58</t>
    <phoneticPr fontId="244" type="noConversion"/>
  </si>
  <si>
    <t>D59</t>
    <phoneticPr fontId="244" type="noConversion"/>
  </si>
  <si>
    <t>D60</t>
    <phoneticPr fontId="244" type="noConversion"/>
  </si>
  <si>
    <t>D61</t>
    <phoneticPr fontId="244" type="noConversion"/>
  </si>
  <si>
    <t>D62</t>
    <phoneticPr fontId="244" type="noConversion"/>
  </si>
  <si>
    <t>D63</t>
    <phoneticPr fontId="244" type="noConversion"/>
  </si>
  <si>
    <t>D64</t>
    <phoneticPr fontId="244" type="noConversion"/>
  </si>
  <si>
    <t>D65</t>
    <phoneticPr fontId="244" type="noConversion"/>
  </si>
  <si>
    <t>D66</t>
    <phoneticPr fontId="244" type="noConversion"/>
  </si>
  <si>
    <t>D67</t>
    <phoneticPr fontId="244" type="noConversion"/>
  </si>
  <si>
    <t>D68</t>
    <phoneticPr fontId="244" type="noConversion"/>
  </si>
  <si>
    <t>D69</t>
    <phoneticPr fontId="244" type="noConversion"/>
  </si>
  <si>
    <t>D79</t>
    <phoneticPr fontId="244" type="noConversion"/>
  </si>
  <si>
    <t>D80</t>
    <phoneticPr fontId="244" type="noConversion"/>
  </si>
  <si>
    <t>D81</t>
    <phoneticPr fontId="244" type="noConversion"/>
  </si>
  <si>
    <t>D82</t>
    <phoneticPr fontId="244" type="noConversion"/>
  </si>
  <si>
    <t>D83</t>
    <phoneticPr fontId="244" type="noConversion"/>
  </si>
  <si>
    <t>D84</t>
    <phoneticPr fontId="244" type="noConversion"/>
  </si>
  <si>
    <t>D85</t>
    <phoneticPr fontId="244" type="noConversion"/>
  </si>
  <si>
    <t>D86</t>
    <phoneticPr fontId="244" type="noConversion"/>
  </si>
  <si>
    <t>F32</t>
    <phoneticPr fontId="244" type="noConversion"/>
  </si>
  <si>
    <t>F33</t>
    <phoneticPr fontId="244" type="noConversion"/>
  </si>
  <si>
    <t>F34</t>
    <phoneticPr fontId="244" type="noConversion"/>
  </si>
  <si>
    <t>F35</t>
    <phoneticPr fontId="244" type="noConversion"/>
  </si>
  <si>
    <t>F36</t>
    <phoneticPr fontId="244" type="noConversion"/>
  </si>
  <si>
    <t>F37</t>
    <phoneticPr fontId="244" type="noConversion"/>
  </si>
  <si>
    <t>F39</t>
    <phoneticPr fontId="244" type="noConversion"/>
  </si>
  <si>
    <t>F40</t>
    <phoneticPr fontId="244" type="noConversion"/>
  </si>
  <si>
    <t>F41</t>
    <phoneticPr fontId="244" type="noConversion"/>
  </si>
  <si>
    <t>F42</t>
    <phoneticPr fontId="244" type="noConversion"/>
  </si>
  <si>
    <t>F43</t>
    <phoneticPr fontId="244" type="noConversion"/>
  </si>
  <si>
    <t>F44</t>
    <phoneticPr fontId="244" type="noConversion"/>
  </si>
  <si>
    <t>F45</t>
    <phoneticPr fontId="244" type="noConversion"/>
  </si>
  <si>
    <t>F46</t>
    <phoneticPr fontId="244" type="noConversion"/>
  </si>
  <si>
    <t>F47</t>
    <phoneticPr fontId="244" type="noConversion"/>
  </si>
  <si>
    <t>F48</t>
    <phoneticPr fontId="244" type="noConversion"/>
  </si>
  <si>
    <t>F49-1</t>
    <phoneticPr fontId="244" type="noConversion"/>
  </si>
  <si>
    <t>F49-2</t>
    <phoneticPr fontId="244" type="noConversion"/>
  </si>
  <si>
    <t>F50</t>
    <phoneticPr fontId="244" type="noConversion"/>
  </si>
  <si>
    <t>F51</t>
    <phoneticPr fontId="244" type="noConversion"/>
  </si>
  <si>
    <t>F52</t>
    <phoneticPr fontId="244" type="noConversion"/>
  </si>
  <si>
    <t>F53</t>
    <phoneticPr fontId="244" type="noConversion"/>
  </si>
  <si>
    <t>F54</t>
    <phoneticPr fontId="244" type="noConversion"/>
  </si>
  <si>
    <t>F55</t>
    <phoneticPr fontId="244" type="noConversion"/>
  </si>
  <si>
    <t>F56</t>
    <phoneticPr fontId="244" type="noConversion"/>
  </si>
  <si>
    <t>F57</t>
    <phoneticPr fontId="244" type="noConversion"/>
  </si>
  <si>
    <t>G01</t>
    <phoneticPr fontId="244" type="noConversion"/>
  </si>
  <si>
    <t>G02</t>
    <phoneticPr fontId="244" type="noConversion"/>
  </si>
  <si>
    <t>G03</t>
    <phoneticPr fontId="244" type="noConversion"/>
  </si>
  <si>
    <t>G04</t>
    <phoneticPr fontId="244" type="noConversion"/>
  </si>
  <si>
    <t>G05</t>
    <phoneticPr fontId="244" type="noConversion"/>
  </si>
  <si>
    <t>G06</t>
    <phoneticPr fontId="244" type="noConversion"/>
  </si>
  <si>
    <t>G25</t>
    <phoneticPr fontId="244" type="noConversion"/>
  </si>
  <si>
    <t>G26</t>
    <phoneticPr fontId="244" type="noConversion"/>
  </si>
  <si>
    <t>G27</t>
    <phoneticPr fontId="244" type="noConversion"/>
  </si>
  <si>
    <t>G28</t>
    <phoneticPr fontId="244" type="noConversion"/>
  </si>
  <si>
    <t>G29</t>
    <phoneticPr fontId="244" type="noConversion"/>
  </si>
  <si>
    <t>G30</t>
    <phoneticPr fontId="244" type="noConversion"/>
  </si>
  <si>
    <t>G31</t>
    <phoneticPr fontId="244" type="noConversion"/>
  </si>
  <si>
    <t>G32</t>
    <phoneticPr fontId="244" type="noConversion"/>
  </si>
  <si>
    <t>G33</t>
    <phoneticPr fontId="244" type="noConversion"/>
  </si>
  <si>
    <t>G34</t>
    <phoneticPr fontId="244" type="noConversion"/>
  </si>
  <si>
    <t>G35</t>
    <phoneticPr fontId="244" type="noConversion"/>
  </si>
  <si>
    <t>G36</t>
    <phoneticPr fontId="244" type="noConversion"/>
  </si>
  <si>
    <t>G37-1</t>
    <phoneticPr fontId="244" type="noConversion"/>
  </si>
  <si>
    <t>G37-2</t>
    <phoneticPr fontId="244" type="noConversion"/>
  </si>
  <si>
    <t>G38</t>
    <phoneticPr fontId="244" type="noConversion"/>
  </si>
  <si>
    <t>G39</t>
    <phoneticPr fontId="244" type="noConversion"/>
  </si>
  <si>
    <t>G40</t>
    <phoneticPr fontId="244" type="noConversion"/>
  </si>
  <si>
    <t>G41</t>
    <phoneticPr fontId="244" type="noConversion"/>
  </si>
  <si>
    <t>G42</t>
    <phoneticPr fontId="244" type="noConversion"/>
  </si>
  <si>
    <t>G43</t>
    <phoneticPr fontId="244" type="noConversion"/>
  </si>
  <si>
    <t>G44</t>
    <phoneticPr fontId="244" type="noConversion"/>
  </si>
  <si>
    <t>G45</t>
    <phoneticPr fontId="244" type="noConversion"/>
  </si>
  <si>
    <t>G46</t>
    <phoneticPr fontId="244" type="noConversion"/>
  </si>
  <si>
    <t>G47</t>
    <phoneticPr fontId="244" type="noConversion"/>
  </si>
  <si>
    <t>G48</t>
    <phoneticPr fontId="244" type="noConversion"/>
  </si>
  <si>
    <t>G49-1</t>
    <phoneticPr fontId="244" type="noConversion"/>
  </si>
  <si>
    <t>G49-2</t>
    <phoneticPr fontId="244" type="noConversion"/>
  </si>
  <si>
    <t>G50</t>
    <phoneticPr fontId="244" type="noConversion"/>
  </si>
  <si>
    <t>G51</t>
    <phoneticPr fontId="244" type="noConversion"/>
  </si>
  <si>
    <t>G52</t>
  </si>
  <si>
    <t>G53</t>
    <phoneticPr fontId="244" type="noConversion"/>
  </si>
  <si>
    <t>G54</t>
    <phoneticPr fontId="244" type="noConversion"/>
  </si>
  <si>
    <t>G55</t>
    <phoneticPr fontId="244" type="noConversion"/>
  </si>
  <si>
    <t>G56</t>
    <phoneticPr fontId="244" type="noConversion"/>
  </si>
  <si>
    <t>G57</t>
    <phoneticPr fontId="244" type="noConversion"/>
  </si>
  <si>
    <t>G58</t>
    <phoneticPr fontId="244" type="noConversion"/>
  </si>
  <si>
    <t>G59</t>
    <phoneticPr fontId="244" type="noConversion"/>
  </si>
  <si>
    <t>G60</t>
    <phoneticPr fontId="244" type="noConversion"/>
  </si>
  <si>
    <t>G61-1</t>
    <phoneticPr fontId="244" type="noConversion"/>
  </si>
  <si>
    <t>G61-2</t>
    <phoneticPr fontId="244" type="noConversion"/>
  </si>
  <si>
    <t>G62</t>
    <phoneticPr fontId="244" type="noConversion"/>
  </si>
  <si>
    <t>G63</t>
    <phoneticPr fontId="244" type="noConversion"/>
  </si>
  <si>
    <t>G64</t>
    <phoneticPr fontId="244" type="noConversion"/>
  </si>
  <si>
    <t>G65</t>
    <phoneticPr fontId="244" type="noConversion"/>
  </si>
  <si>
    <t>G66</t>
    <phoneticPr fontId="244" type="noConversion"/>
  </si>
  <si>
    <t>G67</t>
    <phoneticPr fontId="244" type="noConversion"/>
  </si>
  <si>
    <t>G68</t>
    <phoneticPr fontId="244" type="noConversion"/>
  </si>
  <si>
    <t>G69</t>
    <phoneticPr fontId="244" type="noConversion"/>
  </si>
  <si>
    <t>G70</t>
    <phoneticPr fontId="244" type="noConversion"/>
  </si>
  <si>
    <t>G71</t>
    <phoneticPr fontId="244" type="noConversion"/>
  </si>
  <si>
    <t>G72</t>
    <phoneticPr fontId="244" type="noConversion"/>
  </si>
  <si>
    <t>H01</t>
    <phoneticPr fontId="244" type="noConversion"/>
  </si>
  <si>
    <t>H02</t>
    <phoneticPr fontId="244" type="noConversion"/>
  </si>
  <si>
    <t>H03</t>
    <phoneticPr fontId="244" type="noConversion"/>
  </si>
  <si>
    <t>H04</t>
    <phoneticPr fontId="244" type="noConversion"/>
  </si>
  <si>
    <t>H05</t>
    <phoneticPr fontId="244" type="noConversion"/>
  </si>
  <si>
    <t>H06</t>
    <phoneticPr fontId="244" type="noConversion"/>
  </si>
  <si>
    <t>H07</t>
    <phoneticPr fontId="244" type="noConversion"/>
  </si>
  <si>
    <t>H08</t>
    <phoneticPr fontId="244" type="noConversion"/>
  </si>
  <si>
    <t>H09</t>
    <phoneticPr fontId="244" type="noConversion"/>
  </si>
  <si>
    <t>H10</t>
    <phoneticPr fontId="244" type="noConversion"/>
  </si>
  <si>
    <t>H11</t>
    <phoneticPr fontId="244" type="noConversion"/>
  </si>
  <si>
    <t>H12</t>
    <phoneticPr fontId="244" type="noConversion"/>
  </si>
  <si>
    <t>H13</t>
    <phoneticPr fontId="244" type="noConversion"/>
  </si>
  <si>
    <t>H14</t>
    <phoneticPr fontId="244" type="noConversion"/>
  </si>
  <si>
    <t>H15</t>
    <phoneticPr fontId="244" type="noConversion"/>
  </si>
  <si>
    <t>H16</t>
    <phoneticPr fontId="244" type="noConversion"/>
  </si>
  <si>
    <r>
      <t>H17</t>
    </r>
    <r>
      <rPr>
        <sz val="9"/>
        <rFont val="宋体"/>
        <family val="3"/>
        <charset val="134"/>
      </rPr>
      <t/>
    </r>
    <phoneticPr fontId="244" type="noConversion"/>
  </si>
  <si>
    <t>H18</t>
    <phoneticPr fontId="244" type="noConversion"/>
  </si>
  <si>
    <t>H19</t>
    <phoneticPr fontId="244" type="noConversion"/>
  </si>
  <si>
    <t>H20</t>
    <phoneticPr fontId="244" type="noConversion"/>
  </si>
  <si>
    <t>H21</t>
    <phoneticPr fontId="244" type="noConversion"/>
  </si>
  <si>
    <t>H22</t>
    <phoneticPr fontId="244" type="noConversion"/>
  </si>
  <si>
    <t>H23</t>
    <phoneticPr fontId="244" type="noConversion"/>
  </si>
  <si>
    <t>H24</t>
    <phoneticPr fontId="244" type="noConversion"/>
  </si>
  <si>
    <t>H25</t>
    <phoneticPr fontId="244" type="noConversion"/>
  </si>
  <si>
    <t>H26</t>
    <phoneticPr fontId="244" type="noConversion"/>
  </si>
  <si>
    <t>H27</t>
    <phoneticPr fontId="244" type="noConversion"/>
  </si>
  <si>
    <t>H28</t>
    <phoneticPr fontId="244" type="noConversion"/>
  </si>
  <si>
    <t>H29</t>
    <phoneticPr fontId="244" type="noConversion"/>
  </si>
  <si>
    <t>H30</t>
    <phoneticPr fontId="244" type="noConversion"/>
  </si>
  <si>
    <t>H31</t>
    <phoneticPr fontId="244" type="noConversion"/>
  </si>
  <si>
    <t>H32</t>
  </si>
  <si>
    <t>H33</t>
    <phoneticPr fontId="244" type="noConversion"/>
  </si>
  <si>
    <t>H34</t>
    <phoneticPr fontId="244" type="noConversion"/>
  </si>
  <si>
    <t>H35</t>
    <phoneticPr fontId="244" type="noConversion"/>
  </si>
  <si>
    <t xml:space="preserve">H36 </t>
    <phoneticPr fontId="244" type="noConversion"/>
  </si>
  <si>
    <t>H37</t>
    <phoneticPr fontId="244" type="noConversion"/>
  </si>
  <si>
    <t>H38</t>
    <phoneticPr fontId="244" type="noConversion"/>
  </si>
  <si>
    <t>H39</t>
    <phoneticPr fontId="244" type="noConversion"/>
  </si>
  <si>
    <t>H40</t>
    <phoneticPr fontId="244" type="noConversion"/>
  </si>
  <si>
    <t>H41</t>
    <phoneticPr fontId="244" type="noConversion"/>
  </si>
  <si>
    <t>H42</t>
    <phoneticPr fontId="244" type="noConversion"/>
  </si>
  <si>
    <t>H43</t>
    <phoneticPr fontId="244" type="noConversion"/>
  </si>
  <si>
    <t>H44</t>
    <phoneticPr fontId="244" type="noConversion"/>
  </si>
  <si>
    <r>
      <t>H45</t>
    </r>
    <r>
      <rPr>
        <sz val="9"/>
        <rFont val="宋体"/>
        <family val="3"/>
        <charset val="134"/>
      </rPr>
      <t/>
    </r>
    <phoneticPr fontId="244" type="noConversion"/>
  </si>
  <si>
    <t>H46</t>
    <phoneticPr fontId="244" type="noConversion"/>
  </si>
  <si>
    <t>H47</t>
    <phoneticPr fontId="244" type="noConversion"/>
  </si>
  <si>
    <t>H48</t>
    <phoneticPr fontId="244" type="noConversion"/>
  </si>
  <si>
    <t>H49-1</t>
    <phoneticPr fontId="244" type="noConversion"/>
  </si>
  <si>
    <t>H49-2</t>
    <phoneticPr fontId="244" type="noConversion"/>
  </si>
  <si>
    <t>H50</t>
    <phoneticPr fontId="244" type="noConversion"/>
  </si>
  <si>
    <t>H51</t>
    <phoneticPr fontId="244" type="noConversion"/>
  </si>
  <si>
    <t>H52</t>
    <phoneticPr fontId="244" type="noConversion"/>
  </si>
  <si>
    <t>H53</t>
    <phoneticPr fontId="244" type="noConversion"/>
  </si>
  <si>
    <t>H54</t>
    <phoneticPr fontId="244" type="noConversion"/>
  </si>
  <si>
    <t>H55</t>
    <phoneticPr fontId="244" type="noConversion"/>
  </si>
  <si>
    <t>H56</t>
    <phoneticPr fontId="244" type="noConversion"/>
  </si>
  <si>
    <t>H57</t>
    <phoneticPr fontId="244" type="noConversion"/>
  </si>
  <si>
    <t>H58</t>
    <phoneticPr fontId="244" type="noConversion"/>
  </si>
  <si>
    <t>H59</t>
    <phoneticPr fontId="244" type="noConversion"/>
  </si>
  <si>
    <t>H60</t>
    <phoneticPr fontId="244" type="noConversion"/>
  </si>
  <si>
    <t>H61</t>
    <phoneticPr fontId="244" type="noConversion"/>
  </si>
  <si>
    <t>H62</t>
    <phoneticPr fontId="244" type="noConversion"/>
  </si>
  <si>
    <t>H63</t>
    <phoneticPr fontId="244" type="noConversion"/>
  </si>
  <si>
    <t>H64</t>
    <phoneticPr fontId="244" type="noConversion"/>
  </si>
  <si>
    <t>H65</t>
    <phoneticPr fontId="244" type="noConversion"/>
  </si>
  <si>
    <t>H66</t>
    <phoneticPr fontId="244" type="noConversion"/>
  </si>
  <si>
    <t>H67</t>
    <phoneticPr fontId="244" type="noConversion"/>
  </si>
  <si>
    <t>H68</t>
    <phoneticPr fontId="244" type="noConversion"/>
  </si>
  <si>
    <t>H69</t>
    <phoneticPr fontId="244" type="noConversion"/>
  </si>
  <si>
    <t>H70</t>
    <phoneticPr fontId="244" type="noConversion"/>
  </si>
  <si>
    <t>H79</t>
    <phoneticPr fontId="244" type="noConversion"/>
  </si>
  <si>
    <t>H80</t>
    <phoneticPr fontId="244" type="noConversion"/>
  </si>
  <si>
    <t>H81</t>
    <phoneticPr fontId="244" type="noConversion"/>
  </si>
  <si>
    <t>H82</t>
    <phoneticPr fontId="244" type="noConversion"/>
  </si>
  <si>
    <t>H83</t>
    <phoneticPr fontId="244" type="noConversion"/>
  </si>
  <si>
    <t>H84</t>
    <phoneticPr fontId="244" type="noConversion"/>
  </si>
  <si>
    <t>核定资产</t>
  </si>
  <si>
    <t>房地产市场价值</t>
  </si>
  <si>
    <t>北京市</t>
  </si>
  <si>
    <t>企业</t>
  </si>
  <si>
    <t>与房产证证载一致</t>
  </si>
  <si>
    <t>房屋所有权证</t>
  </si>
  <si>
    <t>国有土地使用证</t>
  </si>
  <si>
    <t>万元</t>
  </si>
  <si>
    <t>楼面单价</t>
  </si>
  <si>
    <t>车库</t>
  </si>
  <si>
    <t>无租约</t>
  </si>
  <si>
    <t>是</t>
  </si>
  <si>
    <t>仅计算典型户型</t>
  </si>
  <si>
    <t>按租金收入计税</t>
  </si>
  <si>
    <t>自定义</t>
  </si>
  <si>
    <t>钢混</t>
  </si>
  <si>
    <t>非生产用房</t>
  </si>
  <si>
    <t>售价</t>
  </si>
  <si>
    <t>正常</t>
    <phoneticPr fontId="26" type="noConversion"/>
  </si>
  <si>
    <t>正常</t>
    <phoneticPr fontId="26" type="noConversion"/>
  </si>
  <si>
    <t>车库</t>
    <phoneticPr fontId="26" type="noConversion"/>
  </si>
  <si>
    <t>车库</t>
    <phoneticPr fontId="26" type="noConversion"/>
  </si>
  <si>
    <t>项目名称</t>
  </si>
  <si>
    <t>区县</t>
  </si>
  <si>
    <t>板块</t>
  </si>
  <si>
    <t>所属企业</t>
  </si>
  <si>
    <t>成交套数(套)</t>
  </si>
  <si>
    <t>成交面积(㎡)</t>
  </si>
  <si>
    <t>成交价格(元/㎡)</t>
  </si>
  <si>
    <t>成交金额(万元)</t>
  </si>
  <si>
    <t>套均总价(万元/套)</t>
  </si>
  <si>
    <t>套均面积(㎡/套)</t>
  </si>
  <si>
    <t>泛海国际居住区</t>
  </si>
  <si>
    <t>朝阳</t>
  </si>
  <si>
    <t>朝阳公园板块</t>
  </si>
  <si>
    <t>泛海控股</t>
  </si>
  <si>
    <t>华龙美晟</t>
  </si>
  <si>
    <t>东城</t>
  </si>
  <si>
    <t>东城板块</t>
  </si>
  <si>
    <t>-</t>
  </si>
  <si>
    <t>景粼原著</t>
  </si>
  <si>
    <t>北朝阳板块</t>
  </si>
  <si>
    <t>保利地产</t>
  </si>
  <si>
    <t>中国铁建广场</t>
  </si>
  <si>
    <t>中国铁建</t>
  </si>
  <si>
    <t>当代MOMA</t>
  </si>
  <si>
    <t>当代置业</t>
  </si>
  <si>
    <t>保利首开·丽湾家园</t>
  </si>
  <si>
    <t>CBD东区板块</t>
  </si>
  <si>
    <t>瑞悦府</t>
  </si>
  <si>
    <t>中粮地产</t>
  </si>
  <si>
    <t>紫御华府</t>
  </si>
  <si>
    <t>亚奥板块</t>
  </si>
  <si>
    <t>公园1872</t>
  </si>
  <si>
    <t>招商蛇口</t>
  </si>
  <si>
    <t>富力城</t>
  </si>
  <si>
    <t>CBD核心板块</t>
  </si>
  <si>
    <t>富力地产</t>
  </si>
  <si>
    <t>富力又一城</t>
  </si>
  <si>
    <t>京沈沿线板块</t>
  </si>
  <si>
    <t>太阳星城</t>
  </si>
  <si>
    <t>太阳宫板块</t>
  </si>
  <si>
    <t>冠城大通</t>
  </si>
  <si>
    <t>首开·琅樾</t>
  </si>
  <si>
    <t>首开股份</t>
  </si>
  <si>
    <t>阳光上东</t>
  </si>
  <si>
    <t>望京板块</t>
  </si>
  <si>
    <t>阳光股份</t>
  </si>
  <si>
    <t>润丰集团</t>
  </si>
  <si>
    <t>臻园</t>
  </si>
  <si>
    <t>华侨城</t>
  </si>
  <si>
    <t>远洋花园（远洋·LA VIE(OCEAN LA VIE)）</t>
  </si>
  <si>
    <t>远洋集团</t>
  </si>
  <si>
    <t>蓝筹名座</t>
  </si>
  <si>
    <t>中关村</t>
  </si>
  <si>
    <t>龙湖集团</t>
  </si>
  <si>
    <t>金茂府</t>
  </si>
  <si>
    <t>CBD南区板块</t>
  </si>
  <si>
    <t>中国中化集团</t>
  </si>
  <si>
    <t>东湖湾</t>
  </si>
  <si>
    <t>北京城建</t>
  </si>
  <si>
    <t>柏林爱乐</t>
  </si>
  <si>
    <t>京通沿线板块</t>
  </si>
  <si>
    <t>北京市城乡房屋建设开发公司</t>
  </si>
  <si>
    <t>励骏华庭</t>
  </si>
  <si>
    <t>双桥恭和苑</t>
  </si>
  <si>
    <t>使馆壹号院</t>
  </si>
  <si>
    <t>融创中国</t>
  </si>
  <si>
    <t>北苑家园望春园</t>
  </si>
  <si>
    <t>北京奥林匹克花园</t>
  </si>
  <si>
    <t>北河沿甲柒拾柒号</t>
  </si>
  <si>
    <t>万科</t>
  </si>
  <si>
    <t>北京建工地产</t>
  </si>
  <si>
    <t>欧陆经典</t>
  </si>
  <si>
    <t>北京香颂</t>
  </si>
  <si>
    <t>万科星园</t>
  </si>
  <si>
    <t>优品国际公寓</t>
  </si>
  <si>
    <t>达义兴业</t>
  </si>
  <si>
    <t>东润枫景</t>
  </si>
  <si>
    <t>紫薇天悦</t>
  </si>
  <si>
    <t>银河湾</t>
  </si>
  <si>
    <t>海晟名苑</t>
  </si>
  <si>
    <t>中国铁建·国际城</t>
  </si>
  <si>
    <t>远洋一方</t>
  </si>
  <si>
    <t>首城国际中心</t>
  </si>
  <si>
    <t>苹果社区</t>
  </si>
  <si>
    <t>今典集团</t>
  </si>
  <si>
    <t>华业玫瑰东方</t>
  </si>
  <si>
    <t>华业资本</t>
  </si>
  <si>
    <t>北京壹号院</t>
  </si>
  <si>
    <t>当页汇总</t>
  </si>
  <si>
    <t>润枫嘉尚</t>
    <phoneticPr fontId="146" type="noConversion"/>
  </si>
  <si>
    <t>元/车位</t>
  </si>
  <si>
    <r>
      <rPr>
        <sz val="10"/>
        <rFont val="宋体"/>
        <family val="3"/>
        <charset val="134"/>
      </rPr>
      <t>首开龙湖</t>
    </r>
    <r>
      <rPr>
        <sz val="10"/>
        <rFont val="Arial"/>
        <family val="2"/>
      </rPr>
      <t>·</t>
    </r>
    <r>
      <rPr>
        <sz val="10"/>
        <rFont val="宋体"/>
        <family val="3"/>
        <charset val="134"/>
      </rPr>
      <t>天璞</t>
    </r>
    <phoneticPr fontId="146" type="noConversion"/>
  </si>
  <si>
    <r>
      <rPr>
        <sz val="10"/>
        <rFont val="宋体"/>
        <family val="3"/>
        <charset val="134"/>
      </rPr>
      <t>上东</t>
    </r>
    <r>
      <rPr>
        <sz val="10"/>
        <rFont val="Arial"/>
        <family val="2"/>
      </rPr>
      <t>8</t>
    </r>
    <r>
      <rPr>
        <sz val="10"/>
        <rFont val="宋体"/>
        <family val="3"/>
        <charset val="134"/>
      </rPr>
      <t>号</t>
    </r>
    <phoneticPr fontId="146" type="noConversion"/>
  </si>
  <si>
    <t>东直门东北</t>
    <phoneticPr fontId="146" type="noConversion"/>
  </si>
  <si>
    <t>望京</t>
    <phoneticPr fontId="146" type="noConversion"/>
  </si>
  <si>
    <t>十里堡</t>
    <phoneticPr fontId="146" type="noConversion"/>
  </si>
  <si>
    <t>七通</t>
  </si>
  <si>
    <t>七通</t>
    <phoneticPr fontId="26" type="noConversion"/>
  </si>
  <si>
    <t>较好</t>
    <phoneticPr fontId="26" type="noConversion"/>
  </si>
  <si>
    <t>较好</t>
    <phoneticPr fontId="26" type="noConversion"/>
  </si>
  <si>
    <t>办公车位</t>
    <phoneticPr fontId="26" type="noConversion"/>
  </si>
  <si>
    <t>住宅车位</t>
    <phoneticPr fontId="26" type="noConversion"/>
  </si>
  <si>
    <t>住宅车位</t>
    <phoneticPr fontId="26" type="noConversion"/>
  </si>
  <si>
    <t>住宅车位</t>
    <phoneticPr fontId="26" type="noConversion"/>
  </si>
  <si>
    <t>住宅车位</t>
    <phoneticPr fontId="26" type="noConversion"/>
  </si>
  <si>
    <t>精装</t>
    <phoneticPr fontId="26" type="noConversion"/>
  </si>
  <si>
    <t>专业</t>
    <phoneticPr fontId="26" type="noConversion"/>
  </si>
  <si>
    <t>北京城建世华泊郡</t>
    <phoneticPr fontId="146" type="noConversion"/>
  </si>
  <si>
    <r>
      <rPr>
        <sz val="10"/>
        <rFont val="宋体"/>
        <family val="3"/>
        <charset val="134"/>
      </rPr>
      <t>北京城建</t>
    </r>
    <r>
      <rPr>
        <sz val="10"/>
        <rFont val="Arial"/>
        <family val="2"/>
      </rPr>
      <t>·</t>
    </r>
    <r>
      <rPr>
        <sz val="10"/>
        <rFont val="宋体"/>
        <family val="3"/>
        <charset val="134"/>
      </rPr>
      <t>筑华年</t>
    </r>
    <phoneticPr fontId="146" type="noConversion"/>
  </si>
  <si>
    <t>建工动力苑</t>
    <phoneticPr fontId="146" type="noConversion"/>
  </si>
  <si>
    <t>世纪兴源大厦</t>
    <phoneticPr fontId="146" type="noConversion"/>
  </si>
  <si>
    <t>四惠</t>
    <phoneticPr fontId="146" type="noConversion"/>
  </si>
  <si>
    <t>安贞</t>
    <phoneticPr fontId="146" type="noConversion"/>
  </si>
  <si>
    <t>比较法-车位</t>
  </si>
  <si>
    <t>收益法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</si>
</sst>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color indexed="8"/>
      <name val="楷体_GB2312"/>
      <family val="3"/>
      <charset val="134"/>
    </font>
    <font>
      <sz val="8"/>
      <name val="맑은 고딕"/>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0" tint="-4.9989318521683403E-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243" fillId="8" borderId="1" xfId="1" applyFont="1" applyFill="1" applyBorder="1" applyAlignment="1" applyProtection="1">
      <alignment horizontal="center" vertical="center" wrapText="1"/>
      <protection locked="0"/>
    </xf>
    <xf numFmtId="0" fontId="243" fillId="8" borderId="1" xfId="1" applyFont="1" applyFill="1" applyBorder="1" applyAlignment="1" applyProtection="1">
      <alignment horizontal="center" vertical="center"/>
      <protection locked="0"/>
    </xf>
    <xf numFmtId="0" fontId="243" fillId="0" borderId="1" xfId="1" applyFont="1" applyFill="1" applyBorder="1" applyAlignment="1" applyProtection="1">
      <alignment horizontal="center" vertical="center" wrapText="1"/>
      <protection locked="0"/>
    </xf>
    <xf numFmtId="0" fontId="243" fillId="8" borderId="18" xfId="1" applyFont="1" applyFill="1" applyBorder="1" applyAlignment="1" applyProtection="1">
      <alignment vertical="center"/>
      <protection locked="0"/>
    </xf>
    <xf numFmtId="0" fontId="243" fillId="8" borderId="17" xfId="1" applyFont="1" applyFill="1" applyBorder="1" applyAlignment="1" applyProtection="1">
      <alignment vertical="center"/>
      <protection locked="0"/>
    </xf>
    <xf numFmtId="0" fontId="243" fillId="0" borderId="1" xfId="1" applyFont="1" applyFill="1" applyBorder="1" applyAlignment="1" applyProtection="1">
      <alignment horizontal="center" vertical="center"/>
      <protection locked="0"/>
    </xf>
    <xf numFmtId="0" fontId="243" fillId="18" borderId="1" xfId="1" applyFont="1" applyFill="1" applyBorder="1" applyAlignment="1" applyProtection="1">
      <alignment horizontal="center" vertical="center" wrapText="1"/>
      <protection locked="0"/>
    </xf>
    <xf numFmtId="0" fontId="243" fillId="18" borderId="1" xfId="1" applyFont="1" applyFill="1" applyBorder="1" applyAlignment="1" applyProtection="1">
      <alignment horizontal="center" vertical="center"/>
      <protection locked="0"/>
    </xf>
    <xf numFmtId="0" fontId="243" fillId="0" borderId="18" xfId="1" applyFont="1" applyFill="1" applyBorder="1" applyAlignment="1" applyProtection="1">
      <alignment vertical="center"/>
      <protection locked="0"/>
    </xf>
    <xf numFmtId="0" fontId="243" fillId="0" borderId="17" xfId="1" applyFont="1" applyFill="1" applyBorder="1" applyAlignment="1" applyProtection="1">
      <alignment vertical="center"/>
      <protection locked="0"/>
    </xf>
    <xf numFmtId="0" fontId="243" fillId="3" borderId="1" xfId="0" applyFont="1" applyFill="1" applyBorder="1" applyAlignment="1" applyProtection="1">
      <alignment horizontal="center" vertical="center" wrapText="1"/>
      <protection locked="0"/>
    </xf>
    <xf numFmtId="0" fontId="0" fillId="0" borderId="0" xfId="0" applyFill="1">
      <alignment vertical="center"/>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48" fillId="0" borderId="0" xfId="14"/>
    <xf numFmtId="0" fontId="48" fillId="6" borderId="0" xfId="14" applyFill="1"/>
    <xf numFmtId="0" fontId="0" fillId="6" borderId="0" xfId="0" applyFill="1">
      <alignment vertical="center"/>
    </xf>
    <xf numFmtId="0" fontId="16" fillId="0" borderId="0" xfId="14" applyFont="1"/>
    <xf numFmtId="0" fontId="16" fillId="6" borderId="0" xfId="14" applyFont="1" applyFill="1"/>
    <xf numFmtId="0" fontId="48" fillId="0" borderId="0" xfId="14" applyFill="1"/>
    <xf numFmtId="0" fontId="93" fillId="6" borderId="0" xfId="0" applyFont="1" applyFill="1">
      <alignment vertical="center"/>
    </xf>
    <xf numFmtId="49" fontId="92" fillId="2" borderId="25"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0" fontId="92" fillId="2" borderId="23" xfId="0" applyNumberFormat="1" applyFont="1" applyFill="1" applyBorder="1" applyAlignment="1" applyProtection="1">
      <alignment horizontal="center" vertical="center" wrapText="1"/>
      <protection locked="0"/>
    </xf>
    <xf numFmtId="0" fontId="92" fillId="2" borderId="24" xfId="0" applyNumberFormat="1" applyFont="1" applyFill="1" applyBorder="1" applyAlignment="1" applyProtection="1">
      <alignment horizontal="center" vertical="center" wrapText="1"/>
      <protection locked="0"/>
    </xf>
    <xf numFmtId="0" fontId="92"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10" fontId="39" fillId="0" borderId="19"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19" xfId="0" applyNumberFormat="1" applyFont="1" applyFill="1" applyBorder="1" applyAlignment="1" applyProtection="1">
      <alignment horizontal="center" vertical="center" wrapText="1"/>
      <protection locked="0"/>
    </xf>
    <xf numFmtId="0" fontId="93" fillId="0" borderId="0" xfId="0" applyFont="1" applyFill="1">
      <alignment vertical="center"/>
    </xf>
    <xf numFmtId="0" fontId="16" fillId="0" borderId="0" xfId="14" applyFont="1" applyFill="1"/>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0" fontId="42" fillId="9" borderId="6" xfId="1" applyNumberFormat="1" applyFont="1" applyFill="1" applyBorder="1" applyAlignment="1" applyProtection="1">
      <alignment horizontal="center" vertical="center"/>
      <protection locked="0"/>
    </xf>
    <xf numFmtId="181" fontId="42" fillId="9" borderId="31" xfId="0" applyNumberFormat="1" applyFont="1" applyFill="1" applyBorder="1" applyAlignment="1" applyProtection="1">
      <alignment horizontal="center" vertical="center"/>
      <protection locked="0"/>
    </xf>
    <xf numFmtId="0" fontId="92" fillId="9" borderId="23" xfId="0" applyNumberFormat="1" applyFont="1" applyFill="1" applyBorder="1" applyAlignment="1" applyProtection="1">
      <alignment horizontal="center" vertical="center" wrapText="1"/>
      <protection locked="0"/>
    </xf>
    <xf numFmtId="0" fontId="177" fillId="9" borderId="7" xfId="0" applyFont="1" applyFill="1" applyBorder="1" applyAlignment="1" applyProtection="1">
      <alignment horizontal="center" vertical="center" wrapText="1"/>
      <protection locked="0"/>
    </xf>
    <xf numFmtId="0" fontId="177" fillId="9" borderId="6" xfId="0" applyFont="1" applyFill="1" applyBorder="1" applyAlignment="1" applyProtection="1">
      <alignment horizontal="center" vertical="center" wrapText="1"/>
      <protection locked="0"/>
    </xf>
    <xf numFmtId="0" fontId="39" fillId="9" borderId="51" xfId="0" applyFont="1" applyFill="1" applyBorder="1" applyAlignment="1" applyProtection="1">
      <alignment horizontal="center" vertical="center" wrapText="1"/>
    </xf>
    <xf numFmtId="0" fontId="39" fillId="9" borderId="6" xfId="0"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5" customWidth="1"/>
    <col min="2" max="2" width="94.875" style="1691" customWidth="1"/>
    <col min="3" max="16384" width="9" style="1701"/>
  </cols>
  <sheetData>
    <row r="1" spans="1:2" s="1696" customFormat="1" ht="16.5" thickBot="1">
      <c r="A1" s="1694" t="s">
        <v>1104</v>
      </c>
      <c r="B1" s="1695" t="s">
        <v>1166</v>
      </c>
    </row>
    <row r="2" spans="1:2" s="1698" customFormat="1" ht="15.75" thickTop="1">
      <c r="A2" s="1697" t="s">
        <v>1105</v>
      </c>
      <c r="B2" s="1683" t="str">
        <f>'预评函-封皮'!B9</f>
        <v>北京市房地产市场价值预评估</v>
      </c>
    </row>
    <row r="3" spans="1:2" s="1698" customFormat="1">
      <c r="A3" s="1699" t="s">
        <v>1106</v>
      </c>
      <c r="B3" s="1684">
        <f>'预评函-封皮'!B12</f>
        <v>0</v>
      </c>
    </row>
    <row r="4" spans="1:2" s="1698" customFormat="1">
      <c r="A4" s="1699" t="s">
        <v>1107</v>
      </c>
      <c r="B4" s="1684" t="str">
        <f>'预评函-封皮'!B18</f>
        <v>注册房地产估价师（注册号:0）、注册房地产估价师（注册号:0)</v>
      </c>
    </row>
    <row r="5" spans="1:2" s="1696" customFormat="1" ht="15.75" thickBot="1">
      <c r="A5" s="1700" t="s">
        <v>1108</v>
      </c>
      <c r="B5" s="1685" t="str">
        <f>'预评函-封皮'!B21</f>
        <v>康正预评字号</v>
      </c>
    </row>
    <row r="6" spans="1:2" s="1698" customFormat="1" ht="15.75" thickTop="1">
      <c r="A6" s="1699" t="s">
        <v>1109</v>
      </c>
      <c r="B6" s="1683" t="str">
        <f>'预评函-1'!A4</f>
        <v>受您的委托，我公司对北京市房地产进行了预评估。</v>
      </c>
    </row>
    <row r="7" spans="1:2">
      <c r="A7" s="1699" t="s">
        <v>1110</v>
      </c>
      <c r="B7" s="1686" t="str">
        <f>'预评函-1'!A6</f>
        <v>估价对象为北京市房地产，为所有。根据《房屋所有权证》[]，估价对象建筑面积为14802.98平方米，（分摊）出让国有建设用地使用权面积为1050.7平方米。估价对象用途为。</v>
      </c>
    </row>
    <row r="8" spans="1:2">
      <c r="A8" s="1699" t="s">
        <v>1111</v>
      </c>
      <c r="B8" s="1686" t="str">
        <f>'预评函-1'!A8</f>
        <v>为估价委托人了解估价对象房地产市场价值提供参考依据。</v>
      </c>
    </row>
    <row r="9" spans="1:2">
      <c r="A9" s="1699" t="s">
        <v>1112</v>
      </c>
      <c r="B9" s="1686" t="str">
        <f>'预评函-1'!A10</f>
        <v>2018年12月31日</v>
      </c>
    </row>
    <row r="10" spans="1:2">
      <c r="A10" s="1699" t="s">
        <v>1113</v>
      </c>
      <c r="B10" s="1686" t="str">
        <f>'预评函-1'!A13</f>
        <v>本次估价的“房地产价值”是指在正常市场情况下，在价值时点2018年12月31日，估价对象规划用途为，假定未设立法定优先受偿款下的房地产市场价值。</v>
      </c>
    </row>
    <row r="11" spans="1:2">
      <c r="A11" s="1699" t="s">
        <v>1114</v>
      </c>
      <c r="B11" s="1686"/>
    </row>
    <row r="12" spans="1:2">
      <c r="A12" s="1699" t="s">
        <v>1115</v>
      </c>
      <c r="B12" s="1686" t="str">
        <f>'预评函-1'!A14</f>
        <v>——</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v>
      </c>
    </row>
    <row r="15" spans="1:2" s="1696" customFormat="1" ht="15.75" thickBot="1">
      <c r="A15" s="1700" t="s">
        <v>1118</v>
      </c>
      <c r="B15" s="1687" t="str">
        <f>'预评函-1'!A18</f>
        <v>本次评估采用的主估价方法为比较法和收益法。</v>
      </c>
    </row>
    <row r="16" spans="1:2" ht="15.75" thickTop="1">
      <c r="A16" s="1697" t="s">
        <v>1119</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1120</v>
      </c>
      <c r="B17" s="1686" t="str">
        <f>'预评函-2（1）'!B6</f>
        <v>北京市房地产</v>
      </c>
    </row>
    <row r="18" spans="1:2">
      <c r="A18" s="1699" t="s">
        <v>1121</v>
      </c>
      <c r="B18" s="1686">
        <f>'预评函-2（1）'!C6</f>
        <v>14802.98</v>
      </c>
    </row>
    <row r="19" spans="1:2">
      <c r="A19" s="1699" t="s">
        <v>1122</v>
      </c>
      <c r="B19" s="1686">
        <f ca="1">'预评函-2（1）'!D7</f>
        <v>7809</v>
      </c>
    </row>
    <row r="20" spans="1:2">
      <c r="A20" s="1699" t="s">
        <v>1160</v>
      </c>
      <c r="B20" s="1686" t="str">
        <f>'预评函-2（1）'!C7</f>
        <v>总价（万元）</v>
      </c>
    </row>
    <row r="21" spans="1:2">
      <c r="A21" s="1699" t="s">
        <v>1123</v>
      </c>
      <c r="B21" s="1686">
        <f ca="1">'预评函-2（1）'!D9</f>
        <v>5275</v>
      </c>
    </row>
    <row r="22" spans="1:2">
      <c r="A22" s="1699" t="s">
        <v>1124</v>
      </c>
      <c r="B22" s="1686" t="str">
        <f ca="1">'预评函-2（1）'!D8</f>
        <v>柒仟捌佰零玖万元整</v>
      </c>
    </row>
    <row r="23" spans="1:2">
      <c r="A23" s="1699" t="s">
        <v>1161</v>
      </c>
      <c r="B23" s="1686">
        <f>'预评函-2（1）'!D10</f>
        <v>0</v>
      </c>
    </row>
    <row r="24" spans="1:2">
      <c r="A24" s="1699" t="s">
        <v>1162</v>
      </c>
      <c r="B24" s="1686" t="str">
        <f>'预评函-2（1）'!C10</f>
        <v>总额（万元）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7809</v>
      </c>
    </row>
    <row r="30" spans="1:2">
      <c r="A30" s="1699" t="s">
        <v>1130</v>
      </c>
      <c r="B30" s="1686" t="str">
        <f ca="1">'预评函-2（1）'!D16</f>
        <v>柒仟捌佰零玖万元整</v>
      </c>
    </row>
    <row r="31" spans="1:2">
      <c r="A31" s="1699" t="s">
        <v>1131</v>
      </c>
      <c r="B31" s="1686" t="str">
        <f>'预评函-2（1）'!D18</f>
        <v>——</v>
      </c>
    </row>
    <row r="32" spans="1:2">
      <c r="A32" s="1699" t="s">
        <v>1132</v>
      </c>
      <c r="B32" s="1686" t="e">
        <f>'预评函-2（1）'!D19</f>
        <v>#VALUE!</v>
      </c>
    </row>
    <row r="33" spans="1:2">
      <c r="A33" s="1699" t="s">
        <v>1133</v>
      </c>
      <c r="B33" s="1686" t="str">
        <f>'预评函-2（1）'!D21</f>
        <v>——</v>
      </c>
    </row>
    <row r="34" spans="1:2">
      <c r="A34" s="1699" t="s">
        <v>1134</v>
      </c>
      <c r="B34" s="1686" t="str">
        <f ca="1">'预评函-2（1）'!D23</f>
        <v>——</v>
      </c>
    </row>
    <row r="35" spans="1:2">
      <c r="A35" s="1699" t="s">
        <v>1135</v>
      </c>
      <c r="B35" s="1686" t="e">
        <f>'预评函-2（1）'!D22</f>
        <v>#VALUE!</v>
      </c>
    </row>
    <row r="36" spans="1:2">
      <c r="A36" s="1699" t="s">
        <v>1136</v>
      </c>
      <c r="B36" s="1686">
        <f>'预评函-2（2）'!C4</f>
        <v>1050.7</v>
      </c>
    </row>
    <row r="37" spans="1:2">
      <c r="A37" s="1699" t="s">
        <v>1137</v>
      </c>
      <c r="B37" s="1686">
        <f>'预评函-2（2）'!D4</f>
        <v>0</v>
      </c>
    </row>
    <row r="38" spans="1:2">
      <c r="A38" s="1699" t="s">
        <v>1138</v>
      </c>
      <c r="B38" s="1686">
        <f>'预评函-2（2）'!E4</f>
        <v>0</v>
      </c>
    </row>
    <row r="39" spans="1:2">
      <c r="A39" s="1699" t="s">
        <v>1139</v>
      </c>
      <c r="B39" s="1686" t="str">
        <f>'预评函-2（2）'!D5</f>
        <v>零元整</v>
      </c>
    </row>
    <row r="40" spans="1:2">
      <c r="A40" s="1699" t="s">
        <v>1140</v>
      </c>
      <c r="B40" s="1686">
        <f>'预评函-2（2）'!F4</f>
        <v>0</v>
      </c>
    </row>
    <row r="41" spans="1:2">
      <c r="A41" s="1699" t="s">
        <v>1141</v>
      </c>
      <c r="B41" s="1686">
        <f>'预评函-2（2）'!G4</f>
        <v>0</v>
      </c>
    </row>
    <row r="42" spans="1:2" s="1696" customFormat="1" ht="15.75" thickBot="1">
      <c r="A42" s="1700" t="s">
        <v>1142</v>
      </c>
      <c r="B42" s="1688" t="str">
        <f>'预评函-2（2）'!F5</f>
        <v>零元整</v>
      </c>
    </row>
    <row r="43" spans="1:2" ht="15.75" thickTop="1">
      <c r="A43" s="1697" t="s">
        <v>1143</v>
      </c>
      <c r="B43" s="1689" t="str">
        <f>'预评函-3'!A13</f>
        <v>2.本次评估设定估价对象房地产权属无争议，未被查封或者以其他形式限制其房地产权利，未设定抵押权等他项权利，不涉及第三方权利义务。</v>
      </c>
    </row>
    <row r="44" spans="1:2">
      <c r="A44" s="1699" t="s">
        <v>1144</v>
      </c>
      <c r="B44" s="1686" t="str">
        <f>'预评函-3'!A14</f>
        <v>——</v>
      </c>
    </row>
    <row r="45" spans="1:2">
      <c r="A45" s="1699" t="s">
        <v>1145</v>
      </c>
      <c r="B45" s="1686" t="str">
        <f>'预评函-3'!A15</f>
        <v>——</v>
      </c>
    </row>
    <row r="46" spans="1:2">
      <c r="A46" s="1699" t="s">
        <v>1146</v>
      </c>
      <c r="B46" s="1686" t="str">
        <f>'预评函-3'!A16</f>
        <v>——</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v>
      </c>
    </row>
    <row r="49" spans="1:2">
      <c r="A49" s="1699" t="s">
        <v>1148</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thickBot="1">
      <c r="A51" s="1700" t="s">
        <v>1150</v>
      </c>
      <c r="B51" s="1693">
        <f>'预评函-3'!D29</f>
        <v>42551</v>
      </c>
    </row>
    <row r="52" spans="1:2" ht="15.75" thickTop="1">
      <c r="A52" s="1697" t="s">
        <v>1151</v>
      </c>
      <c r="B52" s="1692" t="str">
        <f>'预评函-3'!A4</f>
        <v>注册房地产估价师</v>
      </c>
    </row>
    <row r="53" spans="1:2">
      <c r="A53" s="1699" t="s">
        <v>1152</v>
      </c>
      <c r="B53" s="1686">
        <f>'预评函-3'!B4</f>
        <v>0</v>
      </c>
    </row>
    <row r="54" spans="1:2">
      <c r="A54" s="1699" t="s">
        <v>1153</v>
      </c>
      <c r="B54" s="1690" t="str">
        <f>'预评函-3'!A5</f>
        <v>注册房地产估价师</v>
      </c>
    </row>
    <row r="55" spans="1:2" s="1696" customFormat="1" ht="15.75" thickBot="1">
      <c r="A55" s="1700" t="s">
        <v>1154</v>
      </c>
      <c r="B55" s="1688">
        <f>'预评函-3'!B5</f>
        <v>0</v>
      </c>
    </row>
    <row r="56" spans="1:2" ht="15.75" thickTop="1">
      <c r="A56" s="1702" t="s">
        <v>1163</v>
      </c>
      <c r="B56" s="1686" t="str">
        <f>'预评函-2（1）'!B15</f>
        <v>3.房地产抵押价值</v>
      </c>
    </row>
    <row r="57" spans="1:2">
      <c r="A57" s="1702" t="s">
        <v>1164</v>
      </c>
      <c r="B57" s="1686" t="str">
        <f>'预评函-2（1）'!B18</f>
        <v>——</v>
      </c>
    </row>
    <row r="58" spans="1:2" s="1696" customFormat="1" ht="15.75" thickBot="1">
      <c r="A58" s="1703" t="s">
        <v>1165</v>
      </c>
      <c r="B58" s="1687" t="str">
        <f>'预评函-2（1）'!B21</f>
        <v>——</v>
      </c>
    </row>
    <row r="59" spans="1:2" ht="15.75" thickTop="1">
      <c r="A59" s="1704" t="s">
        <v>1167</v>
      </c>
      <c r="B59" s="1684" t="str">
        <f>'预评函-2（1）'!B45</f>
        <v>单位：万元、元/平方米（单位：人民币）</v>
      </c>
    </row>
    <row r="60" spans="1:2">
      <c r="A60" s="1702" t="s">
        <v>1168</v>
      </c>
      <c r="B60" s="1686" t="str">
        <f>'预评函-2（2）'!D2</f>
        <v>出让国有建设用地使用权价值</v>
      </c>
    </row>
    <row r="61" spans="1:2" s="1698" customFormat="1">
      <c r="A61" s="1702" t="s">
        <v>1169</v>
      </c>
      <c r="B61" s="1686" t="str">
        <f>'预评函-2（2）'!A14</f>
        <v>单位：平方米、万元、元/平方米（币种：人民币）</v>
      </c>
    </row>
    <row r="62" spans="1:2" ht="28.5">
      <c r="A62" s="1702" t="s">
        <v>1254</v>
      </c>
      <c r="B62" s="1686">
        <f ca="1">'预评函-2（1）'!D38</f>
        <v>5275</v>
      </c>
    </row>
    <row r="63" spans="1:2" s="1698" customFormat="1" ht="28.5">
      <c r="A63" s="1702" t="s">
        <v>1255</v>
      </c>
      <c r="B63" s="1686" t="str">
        <f>'预评函-2（1）'!D41</f>
        <v>——</v>
      </c>
    </row>
    <row r="64" spans="1:2">
      <c r="A64" s="1702" t="s">
        <v>1177</v>
      </c>
      <c r="B64" s="1686" t="str">
        <f>'预评函-2（2）'!A6</f>
        <v>——</v>
      </c>
    </row>
    <row r="65" spans="1:2">
      <c r="A65" s="1702" t="s">
        <v>1178</v>
      </c>
      <c r="B65" s="1686" t="str">
        <f>'预评函-2（2）'!A8</f>
        <v>——</v>
      </c>
    </row>
    <row r="66" spans="1:2">
      <c r="A66" s="1702" t="s">
        <v>1179</v>
      </c>
      <c r="B66" s="1686" t="str">
        <f>'预评函-2（2）'!A10</f>
        <v>——</v>
      </c>
    </row>
    <row r="67" spans="1:2" s="1696" customFormat="1" ht="15.75" thickBot="1">
      <c r="A67" s="1703" t="s">
        <v>1180</v>
      </c>
      <c r="B67" s="1687" t="str">
        <f>'预评函-2（2）'!A12</f>
        <v>——</v>
      </c>
    </row>
    <row r="68" spans="1:2" ht="15.75" thickTop="1">
      <c r="A68" s="1705" t="s">
        <v>1181</v>
      </c>
      <c r="B68" s="1691" t="str">
        <f>'预评函-3'!A9</f>
        <v>XX</v>
      </c>
    </row>
    <row r="69" spans="1:2">
      <c r="A69" s="1699" t="s">
        <v>1253</v>
      </c>
    </row>
    <row r="70" spans="1:2">
      <c r="A70" s="1699"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5" sqref="F15"/>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0" t="s">
        <v>1541</v>
      </c>
      <c r="B1" s="1991" t="str">
        <f>IF(B6="北京市","北京市",C6)&amp;IF(E12="房屋所有权证",B28,E28)&amp;D5&amp;"预评估"</f>
        <v>北京市房地产市场价值预评估</v>
      </c>
      <c r="C1" s="1060"/>
      <c r="D1" s="1992"/>
      <c r="E1" s="1060"/>
      <c r="F1" s="1993" t="s">
        <v>1542</v>
      </c>
      <c r="G1" s="1679"/>
      <c r="I1" s="1017" t="str">
        <f>IF(B6="北京市","北京市",C6)&amp;IF(E12="房屋所有权证",B28,E28)&amp;"房地产"</f>
        <v>北京市房地产</v>
      </c>
    </row>
    <row r="2" spans="1:10" ht="13.5" thickTop="1">
      <c r="A2" s="1994" t="s">
        <v>1543</v>
      </c>
      <c r="B2" s="1085"/>
      <c r="C2" s="1995" t="s">
        <v>1544</v>
      </c>
      <c r="D2" s="1085">
        <v>43465</v>
      </c>
      <c r="E2" s="1061"/>
      <c r="F2" s="1061"/>
      <c r="G2" s="1680"/>
      <c r="H2" s="1017"/>
    </row>
    <row r="3" spans="1:10" ht="13.5" thickBot="1">
      <c r="A3" s="1996" t="s">
        <v>1545</v>
      </c>
      <c r="B3" s="1997" t="s">
        <v>1546</v>
      </c>
      <c r="C3" s="1062">
        <f>SUMIF(注册房地产估价师,B3,估价师及机构信息!B3:B24)</f>
        <v>0</v>
      </c>
      <c r="D3" s="1997" t="s">
        <v>1546</v>
      </c>
      <c r="E3" s="1063">
        <f>SUMIF(注册房地产估价师,D3,估价师及机构信息!B3:B24)</f>
        <v>0</v>
      </c>
      <c r="F3" s="1064"/>
      <c r="G3" s="1681"/>
      <c r="H3" s="1017"/>
    </row>
    <row r="4" spans="1:10" ht="13.5" customHeight="1" thickTop="1">
      <c r="A4" s="1998" t="s">
        <v>1547</v>
      </c>
      <c r="B4" s="1999"/>
      <c r="C4" s="2000" t="s">
        <v>1548</v>
      </c>
      <c r="D4" s="2001" t="s">
        <v>3121</v>
      </c>
      <c r="E4" s="1061"/>
      <c r="F4" s="1061"/>
      <c r="G4" s="1680"/>
    </row>
    <row r="5" spans="1:10">
      <c r="A5" s="2002" t="s">
        <v>1549</v>
      </c>
      <c r="B5" s="2003"/>
      <c r="C5" s="2004" t="s">
        <v>1550</v>
      </c>
      <c r="D5" s="2005" t="s">
        <v>3122</v>
      </c>
      <c r="E5" s="2006" t="s">
        <v>1551</v>
      </c>
      <c r="F5" s="2007"/>
      <c r="G5" s="2008"/>
      <c r="I5" s="1017" t="str">
        <f>IF(C16="否","截至估价时点，估价对象抵押权未见登记。","截至价值时点，估价对象已设定抵押。")</f>
        <v>截至价值时点，估价对象已设定抵押。</v>
      </c>
    </row>
    <row r="6" spans="1:10">
      <c r="A6" s="2009" t="s">
        <v>1552</v>
      </c>
      <c r="B6" s="2010" t="s">
        <v>3123</v>
      </c>
      <c r="C6" s="2011"/>
      <c r="D6" s="2012" t="s">
        <v>1553</v>
      </c>
      <c r="E6" s="1019"/>
      <c r="F6" s="1018"/>
      <c r="G6" s="1071"/>
      <c r="I6" s="1067" t="str">
        <f>IF(COUNTIF(B5,"*上海银行*"),"上海银行","")</f>
        <v/>
      </c>
    </row>
    <row r="7" spans="1:10" ht="13.5" thickBot="1">
      <c r="A7" s="1996" t="s">
        <v>1554</v>
      </c>
      <c r="B7" s="2013" t="s">
        <v>3124</v>
      </c>
      <c r="C7" s="2014" t="str">
        <f>IF(B7="自然人","姓名","名称")</f>
        <v>名称</v>
      </c>
      <c r="D7" s="2015"/>
      <c r="E7" s="1065"/>
      <c r="F7" s="1064"/>
      <c r="G7" s="1681"/>
    </row>
    <row r="8" spans="1:10" ht="13.5" thickTop="1">
      <c r="A8" s="2817" t="s">
        <v>1555</v>
      </c>
      <c r="B8" s="2016" t="s">
        <v>1556</v>
      </c>
      <c r="C8" s="2830"/>
      <c r="D8" s="2831"/>
      <c r="E8" s="2017" t="s">
        <v>1557</v>
      </c>
      <c r="F8" s="2018" t="s">
        <v>1558</v>
      </c>
      <c r="G8" s="689">
        <f>C6</f>
        <v>0</v>
      </c>
    </row>
    <row r="9" spans="1:10" ht="25.5">
      <c r="A9" s="2817"/>
      <c r="B9" s="344" t="s">
        <v>1559</v>
      </c>
      <c r="C9" s="2003"/>
      <c r="D9" s="2019" t="s">
        <v>3125</v>
      </c>
      <c r="E9" s="1007" t="s">
        <v>1560</v>
      </c>
      <c r="F9" s="993" t="s">
        <v>161</v>
      </c>
      <c r="G9" s="1009"/>
    </row>
    <row r="10" spans="1:10" ht="13.5" thickBot="1">
      <c r="A10" s="2817"/>
      <c r="B10" s="344" t="s">
        <v>1561</v>
      </c>
      <c r="C10" s="2832"/>
      <c r="D10" s="2833"/>
      <c r="E10" s="2020" t="s">
        <v>1562</v>
      </c>
      <c r="F10" s="1010" t="s">
        <v>162</v>
      </c>
      <c r="G10" s="1011"/>
    </row>
    <row r="11" spans="1:10" ht="13.5" thickBot="1">
      <c r="A11" s="2817"/>
      <c r="B11" s="2021" t="s">
        <v>1563</v>
      </c>
      <c r="C11" s="2834"/>
      <c r="D11" s="2835"/>
      <c r="E11" s="1019"/>
      <c r="F11" s="1018"/>
      <c r="G11" s="1071"/>
    </row>
    <row r="12" spans="1:10" ht="24.75" thickBot="1">
      <c r="A12" s="2821" t="s">
        <v>1564</v>
      </c>
      <c r="B12" s="2022" t="s">
        <v>1565</v>
      </c>
      <c r="C12" s="1013">
        <v>14802.98</v>
      </c>
      <c r="D12" s="2022" t="s">
        <v>1566</v>
      </c>
      <c r="E12" s="2023" t="s">
        <v>3126</v>
      </c>
      <c r="F12" s="2024" t="s">
        <v>1567</v>
      </c>
      <c r="G12" s="1071"/>
    </row>
    <row r="13" spans="1:10" ht="21" customHeight="1" thickBot="1">
      <c r="A13" s="2822"/>
      <c r="B13" s="2025" t="s">
        <v>1568</v>
      </c>
      <c r="C13" s="1014">
        <v>1050.7</v>
      </c>
      <c r="D13" s="2025" t="s">
        <v>1569</v>
      </c>
      <c r="E13" s="2026" t="s">
        <v>3127</v>
      </c>
      <c r="F13" s="1018"/>
      <c r="G13" s="1071"/>
      <c r="I13" s="2840" t="s">
        <v>1570</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1571</v>
      </c>
      <c r="C14" s="2030"/>
      <c r="D14" s="1018"/>
      <c r="E14" s="1018"/>
      <c r="F14" s="1018"/>
      <c r="G14" s="1071"/>
      <c r="I14" s="2840"/>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1572</v>
      </c>
      <c r="C15" s="1066"/>
      <c r="D15" s="1064"/>
      <c r="E15" s="1064"/>
      <c r="F15" s="1064"/>
      <c r="G15" s="1681"/>
      <c r="I15" s="2840"/>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1573</v>
      </c>
      <c r="B16" s="2033" t="s">
        <v>1574</v>
      </c>
      <c r="C16" s="2034"/>
      <c r="D16" s="2035" t="s">
        <v>1575</v>
      </c>
      <c r="E16" s="2036"/>
      <c r="F16" s="2037" t="str">
        <f>IF(AND(C16="是",E16="否"),"是否提供他项权证或相关说明","")</f>
        <v/>
      </c>
      <c r="G16" s="2036"/>
      <c r="I16" s="1068"/>
      <c r="J16" s="1017"/>
    </row>
    <row r="17" spans="1:15" ht="13.5" customHeight="1">
      <c r="A17" s="2038" t="s">
        <v>1576</v>
      </c>
      <c r="B17" s="2836" t="s">
        <v>1577</v>
      </c>
      <c r="C17" s="2837"/>
      <c r="D17" s="2838" t="s">
        <v>1578</v>
      </c>
      <c r="E17" s="2839"/>
      <c r="F17" s="2039" t="s">
        <v>1579</v>
      </c>
      <c r="G17" s="2040"/>
      <c r="J17" s="1017"/>
    </row>
    <row r="18" spans="1:15" ht="24">
      <c r="A18" s="2038"/>
      <c r="B18" s="2041" t="s">
        <v>1580</v>
      </c>
      <c r="C18" s="2008" t="s">
        <v>1581</v>
      </c>
      <c r="D18" s="2042" t="s">
        <v>1582</v>
      </c>
      <c r="E18" s="2043" t="s">
        <v>1583</v>
      </c>
      <c r="F18" s="2044"/>
      <c r="G18" s="1865"/>
      <c r="H18" s="1017"/>
      <c r="J18" s="1017"/>
    </row>
    <row r="19" spans="1:15" ht="21.75" customHeight="1" thickBot="1">
      <c r="A19" s="2038"/>
      <c r="B19" s="2045"/>
      <c r="C19" s="2026"/>
      <c r="D19" s="2046"/>
      <c r="E19" s="1018"/>
      <c r="F19" s="1018"/>
      <c r="G19" s="1865"/>
    </row>
    <row r="20" spans="1:15">
      <c r="A20" s="2047" t="s">
        <v>1584</v>
      </c>
      <c r="B20" s="2048" t="s">
        <v>1585</v>
      </c>
      <c r="C20" s="2049"/>
      <c r="D20" s="2050" t="s">
        <v>1585</v>
      </c>
      <c r="E20" s="2049"/>
      <c r="F20" s="1018"/>
      <c r="G20" s="1865"/>
    </row>
    <row r="21" spans="1:15">
      <c r="A21" s="2051"/>
      <c r="B21" s="2052" t="s">
        <v>1586</v>
      </c>
      <c r="C21" s="2053"/>
      <c r="D21" s="2038" t="s">
        <v>1586</v>
      </c>
      <c r="E21" s="2054"/>
      <c r="F21" s="1018"/>
      <c r="G21" s="1865"/>
    </row>
    <row r="22" spans="1:15">
      <c r="A22" s="2051"/>
      <c r="B22" s="2055" t="s">
        <v>1587</v>
      </c>
      <c r="C22" s="2056"/>
      <c r="D22" s="2055" t="s">
        <v>1587</v>
      </c>
      <c r="E22" s="2054"/>
      <c r="F22" s="1018"/>
      <c r="G22" s="1865"/>
    </row>
    <row r="23" spans="1:15" s="1863" customFormat="1" ht="21" thickBot="1">
      <c r="A23" s="2057"/>
      <c r="B23" s="2058" t="s">
        <v>1588</v>
      </c>
      <c r="C23" s="2059"/>
      <c r="D23" s="2058" t="s">
        <v>1589</v>
      </c>
      <c r="E23" s="2060"/>
      <c r="F23" s="1018"/>
      <c r="G23" s="1865"/>
      <c r="H23" s="2061"/>
      <c r="I23" s="1864"/>
      <c r="K23" s="1862"/>
      <c r="L23" s="1862"/>
      <c r="M23" s="1862"/>
      <c r="O23" s="1864"/>
    </row>
    <row r="24" spans="1:15" ht="13.5" thickBot="1">
      <c r="A24" s="1069" t="s">
        <v>1590</v>
      </c>
      <c r="B24" s="1018"/>
      <c r="C24" s="1018"/>
      <c r="D24" s="1018"/>
      <c r="E24" s="1018"/>
      <c r="F24" s="1018"/>
      <c r="G24" s="1866"/>
      <c r="I24" s="1068"/>
      <c r="K24" s="1068"/>
    </row>
    <row r="25" spans="1:15" s="1078" customFormat="1" ht="13.5" thickBot="1">
      <c r="A25" s="992"/>
      <c r="B25" s="2062" t="s">
        <v>1591</v>
      </c>
      <c r="C25" s="992"/>
      <c r="D25" s="1012"/>
      <c r="E25" s="1015" t="s">
        <v>1592</v>
      </c>
      <c r="F25" s="992"/>
      <c r="G25" s="2063" t="s">
        <v>1593</v>
      </c>
      <c r="L25" s="1079"/>
      <c r="M25" s="1079"/>
      <c r="O25" s="1080"/>
    </row>
    <row r="26" spans="1:15" s="1078" customFormat="1" ht="13.5" thickBot="1">
      <c r="A26" s="992"/>
      <c r="B26" s="1086"/>
      <c r="C26" s="992"/>
      <c r="D26" s="1012"/>
      <c r="E26" s="1086"/>
      <c r="F26" s="992"/>
      <c r="G26" s="1682"/>
      <c r="L26" s="1079"/>
      <c r="M26" s="1079"/>
      <c r="O26" s="1080"/>
    </row>
    <row r="27" spans="1:15">
      <c r="A27" s="1004" t="s">
        <v>1594</v>
      </c>
      <c r="B27" s="1001"/>
      <c r="C27" s="2824" t="s">
        <v>1594</v>
      </c>
      <c r="D27" s="2825"/>
      <c r="E27" s="1001"/>
      <c r="F27" s="1008" t="s">
        <v>1594</v>
      </c>
      <c r="G27" s="1001"/>
      <c r="I27" s="1068"/>
      <c r="K27" s="1068"/>
    </row>
    <row r="28" spans="1:15">
      <c r="A28" s="1005" t="s">
        <v>1595</v>
      </c>
      <c r="B28" s="976"/>
      <c r="C28" s="2826" t="s">
        <v>1596</v>
      </c>
      <c r="D28" s="2827"/>
      <c r="E28" s="976"/>
      <c r="F28" s="1890" t="s">
        <v>1596</v>
      </c>
      <c r="G28" s="976"/>
      <c r="I28" s="1068"/>
      <c r="K28" s="1068"/>
    </row>
    <row r="29" spans="1:15">
      <c r="A29" s="1005" t="s">
        <v>1597</v>
      </c>
      <c r="B29" s="976"/>
      <c r="C29" s="2826" t="s">
        <v>1597</v>
      </c>
      <c r="D29" s="2827"/>
      <c r="E29" s="976"/>
      <c r="F29" s="1890" t="s">
        <v>1598</v>
      </c>
      <c r="G29" s="976"/>
      <c r="I29" s="1068"/>
      <c r="K29" s="1068"/>
    </row>
    <row r="30" spans="1:15">
      <c r="A30" s="1005" t="s">
        <v>1599</v>
      </c>
      <c r="B30" s="976"/>
      <c r="C30" s="2846" t="s">
        <v>1600</v>
      </c>
      <c r="D30" s="2064"/>
      <c r="E30" s="1020" t="str">
        <f>E31&amp;" "&amp;E32&amp;" "&amp;E33&amp;" "&amp;E34</f>
        <v xml:space="preserve">   </v>
      </c>
      <c r="F30" s="1890" t="s">
        <v>1601</v>
      </c>
      <c r="G30" s="976"/>
    </row>
    <row r="31" spans="1:15">
      <c r="A31" s="1005" t="s">
        <v>1602</v>
      </c>
      <c r="B31" s="976"/>
      <c r="C31" s="2847"/>
      <c r="D31" s="1889" t="s">
        <v>1603</v>
      </c>
      <c r="E31" s="976"/>
      <c r="F31" s="1890" t="s">
        <v>1604</v>
      </c>
      <c r="G31" s="976"/>
    </row>
    <row r="32" spans="1:15" ht="24.75" thickBot="1">
      <c r="A32" s="1006" t="s">
        <v>1605</v>
      </c>
      <c r="B32" s="1002"/>
      <c r="C32" s="2847"/>
      <c r="D32" s="1889" t="s">
        <v>1606</v>
      </c>
      <c r="E32" s="976"/>
      <c r="F32" s="1890" t="s">
        <v>1607</v>
      </c>
      <c r="G32" s="976"/>
    </row>
    <row r="33" spans="1:7">
      <c r="A33" s="1004" t="s">
        <v>1608</v>
      </c>
      <c r="B33" s="1001"/>
      <c r="C33" s="2847"/>
      <c r="D33" s="1889" t="s">
        <v>1609</v>
      </c>
      <c r="E33" s="976"/>
      <c r="F33" s="1890" t="s">
        <v>1610</v>
      </c>
      <c r="G33" s="976"/>
    </row>
    <row r="34" spans="1:7" ht="13.5" thickBot="1">
      <c r="A34" s="1005" t="s">
        <v>1611</v>
      </c>
      <c r="B34" s="976"/>
      <c r="C34" s="2848"/>
      <c r="D34" s="1889" t="s">
        <v>1612</v>
      </c>
      <c r="E34" s="976"/>
      <c r="F34" s="1891" t="s">
        <v>1613</v>
      </c>
      <c r="G34" s="1003"/>
    </row>
    <row r="35" spans="1:7">
      <c r="A35" s="1005" t="s">
        <v>1565</v>
      </c>
      <c r="B35" s="976"/>
      <c r="C35" s="2826" t="s">
        <v>1614</v>
      </c>
      <c r="D35" s="2827"/>
      <c r="E35" s="976"/>
      <c r="F35" s="1016" t="s">
        <v>1615</v>
      </c>
      <c r="G35" s="1001"/>
    </row>
    <row r="36" spans="1:7" ht="13.5" thickBot="1">
      <c r="A36" s="1005" t="s">
        <v>1616</v>
      </c>
      <c r="B36" s="976"/>
      <c r="C36" s="2828" t="s">
        <v>1617</v>
      </c>
      <c r="D36" s="2829"/>
      <c r="E36" s="1002"/>
      <c r="F36" s="1887" t="s">
        <v>1618</v>
      </c>
      <c r="G36" s="976"/>
    </row>
    <row r="37" spans="1:7" ht="13.5" thickBot="1">
      <c r="A37" s="1005" t="s">
        <v>1619</v>
      </c>
      <c r="B37" s="976"/>
      <c r="C37" s="2818" t="s">
        <v>1620</v>
      </c>
      <c r="D37" s="2065" t="s">
        <v>1604</v>
      </c>
      <c r="E37" s="1001"/>
      <c r="F37" s="1891" t="s">
        <v>1621</v>
      </c>
      <c r="G37" s="1002"/>
    </row>
    <row r="38" spans="1:7">
      <c r="A38" s="1005" t="s">
        <v>1622</v>
      </c>
      <c r="B38" s="976"/>
      <c r="C38" s="2819"/>
      <c r="D38" s="1889" t="s">
        <v>1611</v>
      </c>
      <c r="E38" s="976"/>
      <c r="F38" s="1008" t="s">
        <v>1623</v>
      </c>
      <c r="G38" s="1001"/>
    </row>
    <row r="39" spans="1:7">
      <c r="A39" s="1005" t="s">
        <v>1624</v>
      </c>
      <c r="B39" s="976"/>
      <c r="C39" s="2819" t="s">
        <v>1625</v>
      </c>
      <c r="D39" s="1889" t="s">
        <v>1565</v>
      </c>
      <c r="E39" s="976"/>
      <c r="F39" s="1890" t="s">
        <v>1626</v>
      </c>
      <c r="G39" s="976"/>
    </row>
    <row r="40" spans="1:7" ht="24.75" customHeight="1" thickBot="1">
      <c r="A40" s="1006" t="s">
        <v>1627</v>
      </c>
      <c r="B40" s="1002"/>
      <c r="C40" s="2820"/>
      <c r="D40" s="1892" t="s">
        <v>1568</v>
      </c>
      <c r="E40" s="1002"/>
      <c r="F40" s="1891" t="s">
        <v>1628</v>
      </c>
      <c r="G40" s="1002"/>
    </row>
    <row r="41" spans="1:7">
      <c r="A41" s="1007" t="s">
        <v>1629</v>
      </c>
      <c r="B41" s="1057"/>
      <c r="C41" s="2841" t="s">
        <v>1629</v>
      </c>
      <c r="D41" s="2842"/>
      <c r="E41" s="1057"/>
      <c r="F41" s="1008" t="s">
        <v>1630</v>
      </c>
      <c r="G41" s="1057"/>
    </row>
    <row r="42" spans="1:7">
      <c r="A42" s="1054" t="s">
        <v>1631</v>
      </c>
      <c r="B42" s="1058"/>
      <c r="C42" s="2066"/>
      <c r="D42" s="2067"/>
      <c r="E42" s="1058"/>
      <c r="F42" s="1056"/>
      <c r="G42" s="1058"/>
    </row>
    <row r="43" spans="1:7">
      <c r="A43" s="94" t="s">
        <v>1585</v>
      </c>
      <c r="B43" s="1055"/>
      <c r="C43" s="2066"/>
      <c r="D43" s="2068" t="s">
        <v>1585</v>
      </c>
      <c r="E43" s="1055"/>
      <c r="F43" s="94" t="s">
        <v>1585</v>
      </c>
      <c r="G43" s="1055"/>
    </row>
    <row r="44" spans="1:7">
      <c r="A44" s="94" t="s">
        <v>1586</v>
      </c>
      <c r="B44" s="1055"/>
      <c r="C44" s="2066"/>
      <c r="D44" s="2052" t="s">
        <v>1586</v>
      </c>
      <c r="E44" s="1055"/>
      <c r="F44" s="94" t="s">
        <v>1586</v>
      </c>
      <c r="G44" s="1055"/>
    </row>
    <row r="45" spans="1:7">
      <c r="A45" s="94" t="s">
        <v>1587</v>
      </c>
      <c r="B45" s="1055"/>
      <c r="C45" s="2066"/>
      <c r="D45" s="2052" t="s">
        <v>1587</v>
      </c>
      <c r="E45" s="1055"/>
      <c r="F45" s="94" t="s">
        <v>1587</v>
      </c>
      <c r="G45" s="1055"/>
    </row>
    <row r="46" spans="1:7">
      <c r="A46" s="94" t="s">
        <v>1588</v>
      </c>
      <c r="B46" s="1055"/>
      <c r="C46" s="2066"/>
      <c r="D46" s="2052" t="s">
        <v>1588</v>
      </c>
      <c r="E46" s="1055"/>
      <c r="F46" s="94" t="s">
        <v>1588</v>
      </c>
      <c r="G46" s="1055"/>
    </row>
    <row r="47" spans="1:7">
      <c r="A47" s="1054"/>
      <c r="B47" s="1055"/>
      <c r="C47" s="2066"/>
      <c r="D47" s="2067"/>
      <c r="E47" s="1055"/>
      <c r="F47" s="1056"/>
      <c r="G47" s="1055"/>
    </row>
    <row r="48" spans="1:7" ht="13.5" thickBot="1">
      <c r="A48" s="1006" t="s">
        <v>1632</v>
      </c>
      <c r="B48" s="1002"/>
      <c r="C48" s="2843" t="s">
        <v>1632</v>
      </c>
      <c r="D48" s="2844"/>
      <c r="E48" s="1052"/>
      <c r="F48" s="1891" t="s">
        <v>1633</v>
      </c>
      <c r="G48" s="1002"/>
    </row>
    <row r="49" spans="1:15">
      <c r="A49" s="1005" t="s">
        <v>1634</v>
      </c>
      <c r="B49" s="1051"/>
      <c r="C49" s="2818" t="s">
        <v>1635</v>
      </c>
      <c r="D49" s="2845"/>
      <c r="E49" s="1053"/>
      <c r="F49" s="1081"/>
      <c r="G49" s="1082"/>
    </row>
    <row r="50" spans="1:15" ht="13.5" thickBot="1">
      <c r="A50" s="1005" t="s">
        <v>1636</v>
      </c>
      <c r="B50" s="1051"/>
      <c r="C50" s="2820" t="s">
        <v>1637</v>
      </c>
      <c r="D50" s="2823"/>
      <c r="E50" s="1002"/>
      <c r="F50" s="1018"/>
      <c r="G50" s="1071"/>
    </row>
    <row r="51" spans="1:15">
      <c r="A51" s="1005" t="s">
        <v>1615</v>
      </c>
      <c r="B51" s="976"/>
      <c r="C51" s="1018"/>
      <c r="D51" s="1018"/>
      <c r="E51" s="1018"/>
      <c r="F51" s="1018"/>
      <c r="G51" s="1071"/>
    </row>
    <row r="52" spans="1:15" ht="24.75" thickBot="1">
      <c r="A52" s="1006" t="s">
        <v>1638</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9" t="s">
        <v>0</v>
      </c>
      <c r="B1" s="2849" t="s">
        <v>2</v>
      </c>
      <c r="C1" s="2849" t="s">
        <v>3</v>
      </c>
      <c r="D1" s="2850" t="s">
        <v>67</v>
      </c>
      <c r="E1" s="2850" t="s">
        <v>68</v>
      </c>
      <c r="F1" s="2850"/>
      <c r="G1" s="2850"/>
      <c r="H1" s="2850"/>
      <c r="I1" s="2850"/>
      <c r="J1" s="2850"/>
      <c r="K1" s="2850"/>
      <c r="L1" s="2850"/>
      <c r="M1" s="2850"/>
    </row>
    <row r="2" spans="1:13" ht="27" customHeight="1">
      <c r="A2" s="2849"/>
      <c r="B2" s="2849"/>
      <c r="C2" s="2849"/>
      <c r="D2" s="2850"/>
      <c r="E2" s="2850" t="s">
        <v>51</v>
      </c>
      <c r="F2" s="2850" t="s">
        <v>52</v>
      </c>
      <c r="G2" s="2850"/>
      <c r="H2" s="2850"/>
      <c r="I2" s="2850"/>
      <c r="J2" s="2850" t="s">
        <v>53</v>
      </c>
      <c r="K2" s="2850"/>
      <c r="L2" s="2850"/>
      <c r="M2" s="2850"/>
    </row>
    <row r="3" spans="1:13" ht="28.5">
      <c r="A3" s="2849"/>
      <c r="B3" s="2849"/>
      <c r="C3" s="2849"/>
      <c r="D3" s="2850"/>
      <c r="E3" s="28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0" t="s">
        <v>69</v>
      </c>
      <c r="B9" s="2850"/>
      <c r="C9" s="28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1639</v>
      </c>
      <c r="B1" s="1234"/>
      <c r="C1" s="1234"/>
      <c r="D1" s="1850"/>
      <c r="E1" s="1850"/>
      <c r="AE1" s="1234"/>
      <c r="AF1" s="1234"/>
      <c r="AG1" s="1234"/>
      <c r="AH1" s="1234"/>
      <c r="AI1" s="1234"/>
      <c r="AJ1" s="1234"/>
      <c r="AK1" s="1234"/>
      <c r="AL1" s="1234"/>
      <c r="AM1" s="1234"/>
      <c r="AN1" s="1234"/>
      <c r="AO1" s="1234"/>
    </row>
    <row r="2" spans="1:41" s="2074" customFormat="1" ht="15.75" thickBot="1">
      <c r="A2" s="2071" t="s">
        <v>1640</v>
      </c>
      <c r="B2" s="1206">
        <f>项目基本情况!D2</f>
        <v>43465</v>
      </c>
      <c r="C2" s="1852"/>
      <c r="D2" s="2851" t="s">
        <v>1641</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1642</v>
      </c>
      <c r="B3" s="2075" t="s">
        <v>3128</v>
      </c>
      <c r="C3" s="1852"/>
      <c r="D3" s="2852"/>
      <c r="E3" s="1185" t="s">
        <v>3132</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1643</v>
      </c>
      <c r="B4" s="2075" t="s">
        <v>3129</v>
      </c>
      <c r="C4" s="1852"/>
      <c r="D4" s="2852"/>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1644</v>
      </c>
      <c r="B5" s="1315">
        <f>项目基本情况!C12</f>
        <v>14802.98</v>
      </c>
      <c r="C5" s="1852"/>
      <c r="D5" s="2077" t="s">
        <v>1645</v>
      </c>
      <c r="E5" s="393">
        <v>48.03</v>
      </c>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1646</v>
      </c>
      <c r="B6" s="1316">
        <f>项目基本情况!C13</f>
        <v>1050.7</v>
      </c>
      <c r="C6" s="1852"/>
      <c r="D6" s="2077" t="s">
        <v>1647</v>
      </c>
      <c r="E6" s="393">
        <v>3.41</v>
      </c>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1648</v>
      </c>
      <c r="B10" s="2082" t="s">
        <v>3130</v>
      </c>
      <c r="C10" s="1852"/>
      <c r="D10" s="2071" t="s">
        <v>1649</v>
      </c>
      <c r="E10" s="2083" t="s">
        <v>1650</v>
      </c>
      <c r="F10" s="1142" t="s">
        <v>1651</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1652</v>
      </c>
      <c r="B11" s="987">
        <v>50</v>
      </c>
      <c r="C11" s="1852"/>
      <c r="D11" s="2085" t="s">
        <v>1653</v>
      </c>
      <c r="E11" s="34"/>
      <c r="F11" s="1851" t="s">
        <v>1654</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1655</v>
      </c>
      <c r="B12" s="2089">
        <v>55971</v>
      </c>
      <c r="C12" s="1852"/>
      <c r="D12" s="2090" t="s">
        <v>1656</v>
      </c>
      <c r="E12" s="37">
        <v>120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1657</v>
      </c>
      <c r="B13" s="988">
        <f>IF(B12="",B11-(YEAR($B$2)-B26+B23),ROUNDDOWN(MIN((B12-$B$2)/365,B11),2))</f>
        <v>34.26</v>
      </c>
      <c r="C13" s="2092"/>
      <c r="D13" s="2093" t="s">
        <v>1658</v>
      </c>
      <c r="E13" s="39"/>
      <c r="F13" s="1846" t="s">
        <v>1659</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1660</v>
      </c>
      <c r="B14" s="989">
        <f>IF(ISERROR(ROUND(POWER(1+B15,B11-B13)*(POWER(1+B15,B13)-1)/(POWER(1+B15,B11)-1),3)),0,ROUND(POWER(1+B15,B11-B13)*(POWER(1+B15,B13)-1)/(POWER(1+B15,B11)-1),3))</f>
        <v>0.86</v>
      </c>
      <c r="C14" s="1852"/>
      <c r="D14" s="2094" t="s">
        <v>1661</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1662</v>
      </c>
      <c r="B15" s="30">
        <v>0.04</v>
      </c>
      <c r="C15" s="1852"/>
      <c r="D15" s="2090" t="s">
        <v>1663</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1664</v>
      </c>
      <c r="B16" s="30">
        <v>4.4999999999999998E-2</v>
      </c>
      <c r="C16" s="1852"/>
      <c r="D16" s="2095" t="s">
        <v>1665</v>
      </c>
      <c r="E16" s="709">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1666</v>
      </c>
      <c r="B17" s="994">
        <v>0.08</v>
      </c>
      <c r="C17" s="1852"/>
      <c r="D17" s="2081" t="s">
        <v>1667</v>
      </c>
      <c r="E17" s="983">
        <v>2200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4">
        <f>ROUND(B5*E17*IF(B25=0,1,E20),0)</f>
        <v>32566556</v>
      </c>
      <c r="F18" s="1317">
        <f>ROUND(E5*E17*IF(B25=0,1,E20),0)</f>
        <v>105666</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1668</v>
      </c>
      <c r="B19" s="1852"/>
      <c r="C19" s="1852"/>
      <c r="D19" s="2097"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1669</v>
      </c>
      <c r="B20" s="31">
        <v>0</v>
      </c>
      <c r="C20" s="1852"/>
      <c r="D20" s="2099" t="str">
        <f>IF(B25=0,"成新率","工程进度")</f>
        <v>成新率</v>
      </c>
      <c r="E20" s="3122">
        <f>ROUND(1-(2019-2005)/60,2)</f>
        <v>0.77</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1670</v>
      </c>
      <c r="B21" s="32">
        <v>2</v>
      </c>
      <c r="C21" s="1852"/>
      <c r="D21" s="2090" t="s">
        <v>1671</v>
      </c>
      <c r="E21" s="3123">
        <v>0.03</v>
      </c>
      <c r="F21" s="1849" t="s">
        <v>1672</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1673</v>
      </c>
      <c r="B22" s="1451">
        <v>2</v>
      </c>
      <c r="C22" s="1852"/>
      <c r="D22" s="2090" t="s">
        <v>1674</v>
      </c>
      <c r="E22" s="40">
        <v>0.05</v>
      </c>
      <c r="F22" s="1849" t="s">
        <v>1675</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1676</v>
      </c>
      <c r="B23" s="33">
        <f>B20+B21</f>
        <v>2</v>
      </c>
      <c r="C23" s="1852"/>
      <c r="D23" s="2090" t="s">
        <v>1677</v>
      </c>
      <c r="E23" s="37">
        <v>200</v>
      </c>
      <c r="F23" s="1849" t="s">
        <v>1678</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1679</v>
      </c>
      <c r="B24" s="1739">
        <f>B20+B22</f>
        <v>2</v>
      </c>
      <c r="C24" s="1852"/>
      <c r="D24" s="2095" t="s">
        <v>1680</v>
      </c>
      <c r="E24" s="1815">
        <v>1.4999999999999999E-2</v>
      </c>
      <c r="F24" s="1849" t="s">
        <v>1681</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1682</v>
      </c>
      <c r="B25" s="1450">
        <f>B21-B22</f>
        <v>0</v>
      </c>
      <c r="C25" s="1234"/>
      <c r="D25" s="2085" t="s">
        <v>1683</v>
      </c>
      <c r="E25" s="710">
        <v>0.02</v>
      </c>
      <c r="F25" s="1849" t="s">
        <v>1684</v>
      </c>
      <c r="I25" s="1850"/>
      <c r="AE25" s="1234"/>
      <c r="AF25" s="1234"/>
      <c r="AG25" s="1234"/>
      <c r="AH25" s="1234"/>
      <c r="AI25" s="1234"/>
      <c r="AJ25" s="1234"/>
      <c r="AK25" s="1234"/>
      <c r="AL25" s="1234"/>
      <c r="AM25" s="1234"/>
      <c r="AN25" s="1234"/>
      <c r="AO25" s="1234"/>
    </row>
    <row r="26" spans="1:41" ht="15.75" thickBot="1">
      <c r="A26" s="2104" t="s">
        <v>1685</v>
      </c>
      <c r="B26" s="1091">
        <v>2005</v>
      </c>
      <c r="C26" s="1852"/>
      <c r="D26" s="2090" t="s">
        <v>1686</v>
      </c>
      <c r="E26" s="40">
        <v>0.02</v>
      </c>
      <c r="F26" s="1849" t="s">
        <v>1684</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1687</v>
      </c>
      <c r="E27" s="352">
        <f ca="1">存贷款利率!G1</f>
        <v>4.7500000000000001E-2</v>
      </c>
      <c r="F27" s="1849" t="s">
        <v>1688</v>
      </c>
      <c r="G27" s="2073"/>
      <c r="H27" s="2073"/>
      <c r="K27" s="1852"/>
      <c r="N27" s="1852"/>
      <c r="AE27" s="1234"/>
      <c r="AF27" s="1234"/>
      <c r="AG27" s="1234"/>
      <c r="AH27" s="1234"/>
      <c r="AI27" s="1234"/>
      <c r="AJ27" s="1234"/>
      <c r="AK27" s="1234"/>
      <c r="AL27" s="1234"/>
      <c r="AM27" s="1234"/>
      <c r="AN27" s="1234"/>
      <c r="AO27" s="1234"/>
    </row>
    <row r="28" spans="1:41" ht="15" thickBot="1">
      <c r="A28" s="2105" t="s">
        <v>1689</v>
      </c>
      <c r="B28" s="2106" t="s">
        <v>3131</v>
      </c>
      <c r="C28" s="1234"/>
      <c r="D28" s="2107" t="s">
        <v>1690</v>
      </c>
      <c r="E28" s="986">
        <v>0.1</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1200</v>
      </c>
      <c r="C29" s="1234"/>
      <c r="D29" s="2094" t="s">
        <v>1691</v>
      </c>
      <c r="E29" s="985">
        <f>E30+E31</f>
        <v>5.6000000000000001E-2</v>
      </c>
      <c r="F29" s="1846"/>
      <c r="G29" s="2073"/>
      <c r="H29" s="2073"/>
      <c r="K29" s="1852"/>
      <c r="N29" s="1852"/>
      <c r="AE29" s="1234"/>
      <c r="AF29" s="1234"/>
      <c r="AG29" s="1234"/>
      <c r="AH29" s="1234"/>
      <c r="AI29" s="1234"/>
      <c r="AJ29" s="1234"/>
      <c r="AK29" s="1234"/>
      <c r="AL29" s="1234"/>
      <c r="AM29" s="1234"/>
      <c r="AN29" s="1234"/>
      <c r="AO29" s="1234"/>
    </row>
    <row r="30" spans="1:41" ht="14.25">
      <c r="A30" s="2088" t="s">
        <v>1692</v>
      </c>
      <c r="B30" s="1416">
        <f ca="1">存贷款利率!I1</f>
        <v>1.4999999999999999E-2</v>
      </c>
      <c r="C30" s="1234"/>
      <c r="D30" s="2108" t="s">
        <v>1693</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1694</v>
      </c>
      <c r="B31" s="30">
        <v>0.02</v>
      </c>
      <c r="C31" s="1234"/>
      <c r="D31" s="2108" t="s">
        <v>1695</v>
      </c>
      <c r="E31" s="42">
        <f>E30*(E32+E33+E34)+E35</f>
        <v>6.000000000000001E-3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1696</v>
      </c>
      <c r="B32" s="30">
        <v>0.1</v>
      </c>
      <c r="C32" s="1234"/>
      <c r="D32" s="2109" t="s">
        <v>1697</v>
      </c>
      <c r="E32" s="43">
        <v>7.0000000000000007E-2</v>
      </c>
      <c r="F32" s="1844" t="s">
        <v>1698</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1699</v>
      </c>
      <c r="B33" s="1377">
        <f>收益法!J54</f>
        <v>34.26</v>
      </c>
      <c r="C33" s="1234"/>
      <c r="D33" s="2109" t="s">
        <v>1700</v>
      </c>
      <c r="E33" s="41">
        <v>0.03</v>
      </c>
      <c r="F33" s="1843" t="s">
        <v>1701</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5"/>
      <c r="C34" s="1234"/>
      <c r="D34" s="2109" t="s">
        <v>1702</v>
      </c>
      <c r="E34" s="41">
        <v>0.02</v>
      </c>
      <c r="F34" s="1843" t="s">
        <v>1703</v>
      </c>
      <c r="G34" s="2110"/>
      <c r="H34" s="2110"/>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1704</v>
      </c>
      <c r="B35" s="991"/>
      <c r="C35" s="1234"/>
      <c r="D35" s="2113" t="s">
        <v>1705</v>
      </c>
      <c r="E35" s="44"/>
      <c r="F35" s="1851" t="s">
        <v>1706</v>
      </c>
      <c r="G35" s="2110"/>
      <c r="H35" s="2110"/>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6"/>
      <c r="C36" s="1234"/>
      <c r="D36" s="2115" t="s">
        <v>1707</v>
      </c>
      <c r="E36" s="45">
        <v>0.03</v>
      </c>
      <c r="F36" s="1847" t="s">
        <v>1708</v>
      </c>
      <c r="G36" s="2110"/>
      <c r="H36" s="2110"/>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1709</v>
      </c>
      <c r="E37" s="41">
        <v>5.0000000000000001E-4</v>
      </c>
      <c r="F37" s="1847" t="s">
        <v>1710</v>
      </c>
      <c r="G37" s="2073"/>
      <c r="H37" s="2073"/>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1711</v>
      </c>
      <c r="E38" s="46">
        <v>1.2E-2</v>
      </c>
      <c r="F38" s="1845"/>
      <c r="G38" s="1850"/>
      <c r="H38" s="1850"/>
      <c r="I38" s="2073"/>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1712</v>
      </c>
      <c r="E39" s="47">
        <v>0.12</v>
      </c>
      <c r="F39" s="1845"/>
      <c r="G39" s="2110"/>
      <c r="H39" s="2110"/>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1713</v>
      </c>
      <c r="E40" s="48">
        <f>SUMIF(D42:D51,E41,E42:E51)</f>
        <v>30</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1714</v>
      </c>
      <c r="B41" s="997">
        <v>1</v>
      </c>
      <c r="C41" s="1234"/>
      <c r="D41" s="2090" t="s">
        <v>1715</v>
      </c>
      <c r="E41" s="2118" t="s">
        <v>161</v>
      </c>
      <c r="F41" s="1845" t="s">
        <v>1716</v>
      </c>
      <c r="G41" s="2119" t="s">
        <v>1717</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1718</v>
      </c>
      <c r="B42" s="990">
        <v>12</v>
      </c>
      <c r="C42" s="1234"/>
      <c r="D42" s="2120" t="s">
        <v>1719</v>
      </c>
      <c r="E42" s="29">
        <v>30</v>
      </c>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1720</v>
      </c>
      <c r="B43" s="29"/>
      <c r="C43" s="1234"/>
      <c r="D43" s="2120" t="s">
        <v>1721</v>
      </c>
      <c r="E43" s="29"/>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1722</v>
      </c>
      <c r="B44" s="998">
        <v>1.4999999999999999E-2</v>
      </c>
      <c r="C44" s="1234" t="s">
        <v>967</v>
      </c>
      <c r="D44" s="2120" t="s">
        <v>1723</v>
      </c>
      <c r="E44" s="29"/>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1724</v>
      </c>
      <c r="B45" s="999">
        <v>1.5E-3</v>
      </c>
      <c r="C45" s="1234" t="s">
        <v>968</v>
      </c>
      <c r="D45" s="2120" t="s">
        <v>1725</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1726</v>
      </c>
      <c r="B46" s="1000">
        <v>0.02</v>
      </c>
      <c r="C46" s="1234" t="s">
        <v>969</v>
      </c>
      <c r="D46" s="2120" t="s">
        <v>1471</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1727</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1728</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1729</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1730</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1731</v>
      </c>
      <c r="E51" s="49"/>
      <c r="F51" s="1852"/>
      <c r="M51" s="1852"/>
      <c r="N51" s="1852"/>
      <c r="O51" s="84"/>
      <c r="P51" s="84"/>
    </row>
    <row r="52" spans="1:41" s="1234" customFormat="1" ht="14.25">
      <c r="D52" s="2073"/>
      <c r="E52" s="2073"/>
      <c r="F52" s="2073"/>
      <c r="G52" s="2073"/>
      <c r="H52" s="2073"/>
      <c r="I52" s="1852"/>
      <c r="J52" s="1852"/>
      <c r="K52" s="1852"/>
      <c r="L52" s="1852"/>
      <c r="M52" s="1852"/>
      <c r="N52" s="1852"/>
      <c r="O52" s="84"/>
      <c r="P52" s="84"/>
    </row>
    <row r="53" spans="1:41" s="1234" customFormat="1" ht="14.25">
      <c r="D53" s="2073"/>
      <c r="E53" s="2073"/>
      <c r="F53" s="2073"/>
      <c r="G53" s="2073"/>
      <c r="H53" s="2073"/>
      <c r="I53" s="1852"/>
      <c r="J53" s="1852"/>
      <c r="K53" s="1852"/>
      <c r="L53" s="1852"/>
      <c r="M53" s="1852"/>
      <c r="N53" s="1852"/>
      <c r="O53" s="84"/>
      <c r="P53" s="84"/>
    </row>
    <row r="54" spans="1:41" s="1234" customFormat="1" ht="14.25">
      <c r="D54" s="2073"/>
      <c r="E54" s="2073"/>
      <c r="F54" s="2073"/>
      <c r="G54" s="2073"/>
      <c r="H54" s="2073"/>
      <c r="I54" s="1852"/>
      <c r="J54" s="1852"/>
      <c r="K54" s="1852"/>
      <c r="L54" s="1852"/>
      <c r="M54" s="1852"/>
      <c r="N54" s="1852"/>
      <c r="O54" s="84"/>
      <c r="P54" s="84"/>
    </row>
    <row r="55" spans="1:41" s="1234" customFormat="1" ht="14.25">
      <c r="D55" s="2073"/>
      <c r="E55" s="2073"/>
      <c r="F55" s="2073"/>
      <c r="G55" s="2073"/>
      <c r="H55" s="2073"/>
      <c r="I55" s="1852"/>
      <c r="J55" s="1852"/>
      <c r="K55" s="1852"/>
      <c r="L55" s="1852"/>
      <c r="M55" s="1852"/>
      <c r="N55" s="1852"/>
      <c r="O55" s="84"/>
      <c r="P55" s="84"/>
    </row>
    <row r="56" spans="1:41" s="1234" customFormat="1" ht="14.25">
      <c r="D56" s="2073"/>
      <c r="E56" s="2073"/>
      <c r="F56" s="2073"/>
      <c r="G56" s="2073"/>
      <c r="H56" s="2073"/>
      <c r="I56" s="1852"/>
      <c r="J56" s="1852"/>
      <c r="K56" s="1852"/>
      <c r="L56" s="1852"/>
      <c r="M56" s="1852"/>
      <c r="N56" s="1852"/>
      <c r="O56" s="84"/>
      <c r="P56" s="84"/>
    </row>
    <row r="57" spans="1:41" s="1234" customFormat="1" ht="14.25">
      <c r="D57" s="2073"/>
      <c r="E57" s="2073"/>
      <c r="F57" s="2073"/>
      <c r="G57" s="2073"/>
      <c r="H57" s="2073"/>
      <c r="I57" s="1852"/>
      <c r="J57" s="1852"/>
      <c r="K57" s="1852"/>
      <c r="L57" s="1852"/>
      <c r="M57" s="1852"/>
      <c r="N57" s="1852"/>
      <c r="O57" s="84"/>
      <c r="P57" s="84"/>
    </row>
    <row r="58" spans="1:41" s="1234" customFormat="1" ht="14.25">
      <c r="D58" s="2073"/>
      <c r="E58" s="2073"/>
      <c r="F58" s="2073"/>
      <c r="G58" s="2073"/>
      <c r="H58" s="2073"/>
      <c r="I58" s="1852"/>
      <c r="J58" s="1852"/>
      <c r="K58" s="1852"/>
      <c r="L58" s="1852"/>
      <c r="M58" s="1852"/>
      <c r="N58" s="1852"/>
      <c r="O58" s="84"/>
      <c r="P58" s="84"/>
    </row>
    <row r="59" spans="1:41" s="1234" customFormat="1" ht="14.25">
      <c r="D59" s="2073"/>
      <c r="E59" s="2073"/>
      <c r="F59" s="2073"/>
      <c r="G59" s="2073"/>
      <c r="H59" s="2073"/>
      <c r="I59" s="1852"/>
      <c r="J59" s="1852"/>
      <c r="K59" s="1852"/>
      <c r="L59" s="1852"/>
      <c r="M59" s="2122"/>
      <c r="N59" s="1852"/>
      <c r="O59" s="84"/>
      <c r="P59" s="84"/>
    </row>
    <row r="60" spans="1:41" s="1234" customFormat="1" ht="14.25">
      <c r="D60" s="2073"/>
      <c r="E60" s="2073"/>
      <c r="F60" s="2073"/>
      <c r="G60" s="2073"/>
      <c r="H60" s="2073"/>
      <c r="I60" s="1852"/>
      <c r="J60" s="1852"/>
      <c r="K60" s="1852"/>
      <c r="L60" s="1852"/>
      <c r="M60" s="1852"/>
      <c r="N60" s="1852"/>
      <c r="O60" s="84"/>
      <c r="P60" s="84"/>
    </row>
    <row r="61" spans="1:41" s="1234" customFormat="1" ht="14.25">
      <c r="D61" s="2073"/>
      <c r="E61" s="2073"/>
      <c r="F61" s="2073"/>
      <c r="G61" s="2073"/>
      <c r="H61" s="2073"/>
      <c r="I61" s="1852"/>
      <c r="J61" s="1852"/>
      <c r="K61" s="1852"/>
      <c r="L61" s="1852"/>
      <c r="M61" s="1852"/>
      <c r="N61" s="1852"/>
      <c r="O61" s="84"/>
      <c r="P61" s="84"/>
    </row>
    <row r="62" spans="1:41" s="1234" customFormat="1" ht="14.25">
      <c r="D62" s="2073"/>
      <c r="E62" s="2073"/>
      <c r="F62" s="2073"/>
      <c r="G62" s="2073"/>
      <c r="H62" s="2073"/>
      <c r="I62" s="1852"/>
      <c r="J62" s="1852"/>
      <c r="K62" s="1852"/>
      <c r="L62" s="1852"/>
      <c r="M62" s="1852"/>
      <c r="N62" s="1852"/>
      <c r="O62" s="84"/>
      <c r="P62" s="84"/>
    </row>
    <row r="63" spans="1:41" s="1234" customFormat="1" ht="14.25">
      <c r="D63" s="2073"/>
      <c r="E63" s="2073"/>
      <c r="F63" s="2073"/>
      <c r="G63" s="2073"/>
      <c r="H63" s="2073"/>
      <c r="I63" s="1852"/>
      <c r="J63" s="1852"/>
      <c r="K63" s="1852"/>
      <c r="L63" s="1852"/>
      <c r="M63" s="1852"/>
      <c r="N63" s="1852"/>
      <c r="O63" s="84"/>
      <c r="P63" s="84"/>
    </row>
    <row r="64" spans="1:41" s="1234" customFormat="1" ht="14.25">
      <c r="D64" s="2073"/>
      <c r="E64" s="2073"/>
      <c r="F64" s="2073"/>
      <c r="G64" s="2073"/>
      <c r="H64" s="2073"/>
      <c r="I64" s="1852"/>
      <c r="J64" s="1852"/>
      <c r="K64" s="1852"/>
      <c r="L64" s="1852"/>
      <c r="M64" s="1852"/>
      <c r="N64" s="1852"/>
      <c r="O64" s="84"/>
      <c r="P64" s="84"/>
    </row>
    <row r="65" spans="1:16" s="1234" customFormat="1" ht="14.25">
      <c r="D65" s="2073"/>
      <c r="E65" s="2073"/>
      <c r="F65" s="2073"/>
      <c r="G65" s="2073"/>
      <c r="H65" s="2073"/>
      <c r="I65" s="1852"/>
      <c r="J65" s="1852"/>
      <c r="K65" s="1852"/>
      <c r="L65" s="1852"/>
      <c r="M65" s="1852"/>
      <c r="N65" s="1852"/>
      <c r="O65" s="84"/>
      <c r="P65" s="84"/>
    </row>
    <row r="66" spans="1:16" s="1234" customFormat="1" ht="14.25">
      <c r="A66" s="2123"/>
      <c r="D66" s="2073"/>
      <c r="E66" s="2073"/>
      <c r="F66" s="2073"/>
      <c r="G66" s="2073"/>
      <c r="H66" s="2073"/>
      <c r="I66" s="1852"/>
      <c r="J66" s="1852"/>
      <c r="K66" s="1852"/>
      <c r="L66" s="1852"/>
      <c r="M66" s="1852"/>
      <c r="N66" s="1852"/>
      <c r="O66" s="84"/>
      <c r="P66" s="84"/>
    </row>
    <row r="67" spans="1:16" s="1234" customFormat="1" ht="14.25">
      <c r="A67" s="2123"/>
      <c r="D67" s="2073"/>
      <c r="E67" s="2073"/>
      <c r="F67" s="2073"/>
      <c r="G67" s="2073"/>
      <c r="H67" s="2073"/>
      <c r="I67" s="1852"/>
      <c r="J67" s="1852"/>
      <c r="K67" s="1852"/>
      <c r="L67" s="1852"/>
      <c r="M67" s="1852"/>
      <c r="N67" s="1852"/>
      <c r="O67" s="84"/>
      <c r="P67" s="84"/>
    </row>
    <row r="68" spans="1:16" s="1234" customFormat="1" ht="14.25">
      <c r="A68" s="2123"/>
      <c r="D68" s="2073"/>
      <c r="E68" s="2073"/>
      <c r="F68" s="2073"/>
      <c r="G68" s="1850"/>
      <c r="H68" s="1850"/>
      <c r="O68" s="84"/>
      <c r="P68" s="84"/>
    </row>
    <row r="69" spans="1:16" s="1234" customFormat="1">
      <c r="A69" s="2123"/>
      <c r="D69" s="1850"/>
      <c r="E69" s="1850"/>
      <c r="F69" s="1850"/>
      <c r="G69" s="1850"/>
      <c r="H69" s="1850"/>
      <c r="O69" s="84"/>
      <c r="P69" s="84"/>
    </row>
    <row r="70" spans="1:16" s="1234" customFormat="1">
      <c r="A70" s="2123"/>
      <c r="D70" s="1850"/>
      <c r="E70" s="1850"/>
      <c r="F70" s="1850"/>
      <c r="G70" s="1850"/>
      <c r="H70" s="1850"/>
      <c r="O70" s="84"/>
      <c r="P70" s="84"/>
    </row>
    <row r="71" spans="1:16" s="1234" customFormat="1">
      <c r="A71" s="2123"/>
      <c r="D71" s="1850"/>
      <c r="E71" s="1850"/>
      <c r="F71" s="1850"/>
      <c r="G71" s="1850"/>
      <c r="H71" s="1850"/>
      <c r="O71" s="84"/>
      <c r="P71" s="84"/>
    </row>
    <row r="72" spans="1:16" s="1234" customFormat="1">
      <c r="A72" s="2123"/>
      <c r="D72" s="1850"/>
      <c r="E72" s="1850"/>
      <c r="F72" s="1850"/>
      <c r="G72" s="1850"/>
      <c r="H72" s="1850"/>
      <c r="O72" s="84"/>
      <c r="P72" s="84"/>
    </row>
    <row r="73" spans="1:16" s="1234" customFormat="1">
      <c r="A73" s="2123"/>
      <c r="D73" s="1850"/>
      <c r="E73" s="1850"/>
      <c r="F73" s="1850"/>
      <c r="G73" s="1850"/>
      <c r="H73" s="1850"/>
      <c r="O73" s="84"/>
      <c r="P73" s="84"/>
    </row>
    <row r="74" spans="1:16" s="1234" customFormat="1">
      <c r="A74" s="2123"/>
      <c r="D74" s="1850"/>
      <c r="E74" s="1850"/>
      <c r="F74" s="1850"/>
      <c r="G74" s="1850"/>
      <c r="H74" s="1850"/>
      <c r="O74" s="84"/>
      <c r="P74" s="84"/>
    </row>
    <row r="75" spans="1:16" s="1234" customFormat="1">
      <c r="A75" s="2123"/>
      <c r="D75" s="1850"/>
      <c r="E75" s="1850"/>
      <c r="F75" s="1850"/>
      <c r="G75" s="1850"/>
      <c r="H75" s="1850"/>
      <c r="O75" s="84"/>
      <c r="P75" s="84"/>
    </row>
    <row r="76" spans="1:16" s="1234" customFormat="1">
      <c r="A76" s="2123"/>
      <c r="D76" s="1850"/>
      <c r="E76" s="1850"/>
      <c r="F76" s="1850"/>
      <c r="G76" s="1850"/>
      <c r="H76" s="1850"/>
      <c r="O76" s="84"/>
      <c r="P76" s="84"/>
    </row>
    <row r="77" spans="1:16" s="1234" customFormat="1">
      <c r="A77" s="2123"/>
      <c r="D77" s="1850"/>
      <c r="E77" s="1850"/>
      <c r="F77" s="1850"/>
      <c r="G77" s="1850"/>
      <c r="H77" s="1850"/>
      <c r="O77" s="84"/>
      <c r="P77" s="84"/>
    </row>
    <row r="78" spans="1:16" s="1234" customFormat="1">
      <c r="A78" s="2123"/>
      <c r="D78" s="1850"/>
      <c r="E78" s="1850"/>
      <c r="F78" s="1850"/>
      <c r="G78" s="1850"/>
      <c r="H78" s="1850"/>
      <c r="O78" s="84"/>
      <c r="P78" s="84"/>
    </row>
    <row r="79" spans="1:16" s="1234" customFormat="1">
      <c r="A79" s="2123"/>
      <c r="D79" s="1850"/>
      <c r="E79" s="1850"/>
      <c r="F79" s="1850"/>
      <c r="G79" s="1850"/>
      <c r="H79" s="1850"/>
      <c r="O79" s="84"/>
      <c r="P79" s="84"/>
    </row>
    <row r="80" spans="1:16" s="1234" customFormat="1">
      <c r="A80" s="2123"/>
      <c r="D80" s="1850"/>
      <c r="E80" s="1850"/>
      <c r="F80" s="1850"/>
      <c r="G80" s="1850"/>
      <c r="H80" s="1850"/>
      <c r="O80" s="84"/>
      <c r="P80" s="84"/>
    </row>
    <row r="81" spans="1:16" s="1234" customFormat="1">
      <c r="A81" s="2123"/>
      <c r="D81" s="1850"/>
      <c r="E81" s="1850"/>
      <c r="F81" s="1850"/>
      <c r="G81" s="1850"/>
      <c r="H81" s="1850"/>
      <c r="O81" s="84"/>
      <c r="P81" s="84"/>
    </row>
    <row r="82" spans="1:16" s="1234" customFormat="1">
      <c r="A82" s="2123"/>
      <c r="D82" s="1850"/>
      <c r="E82" s="1850"/>
      <c r="F82" s="1850"/>
      <c r="G82" s="1850"/>
      <c r="H82" s="1850"/>
      <c r="O82" s="84"/>
      <c r="P82" s="84"/>
    </row>
    <row r="83" spans="1:16" s="1234" customFormat="1">
      <c r="A83" s="2123"/>
      <c r="D83" s="1850"/>
      <c r="E83" s="1850"/>
      <c r="F83" s="1850"/>
      <c r="G83" s="1850"/>
      <c r="H83" s="1850"/>
      <c r="O83" s="84"/>
      <c r="P83" s="84"/>
    </row>
    <row r="84" spans="1:16" s="1234" customFormat="1">
      <c r="A84" s="2123"/>
      <c r="D84" s="1850"/>
      <c r="E84" s="1850"/>
      <c r="F84" s="1850"/>
      <c r="G84" s="1850"/>
      <c r="H84" s="1850"/>
      <c r="O84" s="84"/>
      <c r="P84" s="84"/>
    </row>
    <row r="85" spans="1:16" s="1234" customFormat="1">
      <c r="A85" s="2123"/>
      <c r="D85" s="1850"/>
      <c r="E85" s="1850"/>
      <c r="F85" s="1850"/>
      <c r="G85" s="1850"/>
      <c r="H85" s="1850"/>
      <c r="O85" s="84"/>
      <c r="P85" s="84"/>
    </row>
    <row r="86" spans="1:16" s="1234" customFormat="1">
      <c r="A86" s="2123"/>
      <c r="D86" s="1850"/>
      <c r="E86" s="1850"/>
      <c r="F86" s="1850"/>
      <c r="G86" s="1850"/>
      <c r="H86" s="1850"/>
      <c r="O86" s="84"/>
      <c r="P86" s="84"/>
    </row>
    <row r="87" spans="1:16" s="1234" customFormat="1">
      <c r="A87" s="2123"/>
      <c r="D87" s="1850"/>
      <c r="E87" s="1850"/>
      <c r="F87" s="1850"/>
      <c r="G87" s="1850"/>
      <c r="H87" s="1850"/>
      <c r="O87" s="84"/>
      <c r="P87" s="84"/>
    </row>
    <row r="88" spans="1:16" s="1234" customFormat="1">
      <c r="A88" s="2123"/>
      <c r="D88" s="1850"/>
      <c r="E88" s="1850"/>
      <c r="F88" s="1850"/>
      <c r="G88" s="1850"/>
      <c r="H88" s="1850"/>
      <c r="O88" s="84"/>
      <c r="P88" s="84"/>
    </row>
    <row r="89" spans="1:16" s="1234" customFormat="1">
      <c r="A89" s="2123"/>
      <c r="D89" s="1850"/>
      <c r="E89" s="1850"/>
      <c r="F89" s="1850"/>
      <c r="G89" s="1850"/>
      <c r="H89" s="1850"/>
      <c r="O89" s="84"/>
      <c r="P89" s="84"/>
    </row>
    <row r="90" spans="1:16" s="1234" customFormat="1">
      <c r="A90" s="2123"/>
      <c r="D90" s="1850"/>
      <c r="E90" s="1850"/>
      <c r="F90" s="1850"/>
      <c r="G90" s="1850"/>
      <c r="H90" s="1850"/>
      <c r="O90" s="84"/>
      <c r="P90" s="84"/>
    </row>
    <row r="91" spans="1:16" s="1234" customFormat="1">
      <c r="A91" s="2123"/>
      <c r="D91" s="1850"/>
      <c r="E91" s="1850"/>
      <c r="F91" s="1850"/>
      <c r="G91" s="1850"/>
      <c r="H91" s="1850"/>
      <c r="O91" s="84"/>
      <c r="P91" s="84"/>
    </row>
    <row r="92" spans="1:16" s="1234" customFormat="1">
      <c r="A92" s="2123"/>
      <c r="D92" s="1850"/>
      <c r="E92" s="1850"/>
      <c r="F92" s="1850"/>
      <c r="G92" s="1850"/>
      <c r="H92" s="1850"/>
      <c r="O92" s="84"/>
      <c r="P92" s="84"/>
    </row>
    <row r="93" spans="1:16" s="1234" customFormat="1">
      <c r="A93" s="2123"/>
      <c r="D93" s="1850"/>
      <c r="E93" s="1850"/>
      <c r="F93" s="1850"/>
      <c r="G93" s="1850"/>
      <c r="H93" s="1850"/>
      <c r="O93" s="84"/>
      <c r="P93" s="84"/>
    </row>
    <row r="94" spans="1:16" s="1234" customFormat="1">
      <c r="A94" s="2123"/>
      <c r="D94" s="1850"/>
      <c r="E94" s="1850"/>
      <c r="F94" s="1850"/>
      <c r="G94" s="1850"/>
      <c r="H94" s="1850"/>
      <c r="O94" s="84"/>
      <c r="P94" s="84"/>
    </row>
    <row r="95" spans="1:16" s="1234" customFormat="1">
      <c r="A95" s="2123"/>
      <c r="D95" s="1850"/>
      <c r="E95" s="1850"/>
      <c r="F95" s="1850"/>
      <c r="G95" s="1850"/>
      <c r="H95" s="1850"/>
      <c r="O95" s="84"/>
      <c r="P95" s="84"/>
    </row>
    <row r="96" spans="1:16" s="1234" customFormat="1">
      <c r="A96" s="2123"/>
      <c r="D96" s="1850"/>
      <c r="E96" s="1850"/>
      <c r="F96" s="1850"/>
      <c r="G96" s="1850"/>
      <c r="H96" s="1850"/>
      <c r="O96" s="84"/>
      <c r="P96" s="84"/>
    </row>
    <row r="97" spans="1:16" s="1234" customFormat="1">
      <c r="A97" s="2123"/>
      <c r="D97" s="1850"/>
      <c r="E97" s="1850"/>
      <c r="F97" s="1850"/>
      <c r="G97" s="1850"/>
      <c r="H97" s="1850"/>
      <c r="O97" s="84"/>
      <c r="P97" s="84"/>
    </row>
    <row r="98" spans="1:16" s="1234" customFormat="1">
      <c r="A98" s="2123"/>
      <c r="D98" s="1850"/>
      <c r="E98" s="1850"/>
      <c r="F98" s="1850"/>
      <c r="G98" s="1850"/>
      <c r="H98" s="1850"/>
      <c r="O98" s="84"/>
      <c r="P98" s="84"/>
    </row>
    <row r="99" spans="1:16" s="1234" customFormat="1">
      <c r="A99" s="2123"/>
      <c r="D99" s="1850"/>
      <c r="E99" s="1850"/>
      <c r="F99" s="1850"/>
      <c r="G99" s="1850"/>
      <c r="H99" s="1850"/>
      <c r="O99" s="84"/>
      <c r="P99" s="84"/>
    </row>
    <row r="100" spans="1:16" s="1234" customFormat="1">
      <c r="A100" s="2123"/>
      <c r="D100" s="1850"/>
      <c r="E100" s="1850"/>
      <c r="F100" s="1850"/>
      <c r="G100" s="1850"/>
      <c r="H100" s="1850"/>
      <c r="O100" s="84"/>
      <c r="P100" s="84"/>
    </row>
    <row r="101" spans="1:16" s="1234" customFormat="1">
      <c r="A101" s="2123"/>
      <c r="D101" s="1850"/>
      <c r="E101" s="1850"/>
      <c r="F101" s="1850"/>
      <c r="G101" s="1850"/>
      <c r="H101" s="1850"/>
      <c r="O101" s="84"/>
      <c r="P101" s="84"/>
    </row>
    <row r="102" spans="1:16" s="1234" customFormat="1">
      <c r="A102" s="2123"/>
      <c r="D102" s="1850"/>
      <c r="E102" s="1850"/>
      <c r="F102" s="1850"/>
      <c r="G102" s="1850"/>
      <c r="H102" s="1850"/>
      <c r="O102" s="84"/>
      <c r="P102" s="84"/>
    </row>
    <row r="103" spans="1:16" s="1234" customFormat="1">
      <c r="A103" s="2123"/>
      <c r="D103" s="1850"/>
      <c r="E103" s="1850"/>
      <c r="F103" s="1850"/>
      <c r="G103" s="1850"/>
      <c r="H103" s="1850"/>
      <c r="O103" s="84"/>
      <c r="P103" s="84"/>
    </row>
    <row r="104" spans="1:16" s="1234" customFormat="1">
      <c r="A104" s="2123"/>
      <c r="D104" s="1850"/>
      <c r="E104" s="1850"/>
      <c r="F104" s="1850"/>
      <c r="G104" s="1850"/>
      <c r="H104" s="1850"/>
      <c r="O104" s="84"/>
      <c r="P104" s="84"/>
    </row>
    <row r="105" spans="1:16" s="1234" customFormat="1">
      <c r="A105" s="2123"/>
      <c r="D105" s="1850"/>
      <c r="E105" s="1850"/>
      <c r="F105" s="1850"/>
      <c r="G105" s="1850"/>
      <c r="H105" s="1850"/>
      <c r="O105" s="84"/>
      <c r="P105" s="84"/>
    </row>
    <row r="106" spans="1:16" s="1234" customFormat="1">
      <c r="A106" s="2123"/>
      <c r="D106" s="1850"/>
      <c r="E106" s="1850"/>
      <c r="F106" s="1850"/>
      <c r="G106" s="1850"/>
      <c r="H106" s="1850"/>
      <c r="O106" s="84"/>
      <c r="P106" s="84"/>
    </row>
    <row r="107" spans="1:16" s="1234" customFormat="1">
      <c r="A107" s="2123"/>
      <c r="D107" s="1850"/>
      <c r="E107" s="1850"/>
      <c r="F107" s="1850"/>
      <c r="G107" s="1850"/>
      <c r="H107" s="1850"/>
      <c r="O107" s="84"/>
      <c r="P107" s="84"/>
    </row>
    <row r="108" spans="1:16" s="1234" customFormat="1">
      <c r="A108" s="2123"/>
      <c r="D108" s="1850"/>
      <c r="E108" s="1850"/>
      <c r="F108" s="1850"/>
      <c r="G108" s="1850"/>
      <c r="H108" s="1850"/>
      <c r="O108" s="84"/>
      <c r="P108" s="84"/>
    </row>
    <row r="109" spans="1:16" s="1234" customFormat="1">
      <c r="A109" s="2123"/>
      <c r="D109" s="1850"/>
      <c r="E109" s="1850"/>
      <c r="F109" s="1850"/>
      <c r="G109" s="1850"/>
      <c r="H109" s="1850"/>
      <c r="O109" s="84"/>
      <c r="P109" s="84"/>
    </row>
    <row r="110" spans="1:16" s="1234" customFormat="1">
      <c r="A110" s="2123"/>
      <c r="D110" s="1850"/>
      <c r="E110" s="1850"/>
      <c r="F110" s="1850"/>
      <c r="G110" s="1850"/>
      <c r="H110" s="1850"/>
      <c r="O110" s="84"/>
      <c r="P110" s="84"/>
    </row>
    <row r="111" spans="1:16" s="1234" customFormat="1">
      <c r="A111" s="2123"/>
      <c r="D111" s="1850"/>
      <c r="E111" s="1850"/>
      <c r="F111" s="1850"/>
      <c r="G111" s="1850"/>
      <c r="H111" s="1850"/>
      <c r="O111" s="84"/>
      <c r="P111" s="84"/>
    </row>
    <row r="112" spans="1:16" s="1234" customFormat="1">
      <c r="A112" s="2123"/>
      <c r="D112" s="1850"/>
      <c r="E112" s="1850"/>
      <c r="F112" s="1850"/>
      <c r="G112" s="1850"/>
      <c r="H112" s="1850"/>
      <c r="O112" s="84"/>
      <c r="P112" s="84"/>
    </row>
    <row r="113" spans="1:16" s="1234" customFormat="1">
      <c r="A113" s="2123"/>
      <c r="D113" s="1850"/>
      <c r="E113" s="1850"/>
      <c r="F113" s="1850"/>
      <c r="G113" s="1850"/>
      <c r="H113" s="1850"/>
      <c r="O113" s="84"/>
      <c r="P113" s="84"/>
    </row>
    <row r="114" spans="1:16" s="1234" customFormat="1">
      <c r="A114" s="2123"/>
      <c r="D114" s="1850"/>
      <c r="E114" s="1850"/>
      <c r="F114" s="1850"/>
      <c r="G114" s="1850"/>
      <c r="H114" s="1850"/>
      <c r="O114" s="84"/>
      <c r="P114" s="84"/>
    </row>
    <row r="115" spans="1:16" s="1234" customFormat="1">
      <c r="A115" s="2123"/>
      <c r="D115" s="1850"/>
      <c r="E115" s="1850"/>
      <c r="F115" s="1850"/>
      <c r="G115" s="1850"/>
      <c r="H115" s="1850"/>
      <c r="O115" s="84"/>
      <c r="P115" s="84"/>
    </row>
    <row r="116" spans="1:16" s="1234" customFormat="1">
      <c r="A116" s="2123"/>
      <c r="D116" s="1850"/>
      <c r="E116" s="1850"/>
      <c r="F116" s="1850"/>
      <c r="G116" s="1850"/>
      <c r="H116" s="1850"/>
      <c r="O116" s="84"/>
      <c r="P116" s="84"/>
    </row>
    <row r="117" spans="1:16" s="1234" customFormat="1">
      <c r="A117" s="2123"/>
      <c r="D117" s="1850"/>
      <c r="E117" s="1850"/>
      <c r="F117" s="1850"/>
      <c r="G117" s="1850"/>
      <c r="H117" s="1850"/>
      <c r="O117" s="84"/>
      <c r="P117" s="84"/>
    </row>
    <row r="118" spans="1:16" s="1234" customFormat="1">
      <c r="A118" s="2123"/>
      <c r="D118" s="1850"/>
      <c r="E118" s="1850"/>
      <c r="F118" s="1850"/>
      <c r="G118" s="1850"/>
      <c r="H118" s="1850"/>
      <c r="O118" s="84"/>
      <c r="P118" s="84"/>
    </row>
    <row r="119" spans="1:16" s="1234" customFormat="1">
      <c r="A119" s="2123"/>
      <c r="D119" s="1850"/>
      <c r="E119" s="1850"/>
      <c r="F119" s="1850"/>
      <c r="G119" s="1850"/>
      <c r="H119" s="1850"/>
      <c r="O119" s="84"/>
      <c r="P119" s="84"/>
    </row>
    <row r="120" spans="1:16" s="1234" customFormat="1">
      <c r="A120" s="2123"/>
      <c r="D120" s="1850"/>
      <c r="E120" s="1850"/>
      <c r="F120" s="1850"/>
      <c r="G120" s="1850"/>
      <c r="H120" s="1850"/>
      <c r="O120" s="84"/>
      <c r="P120" s="84"/>
    </row>
    <row r="121" spans="1:16" s="1234" customFormat="1">
      <c r="A121" s="2123"/>
      <c r="D121" s="1850"/>
      <c r="E121" s="1850"/>
      <c r="F121" s="1850"/>
      <c r="G121" s="1850"/>
      <c r="H121" s="1850"/>
      <c r="O121" s="84"/>
      <c r="P121" s="84"/>
    </row>
    <row r="122" spans="1:16" s="1234" customFormat="1">
      <c r="A122" s="2123"/>
      <c r="D122" s="1850"/>
      <c r="E122" s="1850"/>
      <c r="F122" s="1850"/>
      <c r="G122" s="1850"/>
      <c r="H122" s="1850"/>
      <c r="O122" s="84"/>
      <c r="P122" s="84"/>
    </row>
    <row r="123" spans="1:16" s="1234" customFormat="1">
      <c r="A123" s="2123"/>
      <c r="D123" s="1850"/>
      <c r="E123" s="1850"/>
      <c r="F123" s="1850"/>
      <c r="G123" s="1850"/>
      <c r="H123" s="1850"/>
      <c r="O123" s="84"/>
      <c r="P123" s="84"/>
    </row>
    <row r="124" spans="1:16" s="1234" customFormat="1">
      <c r="A124" s="2123"/>
      <c r="D124" s="1850"/>
      <c r="E124" s="1850"/>
      <c r="F124" s="1850"/>
      <c r="G124" s="1850"/>
      <c r="H124" s="1850"/>
      <c r="O124" s="84"/>
      <c r="P124" s="84"/>
    </row>
    <row r="125" spans="1:16" s="1234" customFormat="1">
      <c r="A125" s="2123"/>
      <c r="D125" s="1850"/>
      <c r="E125" s="1850"/>
      <c r="F125" s="1850"/>
      <c r="G125" s="1850"/>
      <c r="H125" s="1850"/>
      <c r="O125" s="84"/>
      <c r="P125" s="84"/>
    </row>
    <row r="126" spans="1:16" s="1234" customFormat="1">
      <c r="A126" s="2123"/>
      <c r="D126" s="1850"/>
      <c r="E126" s="1850"/>
      <c r="F126" s="1850"/>
      <c r="G126" s="1850"/>
      <c r="H126" s="1850"/>
      <c r="O126" s="84"/>
      <c r="P126" s="84"/>
    </row>
    <row r="127" spans="1:16" s="1234" customFormat="1">
      <c r="A127" s="2123"/>
      <c r="D127" s="1850"/>
      <c r="E127" s="1850"/>
      <c r="F127" s="1850"/>
      <c r="G127" s="1850"/>
      <c r="H127" s="1850"/>
      <c r="O127" s="84"/>
      <c r="P127" s="84"/>
    </row>
    <row r="128" spans="1:16" s="1234" customFormat="1">
      <c r="A128" s="2123"/>
      <c r="D128" s="1850"/>
      <c r="E128" s="1850"/>
      <c r="F128" s="1850"/>
      <c r="G128" s="1850"/>
      <c r="H128" s="1850"/>
      <c r="O128" s="84"/>
      <c r="P128" s="84"/>
    </row>
    <row r="129" spans="1:16" s="1234" customFormat="1">
      <c r="A129" s="2123"/>
      <c r="D129" s="1850"/>
      <c r="E129" s="1850"/>
      <c r="F129" s="1850"/>
      <c r="G129" s="1850"/>
      <c r="H129" s="1850"/>
      <c r="O129" s="84"/>
      <c r="P129" s="84"/>
    </row>
    <row r="130" spans="1:16" s="1234" customFormat="1">
      <c r="A130" s="2123"/>
      <c r="D130" s="1850"/>
      <c r="E130" s="1850"/>
      <c r="F130" s="1850"/>
      <c r="G130" s="1850"/>
      <c r="H130" s="1850"/>
      <c r="O130" s="84"/>
      <c r="P130" s="84"/>
    </row>
    <row r="131" spans="1:16" s="1234" customFormat="1">
      <c r="A131" s="2123"/>
      <c r="D131" s="1850"/>
      <c r="E131" s="1850"/>
      <c r="F131" s="1850"/>
      <c r="G131" s="1850"/>
      <c r="H131" s="1850"/>
      <c r="O131" s="84"/>
      <c r="P131" s="84"/>
    </row>
    <row r="132" spans="1:16" s="1234" customFormat="1">
      <c r="A132" s="2123"/>
      <c r="D132" s="1850"/>
      <c r="E132" s="1850"/>
      <c r="F132" s="1850"/>
      <c r="G132" s="1850"/>
      <c r="H132" s="1850"/>
      <c r="O132" s="84"/>
      <c r="P132" s="84"/>
    </row>
    <row r="133" spans="1:16" s="1234" customFormat="1">
      <c r="A133" s="2123"/>
      <c r="D133" s="1850"/>
      <c r="E133" s="1850"/>
      <c r="F133" s="1850"/>
      <c r="G133" s="1850"/>
      <c r="H133" s="1850"/>
      <c r="O133" s="84"/>
      <c r="P133" s="84"/>
    </row>
    <row r="134" spans="1:16" s="1234" customFormat="1">
      <c r="A134" s="2123"/>
      <c r="D134" s="1850"/>
      <c r="E134" s="1850"/>
      <c r="F134" s="1850"/>
      <c r="G134" s="1850"/>
      <c r="H134" s="1850"/>
      <c r="O134" s="84"/>
      <c r="P134" s="84"/>
    </row>
    <row r="135" spans="1:16" s="1234" customFormat="1">
      <c r="A135" s="2123"/>
      <c r="D135" s="1850"/>
      <c r="E135" s="1850"/>
      <c r="F135" s="1850"/>
      <c r="G135" s="1850"/>
      <c r="H135" s="1850"/>
      <c r="O135" s="84"/>
      <c r="P135" s="84"/>
    </row>
    <row r="136" spans="1:16" s="1234" customFormat="1">
      <c r="A136" s="2123"/>
      <c r="D136" s="1850"/>
      <c r="E136" s="1850"/>
      <c r="F136" s="1850"/>
      <c r="G136" s="1850"/>
      <c r="H136" s="1850"/>
      <c r="O136" s="84"/>
      <c r="P136" s="84"/>
    </row>
    <row r="137" spans="1:16" s="1234" customFormat="1">
      <c r="A137" s="2123"/>
      <c r="D137" s="1850"/>
      <c r="E137" s="1850"/>
      <c r="F137" s="1850"/>
      <c r="G137" s="1850"/>
      <c r="H137" s="1850"/>
      <c r="O137" s="84"/>
      <c r="P137" s="84"/>
    </row>
    <row r="138" spans="1:16" s="1234" customFormat="1">
      <c r="A138" s="2123"/>
      <c r="D138" s="1850"/>
      <c r="E138" s="1850"/>
      <c r="F138" s="1850"/>
      <c r="G138" s="1850"/>
      <c r="H138" s="1850"/>
      <c r="O138" s="84"/>
      <c r="P138" s="84"/>
    </row>
    <row r="139" spans="1:16" s="1234" customFormat="1">
      <c r="A139" s="2123"/>
      <c r="D139" s="1850"/>
      <c r="E139" s="1850"/>
      <c r="F139" s="1850"/>
      <c r="G139" s="1850"/>
      <c r="H139" s="1850"/>
      <c r="O139" s="84"/>
      <c r="P139" s="84"/>
    </row>
    <row r="140" spans="1:16" s="1234" customFormat="1">
      <c r="A140" s="2123"/>
      <c r="D140" s="1850"/>
      <c r="E140" s="1850"/>
      <c r="F140" s="1850"/>
      <c r="G140" s="1850"/>
      <c r="H140" s="1850"/>
      <c r="O140" s="84"/>
      <c r="P140" s="84"/>
    </row>
    <row r="141" spans="1:16" s="1234" customFormat="1">
      <c r="A141" s="2123"/>
      <c r="D141" s="1850"/>
      <c r="E141" s="1850"/>
      <c r="F141" s="1850"/>
      <c r="G141" s="1850"/>
      <c r="H141" s="1850"/>
      <c r="O141" s="84"/>
      <c r="P141" s="84"/>
    </row>
    <row r="142" spans="1:16" s="1234" customFormat="1">
      <c r="A142" s="2123"/>
      <c r="D142" s="1850"/>
      <c r="E142" s="1850"/>
      <c r="F142" s="1850"/>
      <c r="G142" s="1850"/>
      <c r="H142" s="1850"/>
      <c r="O142" s="84"/>
      <c r="P142" s="84"/>
    </row>
    <row r="143" spans="1:16" s="1234" customFormat="1">
      <c r="A143" s="2123"/>
      <c r="D143" s="1850"/>
      <c r="E143" s="1850"/>
      <c r="F143" s="1850"/>
      <c r="G143" s="1850"/>
      <c r="H143" s="1850"/>
      <c r="O143" s="84"/>
      <c r="P143" s="84"/>
    </row>
    <row r="144" spans="1:16" s="1234" customFormat="1">
      <c r="A144" s="2123"/>
      <c r="D144" s="1850"/>
      <c r="E144" s="1850"/>
      <c r="F144" s="1850"/>
      <c r="G144" s="1850"/>
      <c r="H144" s="1850"/>
      <c r="O144" s="84"/>
      <c r="P144" s="84"/>
    </row>
    <row r="145" spans="1:16" s="1234" customFormat="1">
      <c r="A145" s="2123"/>
      <c r="D145" s="1850"/>
      <c r="E145" s="1850"/>
      <c r="F145" s="1850"/>
      <c r="G145" s="1850"/>
      <c r="H145" s="1850"/>
      <c r="O145" s="84"/>
      <c r="P145" s="84"/>
    </row>
    <row r="146" spans="1:16" s="1234" customFormat="1">
      <c r="A146" s="2123"/>
      <c r="D146" s="1850"/>
      <c r="E146" s="1850"/>
      <c r="F146" s="1850"/>
      <c r="G146" s="1850"/>
      <c r="H146" s="1850"/>
      <c r="O146" s="84"/>
      <c r="P146" s="84"/>
    </row>
    <row r="147" spans="1:16" s="1234" customFormat="1">
      <c r="A147" s="2123"/>
      <c r="D147" s="1850"/>
      <c r="E147" s="1850"/>
      <c r="F147" s="1850"/>
      <c r="G147" s="1850"/>
      <c r="H147" s="1850"/>
      <c r="O147" s="84"/>
      <c r="P147" s="84"/>
    </row>
    <row r="148" spans="1:16" s="1234" customFormat="1">
      <c r="A148" s="2123"/>
      <c r="D148" s="1850"/>
      <c r="E148" s="1850"/>
      <c r="F148" s="1850"/>
      <c r="G148" s="1850"/>
      <c r="H148" s="1850"/>
      <c r="O148" s="84"/>
      <c r="P148" s="84"/>
    </row>
    <row r="149" spans="1:16" s="1234" customFormat="1">
      <c r="A149" s="2123"/>
      <c r="D149" s="1850"/>
      <c r="E149" s="1850"/>
      <c r="F149" s="1850"/>
      <c r="G149" s="1850"/>
      <c r="H149" s="1850"/>
      <c r="O149" s="84"/>
      <c r="P149" s="84"/>
    </row>
    <row r="150" spans="1:16" s="1234" customFormat="1">
      <c r="A150" s="2123"/>
      <c r="D150" s="1850"/>
      <c r="E150" s="1850"/>
      <c r="F150" s="1850"/>
      <c r="G150" s="1850"/>
      <c r="H150" s="1850"/>
      <c r="O150" s="84"/>
      <c r="P150" s="84"/>
    </row>
    <row r="151" spans="1:16" s="1234" customFormat="1">
      <c r="A151" s="2123"/>
      <c r="D151" s="1850"/>
      <c r="E151" s="1850"/>
      <c r="F151" s="1850"/>
      <c r="G151" s="1850"/>
      <c r="H151" s="1850"/>
      <c r="O151" s="84"/>
      <c r="P151" s="84"/>
    </row>
    <row r="152" spans="1:16" s="1234" customFormat="1">
      <c r="A152" s="2123"/>
      <c r="D152" s="1850"/>
      <c r="E152" s="1850"/>
      <c r="F152" s="1850"/>
      <c r="G152" s="1850"/>
      <c r="H152" s="1850"/>
      <c r="O152" s="84"/>
      <c r="P152" s="84"/>
    </row>
    <row r="153" spans="1:16" s="1234" customFormat="1">
      <c r="A153" s="2124"/>
      <c r="B153" s="2070"/>
      <c r="D153" s="1850"/>
      <c r="E153" s="1850"/>
      <c r="F153" s="1850"/>
      <c r="G153" s="1850"/>
      <c r="H153" s="1850"/>
      <c r="O153" s="84"/>
      <c r="P153" s="84"/>
    </row>
    <row r="154" spans="1:16" s="1234"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8" sqref="F8"/>
    </sheetView>
  </sheetViews>
  <sheetFormatPr defaultColWidth="9"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53" t="s">
        <v>1732</v>
      </c>
      <c r="B1" s="2854"/>
      <c r="C1" s="2854"/>
      <c r="D1" s="2854"/>
      <c r="E1" s="2854"/>
      <c r="F1" s="2854"/>
      <c r="G1" s="2854"/>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54">
      <c r="A3" s="395" t="s">
        <v>1735</v>
      </c>
      <c r="B3" s="2140" t="s">
        <v>1736</v>
      </c>
      <c r="C3" s="2141" t="s">
        <v>1737</v>
      </c>
      <c r="D3" s="2142"/>
      <c r="E3" s="411" t="s">
        <v>1735</v>
      </c>
      <c r="F3" s="2143" t="s">
        <v>1738</v>
      </c>
      <c r="G3" s="2144" t="s">
        <v>1739</v>
      </c>
      <c r="H3" s="2138"/>
      <c r="I3" s="2138"/>
      <c r="J3" s="2138"/>
      <c r="K3" s="2138"/>
      <c r="L3" s="2138"/>
      <c r="M3" s="2138"/>
      <c r="N3" s="2138"/>
      <c r="O3" s="2138"/>
      <c r="P3" s="2138"/>
      <c r="Q3" s="2138"/>
      <c r="R3" s="2138"/>
    </row>
    <row r="4" spans="1:29" ht="41.25">
      <c r="A4" s="411"/>
      <c r="B4" s="1883" t="s">
        <v>1740</v>
      </c>
      <c r="C4" s="2145" t="s">
        <v>1741</v>
      </c>
      <c r="D4" s="2142"/>
      <c r="E4" s="2146"/>
      <c r="F4" s="2147" t="s">
        <v>1742</v>
      </c>
      <c r="G4" s="2148" t="s">
        <v>1743</v>
      </c>
      <c r="H4" s="2138"/>
      <c r="I4" s="2138"/>
      <c r="J4" s="2138"/>
      <c r="K4" s="2138"/>
      <c r="L4" s="2138"/>
      <c r="M4" s="2138"/>
      <c r="N4" s="2138"/>
      <c r="O4" s="2138"/>
      <c r="P4" s="2138"/>
      <c r="Q4" s="2138"/>
      <c r="R4" s="2138"/>
    </row>
    <row r="5" spans="1:29" ht="41.25">
      <c r="A5" s="411"/>
      <c r="B5" s="1883" t="s">
        <v>1744</v>
      </c>
      <c r="C5" s="2145" t="s">
        <v>1745</v>
      </c>
      <c r="D5" s="2142"/>
      <c r="E5" s="2146"/>
      <c r="F5" s="1883" t="s">
        <v>1746</v>
      </c>
      <c r="G5" s="2148" t="s">
        <v>1747</v>
      </c>
      <c r="H5" s="2138"/>
      <c r="I5" s="2138"/>
      <c r="J5" s="2138"/>
      <c r="K5" s="2138"/>
      <c r="L5" s="2138"/>
      <c r="M5" s="2138"/>
      <c r="N5" s="2138"/>
      <c r="O5" s="2138"/>
      <c r="P5" s="2138"/>
      <c r="Q5" s="2138"/>
      <c r="R5" s="2138"/>
    </row>
    <row r="6" spans="1:29" ht="54">
      <c r="A6" s="411"/>
      <c r="B6" s="1883" t="s">
        <v>1748</v>
      </c>
      <c r="C6" s="2148" t="s">
        <v>1743</v>
      </c>
      <c r="D6" s="2142"/>
      <c r="E6" s="2146"/>
      <c r="F6" s="1883" t="s">
        <v>1749</v>
      </c>
      <c r="G6" s="2148" t="s">
        <v>1750</v>
      </c>
      <c r="H6" s="2138"/>
      <c r="I6" s="2138"/>
      <c r="J6" s="2138"/>
      <c r="K6" s="2138"/>
      <c r="L6" s="2138"/>
      <c r="M6" s="2138"/>
      <c r="N6" s="2138"/>
      <c r="O6" s="2138"/>
      <c r="P6" s="2138"/>
      <c r="Q6" s="2138"/>
      <c r="R6" s="2138"/>
    </row>
    <row r="7" spans="1:29" ht="41.25" thickBot="1">
      <c r="A7" s="411"/>
      <c r="B7" s="1883" t="s">
        <v>1746</v>
      </c>
      <c r="C7" s="2148" t="s">
        <v>1747</v>
      </c>
      <c r="D7" s="2149"/>
      <c r="E7" s="2150"/>
      <c r="F7" s="2151" t="s">
        <v>1751</v>
      </c>
      <c r="G7" s="2152" t="s">
        <v>1752</v>
      </c>
      <c r="H7" s="2138"/>
      <c r="I7" s="2138"/>
      <c r="J7" s="2138"/>
      <c r="K7" s="2138"/>
      <c r="L7" s="2138"/>
      <c r="M7" s="2138"/>
      <c r="N7" s="2138"/>
      <c r="O7" s="2138"/>
      <c r="P7" s="2138"/>
      <c r="Q7" s="2138"/>
      <c r="R7" s="2138"/>
    </row>
    <row r="8" spans="1:29" ht="27">
      <c r="A8" s="411"/>
      <c r="B8" s="1883" t="s">
        <v>1749</v>
      </c>
      <c r="C8" s="2148" t="s">
        <v>1750</v>
      </c>
      <c r="D8" s="2149"/>
      <c r="E8" s="2149"/>
      <c r="F8" s="1243"/>
      <c r="G8" s="1243"/>
      <c r="H8" s="2138"/>
      <c r="I8" s="2138"/>
      <c r="J8" s="2138"/>
      <c r="K8" s="2138"/>
      <c r="L8" s="2138"/>
      <c r="M8" s="2138"/>
      <c r="N8" s="2138"/>
      <c r="O8" s="2138"/>
      <c r="P8" s="2138"/>
      <c r="Q8" s="2138"/>
      <c r="R8" s="2138"/>
    </row>
    <row r="9" spans="1:29" ht="27">
      <c r="A9" s="411"/>
      <c r="B9" s="1883" t="s">
        <v>1753</v>
      </c>
      <c r="C9" s="2145" t="s">
        <v>1754</v>
      </c>
      <c r="D9" s="2142"/>
      <c r="E9" s="2149"/>
      <c r="F9" s="1243"/>
      <c r="G9" s="1243"/>
      <c r="H9" s="2138"/>
      <c r="I9" s="2138"/>
      <c r="J9" s="2138"/>
      <c r="K9" s="2138"/>
      <c r="L9" s="2138"/>
      <c r="M9" s="2138"/>
      <c r="N9" s="2138"/>
      <c r="O9" s="2138"/>
      <c r="P9" s="2138"/>
      <c r="Q9" s="2138"/>
      <c r="R9" s="2138"/>
    </row>
    <row r="10" spans="1:29" s="35" customFormat="1" ht="15.75" thickBot="1">
      <c r="A10" s="2153"/>
      <c r="B10" s="2154" t="s">
        <v>1755</v>
      </c>
      <c r="C10" s="2155"/>
      <c r="D10" s="2142"/>
      <c r="E10" s="2142"/>
      <c r="F10" s="1243"/>
      <c r="G10" s="1243"/>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3"/>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3"/>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1756</v>
      </c>
      <c r="B13" s="2160"/>
      <c r="C13" s="2160"/>
      <c r="D13" s="2135"/>
      <c r="E13" s="2160"/>
      <c r="F13" s="2160"/>
      <c r="G13" s="2160"/>
    </row>
    <row r="14" spans="1:29" ht="15.75" thickBot="1">
      <c r="A14" s="2170"/>
      <c r="B14" s="2171"/>
      <c r="C14" s="2172" t="s">
        <v>1757</v>
      </c>
      <c r="D14" s="2142"/>
      <c r="E14" s="2173"/>
      <c r="F14" s="2173"/>
      <c r="G14" s="2134" t="s">
        <v>1758</v>
      </c>
    </row>
    <row r="15" spans="1:29" ht="57">
      <c r="A15" s="25" t="s">
        <v>1759</v>
      </c>
      <c r="B15" s="2174" t="s">
        <v>1736</v>
      </c>
      <c r="C15" s="2175" t="str">
        <f>C3</f>
        <v>估价对象周边居住用地比例、居住小区规模和社区发展完善程度，综合评价居住社区成熟度一般</v>
      </c>
      <c r="D15" s="2142"/>
      <c r="E15" s="2176" t="s">
        <v>1760</v>
      </c>
      <c r="F15" s="2174" t="s">
        <v>1761</v>
      </c>
      <c r="G15" s="51" t="str">
        <f>G3</f>
        <v>估价对象位于XX开发区，园区建设成熟度XX，产业集聚程度XX</v>
      </c>
    </row>
    <row r="16" spans="1:29" ht="42.75">
      <c r="A16" s="628"/>
      <c r="B16" s="1490" t="s">
        <v>1740</v>
      </c>
      <c r="C16" s="2177" t="str">
        <f>C4</f>
        <v>估价对象位于XX商圈，周边商业氛围成熟，人流量大，商业繁华度好</v>
      </c>
      <c r="D16" s="2142"/>
      <c r="E16" s="2178"/>
      <c r="F16" s="2179" t="s">
        <v>1742</v>
      </c>
      <c r="G16" s="52" t="str">
        <f>G4</f>
        <v>估价对象周边道路状况、公共交通通达情况、停车便捷程度，综合评价交通便捷度较好</v>
      </c>
    </row>
    <row r="17" spans="1:18" ht="42.75">
      <c r="A17" s="628"/>
      <c r="B17" s="1490" t="s">
        <v>1744</v>
      </c>
      <c r="C17" s="2177" t="str">
        <f>C5</f>
        <v>估价对象位于XX商圈，周边办公楼项目较多，入驻率高，办公集聚程度较好</v>
      </c>
      <c r="D17" s="2149"/>
      <c r="E17" s="2178"/>
      <c r="F17" s="2179" t="s">
        <v>1762</v>
      </c>
      <c r="G17" s="2180"/>
    </row>
    <row r="18" spans="1:18" ht="57">
      <c r="A18" s="628"/>
      <c r="B18" s="2179" t="s">
        <v>1748</v>
      </c>
      <c r="C18" s="52" t="str">
        <f>C6</f>
        <v>估价对象周边道路状况、公共交通通达情况、停车便捷程度，综合评价交通便捷度较好</v>
      </c>
      <c r="D18" s="2149"/>
      <c r="E18" s="2178"/>
      <c r="F18" s="2179" t="s">
        <v>1751</v>
      </c>
      <c r="G18" s="52" t="str">
        <f>G7</f>
        <v>该园区内是否有污染型企业，绿化情况，卫生条件，整体环境状况判断</v>
      </c>
    </row>
    <row r="19" spans="1:18" ht="28.5">
      <c r="A19" s="628"/>
      <c r="B19" s="2179" t="s">
        <v>1763</v>
      </c>
      <c r="C19" s="2180"/>
      <c r="D19" s="2142"/>
      <c r="E19" s="2178"/>
      <c r="F19" s="1883" t="s">
        <v>1746</v>
      </c>
      <c r="G19" s="52" t="str">
        <f>G5</f>
        <v>估价对象所在区域公共配套设施齐备情况</v>
      </c>
    </row>
    <row r="20" spans="1:18" ht="28.5">
      <c r="A20" s="628"/>
      <c r="B20" s="2179" t="s">
        <v>1764</v>
      </c>
      <c r="C20" s="2177" t="str">
        <f>C9</f>
        <v>区域自然环境：；人文环境；综合评价环境状况一般</v>
      </c>
      <c r="D20" s="2149"/>
      <c r="E20" s="2178"/>
      <c r="F20" s="1883" t="s">
        <v>1765</v>
      </c>
      <c r="G20" s="52" t="str">
        <f>G6</f>
        <v>估价对象所在区域基础设施水平</v>
      </c>
    </row>
    <row r="21" spans="1:18" ht="28.5">
      <c r="A21" s="628"/>
      <c r="B21" s="1883" t="s">
        <v>1746</v>
      </c>
      <c r="C21" s="52" t="str">
        <f>C7</f>
        <v>估价对象所在区域公共配套设施齐备情况</v>
      </c>
      <c r="D21" s="2142"/>
      <c r="E21" s="2178"/>
      <c r="F21" s="2179" t="s">
        <v>1766</v>
      </c>
      <c r="G21" s="2181"/>
    </row>
    <row r="22" spans="1:18" ht="28.5">
      <c r="A22" s="628"/>
      <c r="B22" s="1883" t="s">
        <v>1749</v>
      </c>
      <c r="C22" s="52" t="str">
        <f>C8</f>
        <v>估价对象所在区域基础设施水平</v>
      </c>
      <c r="D22" s="2142"/>
      <c r="E22" s="2178"/>
      <c r="F22" s="2179" t="s">
        <v>1755</v>
      </c>
      <c r="G22" s="2182"/>
    </row>
    <row r="23" spans="1:18" s="2138" customFormat="1" ht="15.75" thickBot="1">
      <c r="A23" s="628"/>
      <c r="B23" s="2179" t="s">
        <v>1766</v>
      </c>
      <c r="C23" s="2181"/>
      <c r="D23" s="2167"/>
      <c r="E23" s="2183"/>
      <c r="F23" s="2184" t="s">
        <v>1767</v>
      </c>
      <c r="G23" s="2185"/>
      <c r="H23" s="2167"/>
      <c r="I23" s="2168"/>
      <c r="J23" s="2167"/>
      <c r="K23" s="2167"/>
      <c r="L23" s="2168"/>
      <c r="M23" s="2167"/>
      <c r="N23" s="2167"/>
      <c r="O23" s="2168"/>
      <c r="P23" s="2167"/>
      <c r="Q23" s="2167"/>
      <c r="R23" s="2169"/>
    </row>
    <row r="24" spans="1:18" s="2138" customFormat="1" ht="15.75" thickBot="1">
      <c r="A24" s="2186"/>
      <c r="B24" s="2184" t="s">
        <v>1768</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7" t="s">
        <v>1222</v>
      </c>
      <c r="B1" s="1827">
        <f>SUM(B14:B23)</f>
        <v>14802.98</v>
      </c>
      <c r="C1" s="1828"/>
      <c r="D1" s="1828"/>
      <c r="E1" s="1828"/>
      <c r="F1" s="1828"/>
      <c r="G1" s="1832"/>
    </row>
    <row r="2" spans="1:9" ht="16.5">
      <c r="A2" s="1827" t="s">
        <v>1223</v>
      </c>
      <c r="B2" s="1827">
        <f>SUM(C14:C23)</f>
        <v>1050.7</v>
      </c>
      <c r="C2" s="1828"/>
      <c r="D2" s="1828"/>
      <c r="E2" s="1828"/>
      <c r="F2" s="1828"/>
      <c r="G2" s="1832"/>
    </row>
    <row r="3" spans="1:9" ht="16.5">
      <c r="A3" s="1827" t="s">
        <v>1224</v>
      </c>
      <c r="B3" s="1830">
        <f>项目基本情况!D2</f>
        <v>43465</v>
      </c>
      <c r="C3" s="1828"/>
      <c r="D3" s="1828"/>
      <c r="E3" s="1828"/>
      <c r="F3" s="1828"/>
      <c r="G3" s="1832"/>
    </row>
    <row r="4" spans="1:9" ht="33">
      <c r="A4" s="1827" t="s">
        <v>1225</v>
      </c>
      <c r="B4" s="1827" t="s">
        <v>1226</v>
      </c>
      <c r="C4" s="1827" t="s">
        <v>1227</v>
      </c>
      <c r="D4" s="1827" t="s">
        <v>1228</v>
      </c>
      <c r="E4" s="1828"/>
      <c r="F4" s="1832"/>
      <c r="G4" s="1832"/>
    </row>
    <row r="5" spans="1:9" ht="16.5">
      <c r="A5" s="1827" t="s">
        <v>1229</v>
      </c>
      <c r="B5" s="1827">
        <f ca="1">SUM(D14:D23)</f>
        <v>7809</v>
      </c>
      <c r="C5" s="1827">
        <f ca="1">ROUND(B5*10000/$B$1,0)</f>
        <v>5275</v>
      </c>
      <c r="D5" s="1827">
        <f ca="1">ROUND(B5*10000/$B$2,0)</f>
        <v>74322</v>
      </c>
      <c r="E5" s="1828"/>
      <c r="F5" s="1832"/>
      <c r="G5" s="1832"/>
    </row>
    <row r="6" spans="1:9" ht="16.5">
      <c r="A6" s="1827" t="s">
        <v>1230</v>
      </c>
      <c r="B6" s="1827">
        <f ca="1">SUM(G14:G23)</f>
        <v>7809</v>
      </c>
      <c r="C6" s="1827">
        <f t="shared" ref="C6:C8" ca="1" si="0">ROUND(B6*10000/$B$1,0)</f>
        <v>5275</v>
      </c>
      <c r="D6" s="1827">
        <f t="shared" ref="D6:D8" ca="1" si="1">ROUND(B6*10000/$B$2,0)</f>
        <v>74322</v>
      </c>
      <c r="E6" s="1828"/>
      <c r="F6" s="1832"/>
      <c r="G6" s="1832"/>
    </row>
    <row r="7" spans="1:9" ht="16.5">
      <c r="A7" s="1827" t="s">
        <v>1231</v>
      </c>
      <c r="B7" s="1827">
        <f>SUM(H14:H23)</f>
        <v>0</v>
      </c>
      <c r="C7" s="1827">
        <f>ROUND(B7*10000/$B$1,0)</f>
        <v>0</v>
      </c>
      <c r="D7" s="1827">
        <f t="shared" si="1"/>
        <v>0</v>
      </c>
      <c r="E7" s="1828"/>
      <c r="F7" s="1832"/>
      <c r="G7" s="1832"/>
    </row>
    <row r="8" spans="1:9" ht="16.5">
      <c r="A8" s="1827" t="s">
        <v>1232</v>
      </c>
      <c r="B8" s="1827">
        <f>SUM(I14:I23)</f>
        <v>0</v>
      </c>
      <c r="C8" s="1827">
        <f t="shared" si="0"/>
        <v>0</v>
      </c>
      <c r="D8" s="1827">
        <f t="shared" si="1"/>
        <v>0</v>
      </c>
      <c r="E8" s="1828"/>
      <c r="F8" s="1832"/>
      <c r="G8" s="1832"/>
    </row>
    <row r="9" spans="1:9" ht="16.5">
      <c r="A9" s="1827" t="s">
        <v>1233</v>
      </c>
      <c r="B9" s="1833"/>
      <c r="C9" s="1828"/>
      <c r="D9" s="1828"/>
      <c r="E9" s="1828"/>
      <c r="F9" s="1832"/>
      <c r="G9" s="1832"/>
    </row>
    <row r="10" spans="1:9" ht="16.5">
      <c r="A10" s="1827" t="s">
        <v>1234</v>
      </c>
      <c r="B10" s="1833"/>
      <c r="C10" s="1828"/>
      <c r="D10" s="1828"/>
      <c r="E10" s="1828"/>
      <c r="F10" s="1832"/>
      <c r="G10" s="1832"/>
    </row>
    <row r="11" spans="1:9" ht="16.5">
      <c r="A11" s="1827" t="s">
        <v>1250</v>
      </c>
      <c r="B11" s="1833"/>
      <c r="C11" s="1828"/>
      <c r="D11" s="1828"/>
      <c r="E11" s="1828"/>
      <c r="F11" s="1832"/>
      <c r="G11" s="1832"/>
    </row>
    <row r="12" spans="1:9" ht="16.5">
      <c r="A12" s="1828"/>
      <c r="B12" s="1828"/>
      <c r="C12" s="1828"/>
      <c r="D12" s="1828"/>
      <c r="E12" s="1828"/>
      <c r="F12" s="1832"/>
      <c r="G12" s="1832"/>
    </row>
    <row r="13" spans="1:9" ht="33">
      <c r="A13" s="1837" t="s">
        <v>1249</v>
      </c>
      <c r="B13" s="1831" t="s">
        <v>1222</v>
      </c>
      <c r="C13" s="1831" t="s">
        <v>1223</v>
      </c>
      <c r="D13" s="1831" t="s">
        <v>1235</v>
      </c>
      <c r="E13" s="1827" t="s">
        <v>1227</v>
      </c>
      <c r="F13" s="1827" t="s">
        <v>1228</v>
      </c>
      <c r="G13" s="1831" t="s">
        <v>1236</v>
      </c>
      <c r="H13" s="1831" t="s">
        <v>1237</v>
      </c>
      <c r="I13" s="1831" t="s">
        <v>1238</v>
      </c>
    </row>
    <row r="14" spans="1:9" ht="16.5">
      <c r="A14" s="1834" t="s">
        <v>1248</v>
      </c>
      <c r="B14" s="1831">
        <f>项目基本情况!C12</f>
        <v>14802.98</v>
      </c>
      <c r="C14" s="1831">
        <f>项目基本情况!C13</f>
        <v>1050.7</v>
      </c>
      <c r="D14" s="1831">
        <f ca="1">IF('数据-取费表'!B3="万元",IF(A14="估价对象1（结果表）",结果表!H121,'结果表 (1修多)'!H124),IF(A14="估价对象1（结果表）",结果表!H121,'结果表 (1修多)'!H124)/10000)</f>
        <v>7809</v>
      </c>
      <c r="E14" s="1831">
        <f ca="1">ROUND(D14*10000/B14,0)</f>
        <v>5275</v>
      </c>
      <c r="F14" s="1831">
        <f ca="1">ROUND(D14*10000/C14,0)</f>
        <v>74322</v>
      </c>
      <c r="G14" s="1831">
        <f ca="1">IF('数据-取费表'!B3="万元",IF(A14="估价对象1（结果表）",结果表!D125,'结果表 (1修多)'!D128),IF(A14="估价对象1（结果表）",结果表!D125,'结果表 (1修多)'!D128)/10000)</f>
        <v>7809</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1239</v>
      </c>
      <c r="B15" s="1835"/>
      <c r="C15" s="1835"/>
      <c r="D15" s="1835"/>
      <c r="E15" s="1831" t="e">
        <f t="shared" ref="E15:E23" si="2">ROUND(D15*10000/B15,0)</f>
        <v>#DIV/0!</v>
      </c>
      <c r="F15" s="1831" t="e">
        <f t="shared" ref="F15:F23" si="3">ROUND(D15*10000/C15,0)</f>
        <v>#DIV/0!</v>
      </c>
      <c r="G15" s="1836"/>
      <c r="H15" s="1836"/>
      <c r="I15" s="1835"/>
    </row>
    <row r="16" spans="1:9" ht="16.5">
      <c r="A16" s="1829" t="s">
        <v>1240</v>
      </c>
      <c r="B16" s="1835"/>
      <c r="C16" s="1835"/>
      <c r="D16" s="1835"/>
      <c r="E16" s="1831" t="e">
        <f t="shared" si="2"/>
        <v>#DIV/0!</v>
      </c>
      <c r="F16" s="1831" t="e">
        <f t="shared" si="3"/>
        <v>#DIV/0!</v>
      </c>
      <c r="G16" s="1836"/>
      <c r="H16" s="1836"/>
      <c r="I16" s="1835"/>
    </row>
    <row r="17" spans="1:9" ht="16.5">
      <c r="A17" s="1829" t="s">
        <v>1241</v>
      </c>
      <c r="B17" s="1835"/>
      <c r="C17" s="1835"/>
      <c r="D17" s="1835"/>
      <c r="E17" s="1831" t="e">
        <f t="shared" si="2"/>
        <v>#DIV/0!</v>
      </c>
      <c r="F17" s="1831" t="e">
        <f t="shared" si="3"/>
        <v>#DIV/0!</v>
      </c>
      <c r="G17" s="1836"/>
      <c r="H17" s="1836"/>
      <c r="I17" s="1835"/>
    </row>
    <row r="18" spans="1:9" ht="16.5">
      <c r="A18" s="1829" t="s">
        <v>1242</v>
      </c>
      <c r="B18" s="1835"/>
      <c r="C18" s="1835"/>
      <c r="D18" s="1835"/>
      <c r="E18" s="1831" t="e">
        <f t="shared" si="2"/>
        <v>#DIV/0!</v>
      </c>
      <c r="F18" s="1831" t="e">
        <f t="shared" si="3"/>
        <v>#DIV/0!</v>
      </c>
      <c r="G18" s="1835"/>
      <c r="H18" s="1835"/>
      <c r="I18" s="1835"/>
    </row>
    <row r="19" spans="1:9" ht="16.5">
      <c r="A19" s="1829" t="s">
        <v>1243</v>
      </c>
      <c r="B19" s="1835"/>
      <c r="C19" s="1835"/>
      <c r="D19" s="1835"/>
      <c r="E19" s="1831" t="e">
        <f t="shared" si="2"/>
        <v>#DIV/0!</v>
      </c>
      <c r="F19" s="1831" t="e">
        <f t="shared" si="3"/>
        <v>#DIV/0!</v>
      </c>
      <c r="G19" s="1835"/>
      <c r="H19" s="1835"/>
      <c r="I19" s="1835"/>
    </row>
    <row r="20" spans="1:9" ht="16.5">
      <c r="A20" s="1829" t="s">
        <v>1244</v>
      </c>
      <c r="B20" s="1835"/>
      <c r="C20" s="1835"/>
      <c r="D20" s="1835"/>
      <c r="E20" s="1831" t="e">
        <f t="shared" si="2"/>
        <v>#DIV/0!</v>
      </c>
      <c r="F20" s="1831" t="e">
        <f t="shared" si="3"/>
        <v>#DIV/0!</v>
      </c>
      <c r="G20" s="1835"/>
      <c r="H20" s="1835"/>
      <c r="I20" s="1835"/>
    </row>
    <row r="21" spans="1:9" ht="16.5">
      <c r="A21" s="1829" t="s">
        <v>1245</v>
      </c>
      <c r="B21" s="1835"/>
      <c r="C21" s="1835"/>
      <c r="D21" s="1835"/>
      <c r="E21" s="1831" t="e">
        <f t="shared" si="2"/>
        <v>#DIV/0!</v>
      </c>
      <c r="F21" s="1831" t="e">
        <f t="shared" si="3"/>
        <v>#DIV/0!</v>
      </c>
      <c r="G21" s="1835"/>
      <c r="H21" s="1835"/>
      <c r="I21" s="1835"/>
    </row>
    <row r="22" spans="1:9" ht="16.5">
      <c r="A22" s="1829" t="s">
        <v>1246</v>
      </c>
      <c r="B22" s="1835"/>
      <c r="C22" s="1835"/>
      <c r="D22" s="1835"/>
      <c r="E22" s="1831" t="e">
        <f t="shared" si="2"/>
        <v>#DIV/0!</v>
      </c>
      <c r="F22" s="1831" t="e">
        <f t="shared" si="3"/>
        <v>#DIV/0!</v>
      </c>
      <c r="G22" s="1835"/>
      <c r="H22" s="1835"/>
      <c r="I22" s="1835"/>
    </row>
    <row r="23" spans="1:9" ht="16.5">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D40" zoomScaleNormal="100" zoomScaleSheetLayoutView="100" zoomScalePageLayoutView="80" workbookViewId="0">
      <selection activeCell="M49" sqref="M49:O49"/>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1769</v>
      </c>
      <c r="B1" s="2193"/>
      <c r="C1" s="2193"/>
      <c r="D1" s="2193"/>
      <c r="E1" s="2193"/>
      <c r="F1" s="2193"/>
      <c r="G1" s="2193"/>
      <c r="H1" s="2193"/>
      <c r="I1" s="2193"/>
    </row>
    <row r="2" spans="1:12" ht="21.75" customHeight="1">
      <c r="A2" s="2931" t="str">
        <f>项目基本情况!B1</f>
        <v>北京市房地产市场价值预评估</v>
      </c>
      <c r="B2" s="2931"/>
      <c r="C2" s="2931"/>
      <c r="D2" s="2931"/>
      <c r="E2" s="2931"/>
      <c r="F2" s="2931"/>
      <c r="G2" s="2931"/>
      <c r="H2" s="2931"/>
      <c r="I2" s="2931"/>
    </row>
    <row r="3" spans="1:12" ht="12.75">
      <c r="A3" s="2937" t="s">
        <v>1770</v>
      </c>
      <c r="B3" s="2938"/>
      <c r="C3" s="2938"/>
      <c r="D3" s="2938"/>
      <c r="E3" s="2938"/>
      <c r="F3" s="2938"/>
      <c r="G3" s="2938"/>
      <c r="H3" s="2938"/>
      <c r="I3" s="2938"/>
    </row>
    <row r="4" spans="1:12" ht="14.25">
      <c r="A4" s="2195" t="s">
        <v>1771</v>
      </c>
      <c r="B4" s="2196" t="s">
        <v>1772</v>
      </c>
      <c r="C4" s="2197"/>
      <c r="D4" s="2197"/>
      <c r="E4" s="2942" t="s">
        <v>1773</v>
      </c>
      <c r="F4" s="2943"/>
      <c r="G4" s="2943"/>
      <c r="H4" s="2943"/>
      <c r="I4" s="2944"/>
      <c r="K4" s="1842" t="str">
        <f>IF(ISNUMBER(FIND("比较法",结果表!C4)),"比较法",IF(ISNUMBER(FIND("成本法",结果表!C4)),"成本法",IF(ISNUMBER(FIND("假设开发法",结果表!C4)),"假设开发法",IF(ISNUMBER(FIND("收益法",结果表!C4)),"收益法","基准地价系数修正法"))))</f>
        <v>基准地价系数修正法</v>
      </c>
      <c r="L4" s="1842"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32" t="s">
        <v>1774</v>
      </c>
      <c r="B5" s="2877">
        <v>25</v>
      </c>
      <c r="C5" s="2939"/>
      <c r="D5" s="2936"/>
      <c r="E5" s="56" t="s">
        <v>1775</v>
      </c>
      <c r="F5" s="2198"/>
      <c r="G5" s="2198"/>
      <c r="H5" s="2198"/>
      <c r="I5" s="2199"/>
    </row>
    <row r="6" spans="1:12" ht="12.75">
      <c r="A6" s="2932"/>
      <c r="B6" s="2877"/>
      <c r="C6" s="2940"/>
      <c r="D6" s="2936"/>
      <c r="E6" s="56" t="s">
        <v>1776</v>
      </c>
      <c r="F6" s="2198"/>
      <c r="G6" s="2198"/>
      <c r="H6" s="2198"/>
      <c r="I6" s="2199"/>
    </row>
    <row r="7" spans="1:12" ht="12.75">
      <c r="A7" s="2932"/>
      <c r="B7" s="2877"/>
      <c r="C7" s="2941"/>
      <c r="D7" s="2936"/>
      <c r="E7" s="56" t="s">
        <v>1777</v>
      </c>
      <c r="F7" s="2198"/>
      <c r="G7" s="2198"/>
      <c r="H7" s="2198"/>
      <c r="I7" s="2199"/>
    </row>
    <row r="8" spans="1:12" ht="12.75">
      <c r="A8" s="2932" t="s">
        <v>1778</v>
      </c>
      <c r="B8" s="2877">
        <v>15</v>
      </c>
      <c r="C8" s="2939"/>
      <c r="D8" s="2936"/>
      <c r="E8" s="56" t="s">
        <v>1779</v>
      </c>
      <c r="F8" s="2198"/>
      <c r="G8" s="2198"/>
      <c r="H8" s="2198"/>
      <c r="I8" s="2199"/>
    </row>
    <row r="9" spans="1:12" ht="12.75">
      <c r="A9" s="2932"/>
      <c r="B9" s="2877"/>
      <c r="C9" s="2941"/>
      <c r="D9" s="2936"/>
      <c r="E9" s="56" t="s">
        <v>1780</v>
      </c>
      <c r="F9" s="2198"/>
      <c r="G9" s="2198"/>
      <c r="H9" s="2198"/>
      <c r="I9" s="2199"/>
    </row>
    <row r="10" spans="1:12" ht="12.75">
      <c r="A10" s="2932" t="s">
        <v>1781</v>
      </c>
      <c r="B10" s="2877">
        <v>15</v>
      </c>
      <c r="C10" s="2939"/>
      <c r="D10" s="2936"/>
      <c r="E10" s="56" t="s">
        <v>1782</v>
      </c>
      <c r="F10" s="2198"/>
      <c r="G10" s="2198"/>
      <c r="H10" s="2198"/>
      <c r="I10" s="2199"/>
    </row>
    <row r="11" spans="1:12" ht="12.75">
      <c r="A11" s="2932"/>
      <c r="B11" s="2877"/>
      <c r="C11" s="2941"/>
      <c r="D11" s="2936"/>
      <c r="E11" s="56" t="s">
        <v>1783</v>
      </c>
      <c r="F11" s="2198"/>
      <c r="G11" s="2198"/>
      <c r="H11" s="2198"/>
      <c r="I11" s="2199"/>
    </row>
    <row r="12" spans="1:12" ht="12.75">
      <c r="A12" s="2932" t="s">
        <v>1784</v>
      </c>
      <c r="B12" s="2877">
        <v>15</v>
      </c>
      <c r="C12" s="2939"/>
      <c r="D12" s="2936"/>
      <c r="E12" s="56" t="s">
        <v>1785</v>
      </c>
      <c r="F12" s="2198"/>
      <c r="G12" s="2198"/>
      <c r="H12" s="2198"/>
      <c r="I12" s="2199"/>
    </row>
    <row r="13" spans="1:12" ht="12.75">
      <c r="A13" s="2932"/>
      <c r="B13" s="2877"/>
      <c r="C13" s="2941"/>
      <c r="D13" s="2936"/>
      <c r="E13" s="56" t="s">
        <v>1786</v>
      </c>
      <c r="F13" s="2198"/>
      <c r="G13" s="2198"/>
      <c r="H13" s="2198"/>
      <c r="I13" s="2199"/>
    </row>
    <row r="14" spans="1:12" ht="12.75">
      <c r="A14" s="2932" t="s">
        <v>1787</v>
      </c>
      <c r="B14" s="2877">
        <v>30</v>
      </c>
      <c r="C14" s="2939"/>
      <c r="D14" s="2936"/>
      <c r="E14" s="56" t="s">
        <v>1788</v>
      </c>
      <c r="F14" s="2198"/>
      <c r="G14" s="2198"/>
      <c r="H14" s="2198"/>
      <c r="I14" s="2199"/>
    </row>
    <row r="15" spans="1:12" ht="12.75">
      <c r="A15" s="2932"/>
      <c r="B15" s="2877"/>
      <c r="C15" s="2940"/>
      <c r="D15" s="2936"/>
      <c r="E15" s="56" t="s">
        <v>1789</v>
      </c>
      <c r="F15" s="2198"/>
      <c r="G15" s="2198"/>
      <c r="H15" s="2198"/>
      <c r="I15" s="2199"/>
    </row>
    <row r="16" spans="1:12" ht="12.75">
      <c r="A16" s="2932"/>
      <c r="B16" s="2877"/>
      <c r="C16" s="2941"/>
      <c r="D16" s="2936"/>
      <c r="E16" s="56" t="s">
        <v>1790</v>
      </c>
      <c r="F16" s="2198"/>
      <c r="G16" s="2198"/>
      <c r="H16" s="2198"/>
      <c r="I16" s="2199"/>
    </row>
    <row r="17" spans="1:35" ht="15">
      <c r="A17" s="2200" t="s">
        <v>1791</v>
      </c>
      <c r="B17" s="2201"/>
      <c r="C17" s="57">
        <f>SUM(C5:C16)</f>
        <v>0</v>
      </c>
      <c r="D17" s="57">
        <f>SUM(D5:D16)</f>
        <v>0</v>
      </c>
      <c r="E17" s="2193"/>
      <c r="F17" s="2193"/>
      <c r="G17" s="2193"/>
      <c r="H17" s="2193"/>
      <c r="I17" s="2193"/>
    </row>
    <row r="18" spans="1:35" ht="15.75" thickBot="1">
      <c r="A18" s="2202" t="s">
        <v>1792</v>
      </c>
      <c r="B18" s="2203"/>
      <c r="C18" s="58" t="e">
        <f>ROUND(C17/SUM(C17:D17),2)</f>
        <v>#DIV/0!</v>
      </c>
      <c r="D18" s="58" t="e">
        <f>1-C18</f>
        <v>#DIV/0!</v>
      </c>
      <c r="E18" s="2193"/>
      <c r="F18" s="2193"/>
      <c r="G18" s="2193"/>
      <c r="H18" s="2193"/>
      <c r="I18" s="2193"/>
    </row>
    <row r="19" spans="1:35" ht="15">
      <c r="A19" s="2204" t="s">
        <v>1793</v>
      </c>
      <c r="B19" s="2205" t="s">
        <v>1794</v>
      </c>
      <c r="C19" s="59" t="e">
        <f ca="1">SUMIF(INDIRECT("'"&amp;C4&amp;"'"&amp;"!A:A"),结果表!B19,INDIRECT("'"&amp;C4&amp;"'"&amp;"!B:B"))</f>
        <v>#REF!</v>
      </c>
      <c r="D19" s="60" t="e">
        <f ca="1">SUMIF(INDIRECT("'"&amp;D4&amp;"'"&amp;"!A:A"),结果表!B19,INDIRECT("'"&amp;D4&amp;"'"&amp;"!B:B"))</f>
        <v>#REF!</v>
      </c>
      <c r="E19" s="2204" t="s">
        <v>1795</v>
      </c>
      <c r="F19" s="2205" t="s">
        <v>1794</v>
      </c>
      <c r="G19" s="61" t="e">
        <f ca="1">ROUND(C19*$C$18+D19*$D$18,0)</f>
        <v>#REF!</v>
      </c>
      <c r="H19" s="2206" t="str">
        <f>'数据-取费表'!B3</f>
        <v>万元</v>
      </c>
      <c r="I19" s="2193"/>
    </row>
    <row r="20" spans="1:35" ht="15">
      <c r="A20" s="2207"/>
      <c r="B20" s="2208" t="s">
        <v>1796</v>
      </c>
      <c r="C20" s="62" t="e">
        <f ca="1">SUMIF(INDIRECT("'"&amp;C4&amp;"'"&amp;"!A:A"),结果表!B20,INDIRECT("'"&amp;C4&amp;"'"&amp;"!B:B"))</f>
        <v>#REF!</v>
      </c>
      <c r="D20" s="63" t="e">
        <f ca="1">SUMIF(INDIRECT("'"&amp;D4&amp;"'"&amp;"!A:A"),结果表!B20,INDIRECT("'"&amp;D4&amp;"'"&amp;"!B:B"))</f>
        <v>#REF!</v>
      </c>
      <c r="E20" s="2207"/>
      <c r="F20" s="2208" t="s">
        <v>1796</v>
      </c>
      <c r="G20" s="64" t="e">
        <f ca="1">ROUND(C20*$C$18+D20*$D$18,0)</f>
        <v>#REF!</v>
      </c>
      <c r="H20" s="2209" t="s">
        <v>1797</v>
      </c>
      <c r="I20" s="2193"/>
    </row>
    <row r="21" spans="1:35" ht="15" customHeight="1" thickBot="1">
      <c r="A21" s="2210"/>
      <c r="B21" s="2211"/>
      <c r="C21" s="769"/>
      <c r="D21" s="770"/>
      <c r="E21" s="2210"/>
      <c r="F21" s="2211"/>
      <c r="G21" s="65"/>
      <c r="H21" s="2212"/>
      <c r="I21" s="2193"/>
    </row>
    <row r="22" spans="1:35" ht="15" thickBot="1">
      <c r="A22" s="2213" t="s">
        <v>1798</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45" t="s">
        <v>1799</v>
      </c>
      <c r="B24" s="2205" t="s">
        <v>1794</v>
      </c>
      <c r="C24" s="61">
        <f>D30</f>
        <v>0</v>
      </c>
      <c r="D24" s="991"/>
      <c r="E24" s="2193"/>
      <c r="F24" s="2193"/>
      <c r="G24" s="2193"/>
      <c r="H24" s="2193"/>
      <c r="I24" s="2193"/>
    </row>
    <row r="25" spans="1:35" ht="21.75" customHeight="1">
      <c r="A25" s="2946"/>
      <c r="B25" s="2208" t="s">
        <v>1796</v>
      </c>
      <c r="C25" s="66">
        <f>IF(B30=0,0,C30)</f>
        <v>0</v>
      </c>
      <c r="D25" s="2216"/>
      <c r="E25" s="2193"/>
      <c r="F25" s="2193"/>
      <c r="G25" s="2193"/>
      <c r="H25" s="2193"/>
      <c r="I25" s="2193"/>
    </row>
    <row r="26" spans="1:35" ht="13.5" customHeight="1">
      <c r="A26" s="2217" t="s">
        <v>1800</v>
      </c>
      <c r="B26" s="67" t="s">
        <v>1801</v>
      </c>
      <c r="C26" s="67" t="s">
        <v>1802</v>
      </c>
      <c r="D26" s="68" t="s">
        <v>1803</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1804</v>
      </c>
      <c r="B30" s="67"/>
      <c r="C30" s="67"/>
      <c r="D30" s="67"/>
      <c r="E30" s="2709" t="s">
        <v>2803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21" t="s">
        <v>1805</v>
      </c>
      <c r="B32" s="2222" t="str">
        <f>'数据-取费表'!B4</f>
        <v>楼面单价</v>
      </c>
      <c r="C32" s="1142" t="e">
        <f ca="1">IF(B32="总价",G19-C24,G20-C25)</f>
        <v>#REF!</v>
      </c>
      <c r="D32" s="2193" t="str">
        <f>IF(B32="楼面单价","元/平方米",H19)</f>
        <v>元/平方米</v>
      </c>
      <c r="E32" s="2193"/>
      <c r="F32" s="2193"/>
      <c r="G32" s="2193"/>
      <c r="H32" s="2193"/>
      <c r="I32" s="2193"/>
    </row>
    <row r="33" spans="1:16" ht="15">
      <c r="A33" s="2223" t="s">
        <v>1806</v>
      </c>
      <c r="B33" s="2224"/>
      <c r="C33" s="2225"/>
      <c r="D33" s="2226"/>
      <c r="E33" s="2227" t="s">
        <v>1807</v>
      </c>
      <c r="F33" s="2228" t="str">
        <f>IF(B32="楼面单价","取值（单价）","取值（总价）")</f>
        <v>取值（单价）</v>
      </c>
      <c r="G33" s="2193"/>
      <c r="H33" s="2193"/>
      <c r="I33" s="2193"/>
    </row>
    <row r="34" spans="1:16" ht="15">
      <c r="A34" s="2229"/>
      <c r="B34" s="2230" t="s">
        <v>1808</v>
      </c>
      <c r="C34" s="72" t="e">
        <f ca="1">IF(D33="自定义",F34,C32-C35)</f>
        <v>#REF!</v>
      </c>
      <c r="D34" s="1088">
        <f ca="1">IF(D33="自定义",ROUND(C34/C32,3),1-D35)</f>
        <v>0.34199999999999997</v>
      </c>
      <c r="E34" s="2231" t="s">
        <v>1809</v>
      </c>
      <c r="F34" s="1825">
        <v>2000</v>
      </c>
      <c r="G34" s="2193"/>
      <c r="H34" s="2193"/>
      <c r="I34" s="2193"/>
    </row>
    <row r="35" spans="1:16" ht="15.75" thickBot="1">
      <c r="A35" s="2232"/>
      <c r="B35" s="2233" t="s">
        <v>1810</v>
      </c>
      <c r="C35" s="73" t="e">
        <f ca="1">IF(D33="自定义",F35,ROUND(C32*D35,0))</f>
        <v>#REF!</v>
      </c>
      <c r="D35" s="1087">
        <f ca="1">IF(D33="自定义",ROUND(C35/C32,3),IF(D33="成本法成本比率",成本法!C56,IF(D33="收益法收益比率",收益法!J38,收益法!J41)))</f>
        <v>0.65800000000000003</v>
      </c>
      <c r="E35" s="2234" t="s">
        <v>1811</v>
      </c>
      <c r="F35" s="79">
        <v>4460</v>
      </c>
      <c r="G35" s="2193"/>
      <c r="H35" s="2193"/>
      <c r="I35" s="2193"/>
    </row>
    <row r="36" spans="1:16" ht="15.75" thickBot="1">
      <c r="A36" s="2950" t="s">
        <v>1812</v>
      </c>
      <c r="B36" s="2235" t="s">
        <v>1813</v>
      </c>
      <c r="C36" s="69">
        <v>0</v>
      </c>
      <c r="D36" s="2236"/>
      <c r="E36" s="2237"/>
      <c r="F36" s="2237"/>
      <c r="G36" s="2193"/>
      <c r="H36" s="2193"/>
      <c r="I36" s="2193"/>
    </row>
    <row r="37" spans="1:16" ht="15.75" thickBot="1">
      <c r="A37" s="2951"/>
      <c r="B37" s="2238" t="s">
        <v>1814</v>
      </c>
      <c r="C37" s="71">
        <v>0</v>
      </c>
      <c r="D37" s="2203"/>
      <c r="E37" s="2203"/>
      <c r="F37" s="2237"/>
      <c r="G37" s="2203"/>
      <c r="H37" s="2203"/>
      <c r="I37" s="2203"/>
    </row>
    <row r="38" spans="1:16" ht="15.75" thickBot="1">
      <c r="A38" s="2952"/>
      <c r="B38" s="2239" t="s">
        <v>1815</v>
      </c>
      <c r="C38" s="711">
        <v>0</v>
      </c>
      <c r="D38" s="2240" t="s">
        <v>1816</v>
      </c>
      <c r="E38" s="2203"/>
      <c r="F38" s="2237"/>
      <c r="G38" s="2203"/>
      <c r="H38" s="2203"/>
      <c r="I38" s="2203"/>
    </row>
    <row r="39" spans="1:16" ht="15">
      <c r="A39" s="2207" t="s">
        <v>1817</v>
      </c>
      <c r="B39" s="2241" t="s">
        <v>1801</v>
      </c>
      <c r="C39" s="2242" t="s">
        <v>1802</v>
      </c>
      <c r="D39" s="2242" t="s">
        <v>1818</v>
      </c>
      <c r="E39" s="2243" t="s">
        <v>1803</v>
      </c>
      <c r="F39" s="2237"/>
      <c r="G39" s="2203"/>
      <c r="H39" s="2203"/>
      <c r="I39" s="2203"/>
    </row>
    <row r="40" spans="1:16" ht="14.25">
      <c r="A40" s="2244" t="s">
        <v>1819</v>
      </c>
      <c r="B40" s="74"/>
      <c r="C40" s="75"/>
      <c r="D40" s="75"/>
      <c r="E40" s="76"/>
      <c r="F40" s="2237"/>
      <c r="G40" s="2203"/>
      <c r="H40" s="2203"/>
      <c r="I40" s="2203"/>
    </row>
    <row r="41" spans="1:16" ht="14.25">
      <c r="A41" s="2244" t="s">
        <v>1820</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1821</v>
      </c>
      <c r="B44" s="2250"/>
      <c r="C44" s="2250"/>
      <c r="D44" s="2251"/>
      <c r="E44" s="2251"/>
      <c r="F44" s="2252"/>
      <c r="G44" s="2252"/>
      <c r="H44" s="2252"/>
      <c r="I44" s="2252"/>
      <c r="J44" s="2253" t="s">
        <v>1822</v>
      </c>
      <c r="K44" s="2254"/>
      <c r="L44" s="2254"/>
      <c r="M44" s="2254"/>
      <c r="N44" s="2254"/>
      <c r="O44" s="2254"/>
      <c r="P44" s="1842"/>
    </row>
    <row r="45" spans="1:16" ht="14.25" customHeight="1" thickBot="1">
      <c r="A45" s="2955" t="s">
        <v>1823</v>
      </c>
      <c r="B45" s="2956"/>
      <c r="C45" s="2957"/>
      <c r="D45" s="80" t="e">
        <f ca="1">ROUND(I102*F45,0)</f>
        <v>#REF!</v>
      </c>
      <c r="E45" s="81" t="s">
        <v>1824</v>
      </c>
      <c r="F45" s="82">
        <v>1</v>
      </c>
      <c r="G45" s="83" t="s">
        <v>1825</v>
      </c>
      <c r="H45" s="2193"/>
      <c r="I45" s="2193"/>
      <c r="J45" s="2867" t="s">
        <v>1826</v>
      </c>
      <c r="K45" s="2867"/>
      <c r="L45" s="2867"/>
      <c r="M45" s="2867"/>
      <c r="N45" s="2867"/>
      <c r="O45" s="2867"/>
      <c r="P45" s="1842"/>
    </row>
    <row r="46" spans="1:16" ht="14.25" customHeight="1">
      <c r="A46" s="2947" t="s">
        <v>1827</v>
      </c>
      <c r="B46" s="2948"/>
      <c r="C46" s="2948"/>
      <c r="D46" s="2948"/>
      <c r="E46" s="2948"/>
      <c r="F46" s="2948"/>
      <c r="G46" s="2949"/>
      <c r="H46" s="2255"/>
      <c r="I46" s="1141"/>
      <c r="J46" s="1879">
        <v>1</v>
      </c>
      <c r="K46" s="2867" t="s">
        <v>1828</v>
      </c>
      <c r="L46" s="2867"/>
      <c r="M46" s="2868" t="str">
        <f>项目基本情况!B1</f>
        <v>北京市房地产市场价值预评估</v>
      </c>
      <c r="N46" s="2868"/>
      <c r="O46" s="2868"/>
      <c r="P46" s="1842"/>
    </row>
    <row r="47" spans="1:16" ht="12" customHeight="1">
      <c r="A47" s="85" t="s">
        <v>1829</v>
      </c>
      <c r="B47" s="86"/>
      <c r="C47" s="87"/>
      <c r="D47" s="88" t="s">
        <v>1830</v>
      </c>
      <c r="E47" s="14" t="s">
        <v>1831</v>
      </c>
      <c r="F47" s="89" t="s">
        <v>1832</v>
      </c>
      <c r="G47" s="90" t="s">
        <v>1833</v>
      </c>
      <c r="H47" s="2255"/>
      <c r="I47" s="1141"/>
      <c r="J47" s="1879">
        <v>2</v>
      </c>
      <c r="K47" s="2867" t="s">
        <v>1834</v>
      </c>
      <c r="L47" s="2867"/>
      <c r="M47" s="2869">
        <f>'数据-取费表'!B2</f>
        <v>43465</v>
      </c>
      <c r="N47" s="2869"/>
      <c r="O47" s="2869"/>
      <c r="P47" s="1842"/>
    </row>
    <row r="48" spans="1:16" ht="25.5">
      <c r="A48" s="2953" t="s">
        <v>1835</v>
      </c>
      <c r="B48" s="2954"/>
      <c r="C48" s="2954"/>
      <c r="D48" s="56" t="e">
        <f ca="1">IF(H48="情况1",0,IF(H48="情况2",D52,IF(H48="情况3",D53,IF(H48="情况4",D54))))</f>
        <v>#REF!</v>
      </c>
      <c r="E48" s="1889" t="str">
        <f>IF(H48="情况4","(销售额-原购置价)×税（费）率","销售额×税（费）率")</f>
        <v>销售额×税（费）率</v>
      </c>
      <c r="F48" s="91">
        <f>IF(H48="情况1","免征",'数据-取费表'!E29)</f>
        <v>5.6000000000000001E-2</v>
      </c>
      <c r="G48" s="2256" t="s">
        <v>1836</v>
      </c>
      <c r="H48" s="2257" t="s">
        <v>1837</v>
      </c>
      <c r="I48" s="2255"/>
      <c r="J48" s="1879">
        <v>3</v>
      </c>
      <c r="K48" s="2867" t="s">
        <v>1838</v>
      </c>
      <c r="L48" s="2867"/>
      <c r="M48" s="2868" t="e">
        <f ca="1">I102</f>
        <v>#REF!</v>
      </c>
      <c r="N48" s="2868"/>
      <c r="O48" s="2868"/>
      <c r="P48" s="1842"/>
    </row>
    <row r="49" spans="1:16" ht="25.5" customHeight="1">
      <c r="A49" s="92" t="s">
        <v>1839</v>
      </c>
      <c r="B49" s="2934" t="s">
        <v>1840</v>
      </c>
      <c r="C49" s="2934"/>
      <c r="D49" s="93">
        <v>0</v>
      </c>
      <c r="E49" s="13" t="s">
        <v>1841</v>
      </c>
      <c r="F49" s="18" t="s">
        <v>48</v>
      </c>
      <c r="G49" s="2858"/>
      <c r="H49" s="2193"/>
      <c r="I49" s="2258"/>
      <c r="J49" s="1879">
        <v>4</v>
      </c>
      <c r="K49" s="2867" t="str">
        <f>IF(项目基本情况!F5="房地产抵押价值","房地产抵押价值","抵押担保权已注销时的房地产抵押价值")</f>
        <v>抵押担保权已注销时的房地产抵押价值</v>
      </c>
      <c r="L49" s="2867"/>
      <c r="M49" s="2868" t="str">
        <f>IF(项目基本情况!F5="房地产抵押价值",I110,I112)</f>
        <v>——</v>
      </c>
      <c r="N49" s="2868"/>
      <c r="O49" s="2868"/>
      <c r="P49" s="1842"/>
    </row>
    <row r="50" spans="1:16" ht="25.5" customHeight="1">
      <c r="A50" s="94"/>
      <c r="B50" s="2934" t="s">
        <v>1842</v>
      </c>
      <c r="C50" s="2934"/>
      <c r="D50" s="95"/>
      <c r="E50" s="21"/>
      <c r="F50" s="96"/>
      <c r="G50" s="2859"/>
      <c r="H50" s="2193"/>
      <c r="I50" s="2258"/>
      <c r="J50" s="2867" t="s">
        <v>1843</v>
      </c>
      <c r="K50" s="2867"/>
      <c r="L50" s="2867"/>
      <c r="M50" s="2867"/>
      <c r="N50" s="2867"/>
      <c r="O50" s="2867"/>
      <c r="P50" s="1842"/>
    </row>
    <row r="51" spans="1:16" ht="12" customHeight="1">
      <c r="A51" s="97"/>
      <c r="B51" s="2934" t="s">
        <v>1844</v>
      </c>
      <c r="C51" s="2934"/>
      <c r="D51" s="98"/>
      <c r="E51" s="20"/>
      <c r="F51" s="96"/>
      <c r="G51" s="2860"/>
      <c r="H51" s="2193"/>
      <c r="I51" s="2258"/>
      <c r="J51" s="2259" t="s">
        <v>1845</v>
      </c>
      <c r="K51" s="2867" t="s">
        <v>1846</v>
      </c>
      <c r="L51" s="2867"/>
      <c r="M51" s="2259" t="s">
        <v>1847</v>
      </c>
      <c r="N51" s="2259" t="s">
        <v>1848</v>
      </c>
      <c r="O51" s="2259" t="s">
        <v>1849</v>
      </c>
      <c r="P51" s="1842"/>
    </row>
    <row r="52" spans="1:16" ht="24" customHeight="1">
      <c r="A52" s="99" t="s">
        <v>1850</v>
      </c>
      <c r="B52" s="2934" t="s">
        <v>1851</v>
      </c>
      <c r="C52" s="2934"/>
      <c r="D52" s="98" t="e">
        <f ca="1">ROUND(D45*'数据-取费表'!E29/(1+'数据-取费表'!F30),0)</f>
        <v>#REF!</v>
      </c>
      <c r="E52" s="10" t="s">
        <v>1852</v>
      </c>
      <c r="F52" s="100">
        <f>'数据-取费表'!E29</f>
        <v>5.6000000000000001E-2</v>
      </c>
      <c r="G52" s="2260"/>
      <c r="H52" s="2193"/>
      <c r="I52" s="2258"/>
      <c r="J52" s="1879">
        <v>1</v>
      </c>
      <c r="K52" s="2857" t="s">
        <v>1853</v>
      </c>
      <c r="L52" s="2857"/>
      <c r="M52" s="777" t="e">
        <f ca="1">D48</f>
        <v>#REF!</v>
      </c>
      <c r="N52" s="1879" t="str">
        <f>E48</f>
        <v>销售额×税（费）率</v>
      </c>
      <c r="O52" s="778">
        <f>F48</f>
        <v>5.6000000000000001E-2</v>
      </c>
      <c r="P52" s="1842"/>
    </row>
    <row r="53" spans="1:16" ht="12" customHeight="1">
      <c r="A53" s="99" t="s">
        <v>1854</v>
      </c>
      <c r="B53" s="2933" t="s">
        <v>1855</v>
      </c>
      <c r="C53" s="2827"/>
      <c r="D53" s="98" t="e">
        <f ca="1">ROUND(D45*'数据-取费表'!E29/(1+'数据-取费表'!F30),0)</f>
        <v>#REF!</v>
      </c>
      <c r="E53" s="10" t="s">
        <v>1852</v>
      </c>
      <c r="F53" s="100">
        <f>'数据-取费表'!E29</f>
        <v>5.6000000000000001E-2</v>
      </c>
      <c r="G53" s="2260"/>
      <c r="H53" s="2193"/>
      <c r="I53" s="2258"/>
      <c r="J53" s="1879">
        <v>2</v>
      </c>
      <c r="K53" s="2857" t="s">
        <v>1856</v>
      </c>
      <c r="L53" s="2857"/>
      <c r="M53" s="777" t="e">
        <f t="shared" ref="M53:O54" ca="1" si="1">D55</f>
        <v>#REF!</v>
      </c>
      <c r="N53" s="1879" t="str">
        <f t="shared" si="1"/>
        <v>销售额×税（费）率</v>
      </c>
      <c r="O53" s="778">
        <f t="shared" si="1"/>
        <v>5.0000000000000001E-4</v>
      </c>
      <c r="P53" s="1842"/>
    </row>
    <row r="54" spans="1:16" ht="12" customHeight="1">
      <c r="A54" s="99" t="s">
        <v>1857</v>
      </c>
      <c r="B54" s="2933" t="s">
        <v>1858</v>
      </c>
      <c r="C54" s="2827"/>
      <c r="D54" s="98" t="e">
        <f ca="1">C68</f>
        <v>#REF!</v>
      </c>
      <c r="E54" s="20" t="s">
        <v>1859</v>
      </c>
      <c r="F54" s="100">
        <f>'数据-取费表'!E29</f>
        <v>5.6000000000000001E-2</v>
      </c>
      <c r="G54" s="2260"/>
      <c r="H54" s="2261"/>
      <c r="I54" s="2258"/>
      <c r="J54" s="1879">
        <v>3</v>
      </c>
      <c r="K54" s="2857" t="s">
        <v>1860</v>
      </c>
      <c r="L54" s="2857"/>
      <c r="M54" s="777" t="e">
        <f t="shared" ca="1" si="1"/>
        <v>#REF!</v>
      </c>
      <c r="N54" s="1879" t="str">
        <f t="shared" si="1"/>
        <v>增值额×税（费）率</v>
      </c>
      <c r="O54" s="779" t="str">
        <f t="shared" si="1"/>
        <v>——</v>
      </c>
      <c r="P54" s="1842"/>
    </row>
    <row r="55" spans="1:16" ht="24" customHeight="1">
      <c r="A55" s="2819" t="s">
        <v>1861</v>
      </c>
      <c r="B55" s="2954"/>
      <c r="C55" s="2954"/>
      <c r="D55" s="101" t="e">
        <f ca="1">IF(H55="个人住宅",0,ROUND(D45*I55,0))</f>
        <v>#REF!</v>
      </c>
      <c r="E55" s="10" t="s">
        <v>1862</v>
      </c>
      <c r="F55" s="100">
        <f>IF(H55="正常",I55,"免征")</f>
        <v>5.0000000000000001E-4</v>
      </c>
      <c r="G55" s="2260"/>
      <c r="H55" s="2257" t="s">
        <v>1863</v>
      </c>
      <c r="I55" s="102">
        <f>'数据-取费表'!E37</f>
        <v>5.0000000000000001E-4</v>
      </c>
      <c r="J55" s="1879">
        <f>IF(H59="非个人房产","",4)</f>
        <v>4</v>
      </c>
      <c r="K55" s="2857" t="str">
        <f>IF(H59="非个人房产","——","个人所得税")</f>
        <v>个人所得税</v>
      </c>
      <c r="L55" s="2857"/>
      <c r="M55" s="780" t="e">
        <f ca="1">D59</f>
        <v>#REF!</v>
      </c>
      <c r="N55" s="1882" t="str">
        <f>E59</f>
        <v>销售额×税（费）率</v>
      </c>
      <c r="O55" s="781">
        <f>F59</f>
        <v>0.01</v>
      </c>
      <c r="P55" s="1842"/>
    </row>
    <row r="56" spans="1:16" ht="24.75">
      <c r="A56" s="2819" t="s">
        <v>1864</v>
      </c>
      <c r="B56" s="2954"/>
      <c r="C56" s="2954"/>
      <c r="D56" s="101" t="e">
        <f ca="1">IF(H56="个人住宅",D57,D58)</f>
        <v>#REF!</v>
      </c>
      <c r="E56" s="10" t="s">
        <v>1865</v>
      </c>
      <c r="F56" s="100" t="str">
        <f>IF(H56="正常",F58,"免征")</f>
        <v>——</v>
      </c>
      <c r="G56" s="2262" t="s">
        <v>1866</v>
      </c>
      <c r="H56" s="2263" t="s">
        <v>1863</v>
      </c>
      <c r="I56" s="1019"/>
      <c r="J56" s="1879" t="str">
        <f>IF(项目基本情况!I6="上海银行",IF(J55="",4,J55+1),"")</f>
        <v/>
      </c>
      <c r="K56" s="2874" t="str">
        <f>IF(项目基本情况!I6="上海银行","其他处置费用","")</f>
        <v/>
      </c>
      <c r="L56" s="2875"/>
      <c r="M56" s="777" t="str">
        <f>IF(项目基本情况!I6="上海银行",M69,"")</f>
        <v/>
      </c>
      <c r="N56" s="2855" t="str">
        <f>IF(项目基本情况!I6="上海银行","包含处置中涉及的律师、诉讼、拍卖、评估等费用","")</f>
        <v/>
      </c>
      <c r="O56" s="2856"/>
      <c r="P56" s="1842"/>
    </row>
    <row r="57" spans="1:16" ht="12.75">
      <c r="A57" s="99" t="s">
        <v>1839</v>
      </c>
      <c r="B57" s="2942" t="s">
        <v>1867</v>
      </c>
      <c r="C57" s="2944"/>
      <c r="D57" s="103">
        <v>0</v>
      </c>
      <c r="E57" s="13" t="s">
        <v>1841</v>
      </c>
      <c r="F57" s="70"/>
      <c r="G57" s="2260"/>
      <c r="H57" s="1019"/>
      <c r="I57" s="1019"/>
      <c r="J57" s="2857">
        <f>IF(AND(J55="",J56=""),4,IF(项目基本情况!I6="上海银行",J56+1,J55+1))</f>
        <v>5</v>
      </c>
      <c r="K57" s="2857" t="s">
        <v>1868</v>
      </c>
      <c r="L57" s="2264" t="s">
        <v>1869</v>
      </c>
      <c r="M57" s="782"/>
      <c r="N57" s="783">
        <f ca="1">SUMIF(M52:M56,"&lt;9e307")</f>
        <v>0</v>
      </c>
      <c r="O57" s="2265"/>
      <c r="P57" s="1838" t="e">
        <f ca="1">N57/M49</f>
        <v>#VALUE!</v>
      </c>
    </row>
    <row r="58" spans="1:16" ht="24.75">
      <c r="A58" s="99" t="s">
        <v>1850</v>
      </c>
      <c r="B58" s="2942" t="s">
        <v>1870</v>
      </c>
      <c r="C58" s="2943"/>
      <c r="D58" s="101" t="e">
        <f ca="1">IF(H58="转让取得",C81,C97)</f>
        <v>#REF!</v>
      </c>
      <c r="E58" s="10" t="s">
        <v>1865</v>
      </c>
      <c r="F58" s="14" t="s">
        <v>48</v>
      </c>
      <c r="G58" s="2260"/>
      <c r="H58" s="2263" t="s">
        <v>1871</v>
      </c>
      <c r="I58" s="1019"/>
      <c r="J58" s="2857"/>
      <c r="K58" s="2857"/>
      <c r="L58" s="2264" t="s">
        <v>1872</v>
      </c>
      <c r="M58" s="784"/>
      <c r="N58" s="2266" t="str">
        <f ca="1">IF(H19="元",NUMBERSTRING(INT(N57),2)&amp;"元整",NUMBERSTRING(INT(N57*10000),2)&amp;"元整")</f>
        <v>零元整</v>
      </c>
      <c r="O58" s="2267"/>
      <c r="P58" s="1842"/>
    </row>
    <row r="59" spans="1:16" ht="26.25" thickBot="1">
      <c r="A59" s="2820" t="s">
        <v>1873</v>
      </c>
      <c r="B59" s="2823"/>
      <c r="C59" s="2823"/>
      <c r="D59" s="104" t="e">
        <f ca="1">IF(H59="非个人房产","——",IF(H59="个人住宅",0,ROUND(D45*I59,0)))</f>
        <v>#REF!</v>
      </c>
      <c r="E59" s="105" t="str">
        <f>IF(H59="非个人房产","——","销售额×税（费）率")</f>
        <v>销售额×税（费）率</v>
      </c>
      <c r="F59" s="106">
        <f>IF(H59="非个人房产","——",IF(H59="个人住宅","免征",I59))</f>
        <v>0.01</v>
      </c>
      <c r="G59" s="2268" t="s">
        <v>1866</v>
      </c>
      <c r="H59" s="2263" t="s">
        <v>1874</v>
      </c>
      <c r="I59" s="107">
        <v>0.01</v>
      </c>
      <c r="J59" s="2911">
        <f>J57+1</f>
        <v>6</v>
      </c>
      <c r="K59" s="2857" t="s">
        <v>1875</v>
      </c>
      <c r="L59" s="1879" t="s">
        <v>1869</v>
      </c>
      <c r="M59" s="785"/>
      <c r="N59" s="786" t="e">
        <f ca="1">M49-N57</f>
        <v>#VALUE!</v>
      </c>
      <c r="O59" s="2269"/>
      <c r="P59" s="1842"/>
    </row>
    <row r="60" spans="1:16" ht="12" customHeight="1">
      <c r="A60" s="2064"/>
      <c r="B60" s="2193"/>
      <c r="C60" s="2193"/>
      <c r="D60" s="2193"/>
      <c r="E60" s="1019"/>
      <c r="F60" s="1019"/>
      <c r="G60" s="1019"/>
      <c r="H60" s="2246"/>
      <c r="I60" s="2193"/>
      <c r="J60" s="2912"/>
      <c r="K60" s="2857"/>
      <c r="L60" s="2264" t="s">
        <v>1872</v>
      </c>
      <c r="M60" s="784"/>
      <c r="N60" s="2266" t="e">
        <f ca="1">IF(H19="元",NUMBERSTRING(INT(N59),2)&amp;"元整",NUMBERSTRING(INT(N59*10000),2)&amp;"元整")</f>
        <v>#VALUE!</v>
      </c>
      <c r="O60" s="2267"/>
      <c r="P60" s="1842"/>
    </row>
    <row r="61" spans="1:16" ht="13.5" thickBot="1">
      <c r="A61" s="2958" t="s">
        <v>1876</v>
      </c>
      <c r="B61" s="2958"/>
      <c r="C61" s="2958"/>
      <c r="D61" s="2958"/>
      <c r="E61" s="2958"/>
      <c r="F61" s="1019"/>
      <c r="G61" s="1019"/>
      <c r="H61" s="2246"/>
      <c r="I61" s="2193"/>
      <c r="J61" s="1879">
        <f>J59+1</f>
        <v>7</v>
      </c>
      <c r="K61" s="2857" t="s">
        <v>1877</v>
      </c>
      <c r="L61" s="2857"/>
      <c r="M61" s="787"/>
      <c r="N61" s="788" t="e">
        <f ca="1">IF(H19="元",ROUND(N59/项目基本情况!C12,0),ROUND(N59*10000/项目基本情况!C12,0))</f>
        <v>#VALUE!</v>
      </c>
      <c r="O61" s="2270"/>
      <c r="P61" s="1842"/>
    </row>
    <row r="62" spans="1:16" ht="12.75">
      <c r="A62" s="2895" t="s">
        <v>1878</v>
      </c>
      <c r="B62" s="2896"/>
      <c r="C62" s="1881"/>
      <c r="D62" s="1881" t="s">
        <v>1879</v>
      </c>
      <c r="E62" s="108" t="s">
        <v>1880</v>
      </c>
      <c r="F62" s="1019"/>
      <c r="G62" s="1019"/>
      <c r="H62" s="2246"/>
      <c r="I62" s="2193"/>
      <c r="J62" s="1842"/>
      <c r="K62" s="1842"/>
      <c r="L62" s="1842"/>
      <c r="M62" s="1842"/>
      <c r="N62" s="1842"/>
      <c r="O62" s="1842"/>
      <c r="P62" s="1842"/>
    </row>
    <row r="63" spans="1:16" ht="12.75">
      <c r="A63" s="109">
        <v>1</v>
      </c>
      <c r="B63" s="110" t="s">
        <v>1881</v>
      </c>
      <c r="C63" s="111" t="e">
        <f ca="1">ROUND((C64+C65)/(1+'数据-取费表'!F30),0)</f>
        <v>#REF!</v>
      </c>
      <c r="D63" s="112"/>
      <c r="E63" s="113"/>
      <c r="F63" s="1019"/>
      <c r="G63" s="1019"/>
      <c r="H63" s="2246"/>
      <c r="I63" s="2193"/>
      <c r="J63" s="2876" t="s">
        <v>1882</v>
      </c>
      <c r="K63" s="2271" t="s">
        <v>1883</v>
      </c>
      <c r="L63" s="1841" t="e">
        <f>IF(M49&gt;10000,M49*0.5%,IF(AND(M49&gt;1000,M49&lt;=10000),M49*1%,IF(AND(M49&gt;100,M49&lt;=1000),M49*3%,IF(AND(M49&gt;10,M49&lt;=100),M49*5%,M49*8%))))</f>
        <v>#VALUE!</v>
      </c>
      <c r="M63" s="14" t="e">
        <f>ROUND(L63,1)</f>
        <v>#VALUE!</v>
      </c>
      <c r="N63" s="1842"/>
      <c r="O63" s="1842"/>
      <c r="P63" s="1842"/>
    </row>
    <row r="64" spans="1:16" ht="12.75">
      <c r="A64" s="114" t="s">
        <v>71</v>
      </c>
      <c r="B64" s="115" t="s">
        <v>1884</v>
      </c>
      <c r="C64" s="116" t="e">
        <f ca="1">D45</f>
        <v>#REF!</v>
      </c>
      <c r="D64" s="117" t="s">
        <v>41</v>
      </c>
      <c r="E64" s="118"/>
      <c r="F64" s="1019"/>
      <c r="G64" s="1019"/>
      <c r="H64" s="2246"/>
      <c r="I64" s="2193"/>
      <c r="J64" s="2876"/>
      <c r="K64" s="2271" t="s">
        <v>1885</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1886</v>
      </c>
      <c r="O64" s="1842"/>
      <c r="P64" s="1842"/>
    </row>
    <row r="65" spans="1:35" ht="12.75">
      <c r="A65" s="114" t="s">
        <v>72</v>
      </c>
      <c r="B65" s="115" t="s">
        <v>1887</v>
      </c>
      <c r="C65" s="119"/>
      <c r="D65" s="117"/>
      <c r="E65" s="118"/>
      <c r="F65" s="1019"/>
      <c r="G65" s="1019"/>
      <c r="H65" s="2246"/>
      <c r="I65" s="2193"/>
      <c r="J65" s="2876"/>
      <c r="K65" s="2271" t="s">
        <v>1888</v>
      </c>
      <c r="L65" s="1841" t="e">
        <f>IF(M49&gt;1000,M49*0.1%,IF(AND(M49&gt;500,M49&lt;=1000),M49*0.5%,IF(AND(M49&gt;50,M49&lt;=500),M49*1%,IF(AND(M49&gt;1,M49&lt;=50),M49*1.5%))))</f>
        <v>#VALUE!</v>
      </c>
      <c r="M65" s="14" t="e">
        <f t="shared" si="2"/>
        <v>#VALUE!</v>
      </c>
      <c r="N65" s="1842" t="s">
        <v>1886</v>
      </c>
      <c r="O65" s="1842"/>
      <c r="P65" s="1842"/>
    </row>
    <row r="66" spans="1:35" ht="12.75">
      <c r="A66" s="120" t="s">
        <v>47</v>
      </c>
      <c r="B66" s="121" t="s">
        <v>1889</v>
      </c>
      <c r="C66" s="122"/>
      <c r="D66" s="123" t="s">
        <v>41</v>
      </c>
      <c r="E66" s="1858" t="s">
        <v>1890</v>
      </c>
      <c r="F66" s="1019"/>
      <c r="G66" s="1019"/>
      <c r="H66" s="2246"/>
      <c r="I66" s="2193"/>
      <c r="J66" s="2876"/>
      <c r="K66" s="2271" t="s">
        <v>1891</v>
      </c>
      <c r="L66" s="1841" t="e">
        <f>M49*0.5%</f>
        <v>#VALUE!</v>
      </c>
      <c r="M66" s="14" t="e">
        <f>IF(L66&gt;0.5,0.5,ROUND(L66,0))</f>
        <v>#VALUE!</v>
      </c>
      <c r="N66" s="1842" t="s">
        <v>1892</v>
      </c>
      <c r="O66" s="1842"/>
      <c r="P66" s="1842"/>
    </row>
    <row r="67" spans="1:35" ht="12.75">
      <c r="A67" s="120" t="s">
        <v>42</v>
      </c>
      <c r="B67" s="121" t="s">
        <v>1893</v>
      </c>
      <c r="C67" s="124" t="e">
        <f ca="1">C63-C66</f>
        <v>#REF!</v>
      </c>
      <c r="D67" s="117" t="s">
        <v>41</v>
      </c>
      <c r="E67" s="118"/>
      <c r="F67" s="1019"/>
      <c r="G67" s="1019"/>
      <c r="H67" s="2246"/>
      <c r="I67" s="2193"/>
      <c r="J67" s="2876"/>
      <c r="K67" s="2271" t="s">
        <v>1894</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1895</v>
      </c>
      <c r="C68" s="127" t="e">
        <f ca="1">IF(C67&lt;=0,0,ROUND(C67*D68,0))</f>
        <v>#REF!</v>
      </c>
      <c r="D68" s="128">
        <f>'数据-取费表'!E29</f>
        <v>5.6000000000000001E-2</v>
      </c>
      <c r="E68" s="129"/>
      <c r="F68" s="1019"/>
      <c r="G68" s="1019"/>
      <c r="H68" s="2246"/>
      <c r="I68" s="2193"/>
      <c r="J68" s="2876"/>
      <c r="K68" s="2271" t="s">
        <v>1896</v>
      </c>
      <c r="L68" s="1841" t="e">
        <f>IF(M49&gt;10000,M49*0.5%,IF(AND(M49&gt;5000,M49&lt;=10000),M49*1%,IF(AND(M49&gt;1000,M49&lt;=5000),M49*2%,IF(AND(M49&gt;200,M49&lt;=1000),M49*3%,M49*5%))))</f>
        <v>#VALUE!</v>
      </c>
      <c r="M68" s="14" t="e">
        <f>ROUND(L68,1)</f>
        <v>#VALUE!</v>
      </c>
      <c r="N68" s="1842"/>
      <c r="O68" s="1842"/>
      <c r="P68" s="1842"/>
    </row>
    <row r="69" spans="1:35" s="2220" customFormat="1" ht="7.5" customHeight="1">
      <c r="A69" s="2272"/>
      <c r="B69" s="2273"/>
      <c r="C69" s="2274"/>
      <c r="D69" s="2275"/>
      <c r="E69" s="2276"/>
      <c r="F69" s="1019"/>
      <c r="G69" s="1019"/>
      <c r="H69" s="2246"/>
      <c r="I69" s="2193"/>
      <c r="J69" s="2876"/>
      <c r="K69" s="2271" t="s">
        <v>1897</v>
      </c>
      <c r="L69" s="2277"/>
      <c r="M69" s="14" t="e">
        <f>ROUND(SUM(M63:M68),0)</f>
        <v>#VALUE!</v>
      </c>
      <c r="N69" s="1838" t="e">
        <f>M69/M49</f>
        <v>#VALUE!</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9" customFormat="1" ht="15" thickBot="1">
      <c r="A70" s="2897" t="s">
        <v>1898</v>
      </c>
      <c r="B70" s="2898"/>
      <c r="C70" s="2898"/>
      <c r="D70" s="2898"/>
      <c r="E70" s="2898"/>
      <c r="F70" s="2898"/>
      <c r="G70" s="2898"/>
      <c r="H70" s="2898"/>
      <c r="I70" s="2278"/>
      <c r="O70" s="1283"/>
      <c r="P70" s="1283"/>
      <c r="Q70" s="1283"/>
      <c r="R70" s="1283"/>
      <c r="S70" s="1283"/>
      <c r="T70" s="1283"/>
      <c r="U70" s="1283"/>
      <c r="V70" s="1283"/>
      <c r="W70" s="1283"/>
      <c r="X70" s="1283"/>
      <c r="Y70" s="1283"/>
      <c r="Z70" s="1283"/>
      <c r="AA70" s="2280"/>
      <c r="AB70" s="2280"/>
      <c r="AC70" s="2280"/>
      <c r="AD70" s="2280"/>
      <c r="AE70" s="2280"/>
      <c r="AF70" s="2280"/>
      <c r="AG70" s="2280"/>
      <c r="AH70" s="2280"/>
      <c r="AI70" s="2280"/>
    </row>
    <row r="71" spans="1:35" s="2279" customFormat="1" ht="14.25">
      <c r="A71" s="2895" t="s">
        <v>1878</v>
      </c>
      <c r="B71" s="2896"/>
      <c r="C71" s="1881"/>
      <c r="D71" s="1881" t="s">
        <v>1879</v>
      </c>
      <c r="E71" s="130" t="s">
        <v>1880</v>
      </c>
      <c r="F71" s="131"/>
      <c r="G71" s="131"/>
      <c r="H71" s="132"/>
      <c r="I71" s="2281"/>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133">
        <v>1</v>
      </c>
      <c r="B72" s="121" t="s">
        <v>1899</v>
      </c>
      <c r="C72" s="124" t="e">
        <f ca="1">ROUND(D45/(1+'数据-取费表'!F30),0)</f>
        <v>#REF!</v>
      </c>
      <c r="D72" s="117" t="s">
        <v>41</v>
      </c>
      <c r="E72" s="12" t="s">
        <v>1900</v>
      </c>
      <c r="F72" s="1885"/>
      <c r="G72" s="1885"/>
      <c r="H72" s="134"/>
      <c r="I72" s="2281"/>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5">
        <v>2</v>
      </c>
      <c r="B73" s="89" t="s">
        <v>1901</v>
      </c>
      <c r="C73" s="124" t="e">
        <f ca="1">C74+C78</f>
        <v>#REF!</v>
      </c>
      <c r="D73" s="117" t="s">
        <v>41</v>
      </c>
      <c r="E73" s="1884"/>
      <c r="F73" s="1885"/>
      <c r="G73" s="1885"/>
      <c r="H73" s="134"/>
      <c r="I73" s="2281"/>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24">
      <c r="A74" s="136" t="s">
        <v>73</v>
      </c>
      <c r="B74" s="115" t="s">
        <v>1902</v>
      </c>
      <c r="C74" s="117">
        <f>ROUND(IF(G77="2016年5月1日后购买",C75/(1+'数据-取费表'!F30)+C76+C77,C75+C76+C77),0)</f>
        <v>0</v>
      </c>
      <c r="D74" s="117" t="s">
        <v>41</v>
      </c>
      <c r="E74" s="1884"/>
      <c r="F74" s="1885"/>
      <c r="G74" s="1885"/>
      <c r="H74" s="134"/>
      <c r="I74" s="2281"/>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6" t="s">
        <v>74</v>
      </c>
      <c r="B75" s="115" t="s">
        <v>1903</v>
      </c>
      <c r="C75" s="137"/>
      <c r="D75" s="117" t="s">
        <v>41</v>
      </c>
      <c r="E75" s="138" t="s">
        <v>1904</v>
      </c>
      <c r="F75" s="2282" t="s">
        <v>1905</v>
      </c>
      <c r="G75" s="138" t="s">
        <v>1906</v>
      </c>
      <c r="H75" s="139"/>
      <c r="I75" s="9"/>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24.75" customHeight="1">
      <c r="A76" s="136" t="s">
        <v>75</v>
      </c>
      <c r="B76" s="140" t="s">
        <v>1907</v>
      </c>
      <c r="C76" s="117">
        <f>IF(F75="购房发票",ROUND(C75*H75*D76,0),0)</f>
        <v>0</v>
      </c>
      <c r="D76" s="141">
        <v>0.05</v>
      </c>
      <c r="E76" s="2933" t="s">
        <v>1908</v>
      </c>
      <c r="F76" s="2934"/>
      <c r="G76" s="2934"/>
      <c r="H76" s="2935"/>
      <c r="I76" s="2281"/>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3" t="s">
        <v>1911</v>
      </c>
      <c r="H77" s="1886" t="str">
        <f>IF(G77="个人买卖住房","免征印花税"," ")</f>
        <v xml:space="preserve"> </v>
      </c>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6" t="s">
        <v>77</v>
      </c>
      <c r="B78" s="115" t="s">
        <v>1912</v>
      </c>
      <c r="C78" s="144" t="e">
        <f ca="1">ROUND(D45*D78/(1+'数据-取费表'!F30),0)</f>
        <v>#REF!</v>
      </c>
      <c r="D78" s="145">
        <f>'数据-取费表'!E31</f>
        <v>6.000000000000001E-3</v>
      </c>
      <c r="E78" s="2864" t="s">
        <v>1913</v>
      </c>
      <c r="F78" s="2865"/>
      <c r="G78" s="2865"/>
      <c r="H78" s="2885"/>
      <c r="I78" s="2284"/>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14.25">
      <c r="A79" s="146" t="s">
        <v>42</v>
      </c>
      <c r="B79" s="121" t="s">
        <v>1914</v>
      </c>
      <c r="C79" s="124" t="e">
        <f ca="1">C72-C73</f>
        <v>#REF!</v>
      </c>
      <c r="D79" s="117" t="s">
        <v>41</v>
      </c>
      <c r="E79" s="1884"/>
      <c r="F79" s="1885"/>
      <c r="G79" s="1885"/>
      <c r="H79" s="134"/>
      <c r="I79" s="2281"/>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24">
      <c r="A80" s="146" t="s">
        <v>43</v>
      </c>
      <c r="B80" s="121" t="s">
        <v>1915</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5"/>
      <c r="G80" s="1885"/>
      <c r="H80" s="134"/>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24.75" thickBot="1">
      <c r="A81" s="148" t="s">
        <v>44</v>
      </c>
      <c r="B81" s="126" t="s">
        <v>1916</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15" thickBot="1">
      <c r="A83" s="2897" t="s">
        <v>1917</v>
      </c>
      <c r="B83" s="2898"/>
      <c r="C83" s="2898"/>
      <c r="D83" s="2898"/>
      <c r="E83" s="2898"/>
      <c r="F83" s="2898"/>
      <c r="G83" s="2898"/>
      <c r="H83" s="2898"/>
      <c r="I83" s="9"/>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4.25">
      <c r="A84" s="2895" t="s">
        <v>1878</v>
      </c>
      <c r="B84" s="2896"/>
      <c r="C84" s="1881"/>
      <c r="D84" s="1881" t="s">
        <v>1879</v>
      </c>
      <c r="E84" s="130" t="s">
        <v>1880</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24">
      <c r="A85" s="133">
        <v>1</v>
      </c>
      <c r="B85" s="121" t="s">
        <v>1899</v>
      </c>
      <c r="C85" s="124" t="e">
        <f ca="1">ROUND(D45/(1+'数据-取费表'!F30),0)</f>
        <v>#REF!</v>
      </c>
      <c r="D85" s="117" t="s">
        <v>41</v>
      </c>
      <c r="E85" s="1884" t="s">
        <v>1900</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5">
        <v>2</v>
      </c>
      <c r="B86" s="89" t="s">
        <v>1901</v>
      </c>
      <c r="C86" s="124" t="e">
        <f ca="1">IF(H88="仅含出让金",C87+C90+C91+C92+C93+C94,C87+C91+C92+C93+C94)</f>
        <v>#REF!</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6" t="s">
        <v>73</v>
      </c>
      <c r="B87" s="115" t="s">
        <v>1918</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6" t="s">
        <v>74</v>
      </c>
      <c r="B88" s="115" t="s">
        <v>1919</v>
      </c>
      <c r="C88" s="157"/>
      <c r="D88" s="145"/>
      <c r="E88" s="158" t="s">
        <v>1920</v>
      </c>
      <c r="F88" s="1878"/>
      <c r="G88" s="159" t="s">
        <v>1921</v>
      </c>
      <c r="H88" s="2285"/>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6" t="s">
        <v>75</v>
      </c>
      <c r="B89" s="115" t="s">
        <v>1909</v>
      </c>
      <c r="C89" s="144">
        <f>ROUND(C88*D89,0)</f>
        <v>0</v>
      </c>
      <c r="D89" s="145">
        <f>'数据-取费表'!E36+'数据-取费表'!E37</f>
        <v>3.0499999999999999E-2</v>
      </c>
      <c r="E89" s="158" t="s">
        <v>1922</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6" t="s">
        <v>77</v>
      </c>
      <c r="B90" s="115" t="s">
        <v>1923</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30.75" customHeight="1">
      <c r="A91" s="136" t="s">
        <v>78</v>
      </c>
      <c r="B91" s="115" t="s">
        <v>1924</v>
      </c>
      <c r="C91" s="144">
        <f>IF(H91="——",成本法!C33,I91)</f>
        <v>0</v>
      </c>
      <c r="D91" s="145"/>
      <c r="E91" s="2864" t="s">
        <v>1925</v>
      </c>
      <c r="F91" s="2865"/>
      <c r="G91" s="2865"/>
      <c r="H91" s="2286" t="s">
        <v>1926</v>
      </c>
      <c r="I91" s="2287"/>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25.5" customHeight="1">
      <c r="A92" s="136" t="s">
        <v>79</v>
      </c>
      <c r="B92" s="115" t="s">
        <v>1927</v>
      </c>
      <c r="C92" s="144">
        <f>ROUND((C87+C90+C91)*D92,0)</f>
        <v>0</v>
      </c>
      <c r="D92" s="145">
        <v>0.1</v>
      </c>
      <c r="E92" s="2864" t="s">
        <v>1928</v>
      </c>
      <c r="F92" s="2865"/>
      <c r="G92" s="2865"/>
      <c r="H92" s="2885"/>
      <c r="I92" s="9"/>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6" t="s">
        <v>80</v>
      </c>
      <c r="B93" s="115" t="s">
        <v>1912</v>
      </c>
      <c r="C93" s="144" t="e">
        <f ca="1">ROUND(D45*D93/(1+'数据-取费表'!F30),0)</f>
        <v>#REF!</v>
      </c>
      <c r="D93" s="145">
        <f>'数据-取费表'!E31</f>
        <v>6.000000000000001E-3</v>
      </c>
      <c r="E93" s="2864" t="s">
        <v>1913</v>
      </c>
      <c r="F93" s="2865"/>
      <c r="G93" s="2865"/>
      <c r="H93" s="2885"/>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6" t="s">
        <v>81</v>
      </c>
      <c r="B94" s="115" t="s">
        <v>1929</v>
      </c>
      <c r="C94" s="144">
        <f>ROUND((C87+C90+C91)*D94,0)</f>
        <v>0</v>
      </c>
      <c r="D94" s="145">
        <v>0.2</v>
      </c>
      <c r="E94" s="2864" t="s">
        <v>1930</v>
      </c>
      <c r="F94" s="2865"/>
      <c r="G94" s="2865"/>
      <c r="H94" s="2885"/>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14.25">
      <c r="A95" s="146" t="s">
        <v>42</v>
      </c>
      <c r="B95" s="121" t="s">
        <v>1914</v>
      </c>
      <c r="C95" s="124" t="e">
        <f ca="1">ROUND(C85-C86,0)</f>
        <v>#REF!</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24">
      <c r="A96" s="146" t="s">
        <v>43</v>
      </c>
      <c r="B96" s="121" t="s">
        <v>1915</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24.75" thickBot="1">
      <c r="A97" s="148" t="s">
        <v>44</v>
      </c>
      <c r="B97" s="126" t="s">
        <v>1916</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ht="21.75" customHeight="1" thickBot="1">
      <c r="A98" s="2249" t="s">
        <v>1931</v>
      </c>
      <c r="B98" s="2193"/>
      <c r="C98" s="2193"/>
      <c r="D98" s="2193"/>
      <c r="E98" s="1019"/>
      <c r="F98" s="1019"/>
      <c r="G98" s="1019"/>
      <c r="H98" s="2246"/>
      <c r="I98" s="2193"/>
    </row>
    <row r="99" spans="1:35" ht="15.75">
      <c r="A99" s="2882" t="s">
        <v>1932</v>
      </c>
      <c r="B99" s="2883"/>
      <c r="C99" s="2883"/>
      <c r="D99" s="2884"/>
      <c r="E99" s="2193"/>
      <c r="F99" s="2892" t="s">
        <v>1933</v>
      </c>
      <c r="G99" s="2893"/>
      <c r="H99" s="2893"/>
      <c r="I99" s="2894"/>
    </row>
    <row r="100" spans="1:35" ht="15.75">
      <c r="A100" s="2899" t="s">
        <v>1934</v>
      </c>
      <c r="B100" s="2900"/>
      <c r="C100" s="719">
        <f>C4</f>
        <v>0</v>
      </c>
      <c r="D100" s="720">
        <f>D4</f>
        <v>0</v>
      </c>
      <c r="E100" s="2193"/>
      <c r="F100" s="2901" t="s">
        <v>1935</v>
      </c>
      <c r="G100" s="2903"/>
      <c r="H100" s="2901" t="s">
        <v>1936</v>
      </c>
      <c r="I100" s="2902"/>
    </row>
    <row r="101" spans="1:35" ht="15.75">
      <c r="A101" s="2921" t="s">
        <v>1937</v>
      </c>
      <c r="B101" s="2288" t="str">
        <f>IF(H19="元","总价（元）","总价（万元）")</f>
        <v>总价（万元）</v>
      </c>
      <c r="C101" s="719" t="e">
        <f ca="1">C19</f>
        <v>#REF!</v>
      </c>
      <c r="D101" s="720" t="e">
        <f ca="1">D19</f>
        <v>#REF!</v>
      </c>
      <c r="E101" s="2193"/>
      <c r="F101" s="2901" t="str">
        <f>项目基本情况!I1</f>
        <v>北京市房地产</v>
      </c>
      <c r="G101" s="2903"/>
      <c r="H101" s="2962">
        <f>项目基本情况!C12</f>
        <v>14802.98</v>
      </c>
      <c r="I101" s="2902"/>
    </row>
    <row r="102" spans="1:35" ht="15.75">
      <c r="A102" s="2921"/>
      <c r="B102" s="2288" t="s">
        <v>1938</v>
      </c>
      <c r="C102" s="721" t="e">
        <f ca="1">C20</f>
        <v>#REF!</v>
      </c>
      <c r="D102" s="722" t="e">
        <f ca="1">D20</f>
        <v>#REF!</v>
      </c>
      <c r="E102" s="2193"/>
      <c r="F102" s="2976" t="s">
        <v>1939</v>
      </c>
      <c r="G102" s="2977"/>
      <c r="H102" s="2289" t="str">
        <f>C106</f>
        <v>总价（万元）</v>
      </c>
      <c r="I102" s="1859" t="e">
        <f ca="1">H121</f>
        <v>#REF!</v>
      </c>
    </row>
    <row r="103" spans="1:35" ht="15">
      <c r="A103" s="2921" t="s">
        <v>1940</v>
      </c>
      <c r="B103" s="2290" t="str">
        <f>B101</f>
        <v>总价（万元）</v>
      </c>
      <c r="C103" s="723" t="e">
        <f ca="1">H121</f>
        <v>#REF!</v>
      </c>
      <c r="D103" s="724"/>
      <c r="E103" s="2193"/>
      <c r="F103" s="2976"/>
      <c r="G103" s="2977"/>
      <c r="H103" s="2289" t="s">
        <v>1938</v>
      </c>
      <c r="I103" s="1047" t="e">
        <f ca="1">I121</f>
        <v>#REF!</v>
      </c>
    </row>
    <row r="104" spans="1:35" ht="16.5" thickBot="1">
      <c r="A104" s="2922"/>
      <c r="B104" s="2291" t="s">
        <v>1938</v>
      </c>
      <c r="C104" s="725" t="e">
        <f ca="1">I121</f>
        <v>#REF!</v>
      </c>
      <c r="D104" s="726"/>
      <c r="E104" s="2193"/>
      <c r="F104" s="2888"/>
      <c r="G104" s="2889"/>
      <c r="H104" s="2923"/>
      <c r="I104" s="2924"/>
    </row>
    <row r="105" spans="1:35" ht="15.75">
      <c r="A105" s="2882" t="s">
        <v>1941</v>
      </c>
      <c r="B105" s="2883"/>
      <c r="C105" s="2883"/>
      <c r="D105" s="2884"/>
      <c r="E105" s="2193"/>
      <c r="F105" s="2927" t="s">
        <v>1942</v>
      </c>
      <c r="G105" s="2928"/>
      <c r="H105" s="2292" t="str">
        <f>C108</f>
        <v>总额（万元）</v>
      </c>
      <c r="I105" s="1859">
        <f>SUMIF(I106:I108,"&lt;9E307")</f>
        <v>0</v>
      </c>
    </row>
    <row r="106" spans="1:35" ht="15">
      <c r="A106" s="2929" t="s">
        <v>1943</v>
      </c>
      <c r="B106" s="2930"/>
      <c r="C106" s="2289" t="str">
        <f>B101</f>
        <v>总价（万元）</v>
      </c>
      <c r="D106" s="1048" t="e">
        <f ca="1">H121</f>
        <v>#REF!</v>
      </c>
      <c r="E106" s="2193"/>
      <c r="F106" s="2890" t="s">
        <v>1944</v>
      </c>
      <c r="G106" s="2891"/>
      <c r="H106" s="2292" t="str">
        <f>C109</f>
        <v>总额（万元）</v>
      </c>
      <c r="I106" s="1047">
        <f>IF(D36="同一抵押权人同一抵押物续贷",C36&amp;"（未扣减，详见特别提示）",C36)</f>
        <v>0</v>
      </c>
      <c r="K106" s="2203" t="str">
        <f>IF(D123=0,"本次评估不存在"&amp;A123&amp;"。","本次评估"&amp;A123&amp;"为"&amp;D123&amp;"元人民币。")</f>
        <v>本次评估不存在——。</v>
      </c>
    </row>
    <row r="107" spans="1:35" ht="15">
      <c r="A107" s="2929"/>
      <c r="B107" s="2930"/>
      <c r="C107" s="2289" t="s">
        <v>1938</v>
      </c>
      <c r="D107" s="1049" t="e">
        <f ca="1">I121</f>
        <v>#REF!</v>
      </c>
      <c r="E107" s="2193"/>
      <c r="F107" s="2890" t="s">
        <v>1945</v>
      </c>
      <c r="G107" s="2891"/>
      <c r="H107" s="2292" t="str">
        <f>C110</f>
        <v>总额（万元）</v>
      </c>
      <c r="I107" s="1047">
        <f>C37</f>
        <v>0</v>
      </c>
      <c r="K107" s="2293"/>
    </row>
    <row r="108" spans="1:35" ht="15">
      <c r="A108" s="2972" t="s">
        <v>1946</v>
      </c>
      <c r="B108" s="2973"/>
      <c r="C108" s="2292" t="str">
        <f>IF(H19="元","总额（元）","总额（万元）")</f>
        <v>总额（万元）</v>
      </c>
      <c r="D108" s="1048">
        <f>IF(D36="正常操作",I106+I107+I108,I107+I108)</f>
        <v>0</v>
      </c>
      <c r="E108" s="2193"/>
      <c r="F108" s="2890" t="s">
        <v>1947</v>
      </c>
      <c r="G108" s="2891"/>
      <c r="H108" s="2292" t="str">
        <f>C111</f>
        <v>总额（万元）</v>
      </c>
      <c r="I108" s="1047">
        <f>C38</f>
        <v>0</v>
      </c>
    </row>
    <row r="109" spans="1:35" ht="15.75">
      <c r="A109" s="2890" t="s">
        <v>1944</v>
      </c>
      <c r="B109" s="2891"/>
      <c r="C109" s="2292" t="str">
        <f>C108</f>
        <v>总额（万元）</v>
      </c>
      <c r="D109" s="636">
        <f>IF(D36="同一抵押权人同一抵押物续贷",C36&amp;"（未扣减，详见特别提示）",C36)</f>
        <v>0</v>
      </c>
      <c r="E109" s="2193"/>
      <c r="F109" s="2888"/>
      <c r="G109" s="2889"/>
      <c r="H109" s="2925"/>
      <c r="I109" s="2926"/>
    </row>
    <row r="110" spans="1:35" ht="28.5" customHeight="1">
      <c r="A110" s="2890" t="s">
        <v>1945</v>
      </c>
      <c r="B110" s="2891"/>
      <c r="C110" s="2292" t="str">
        <f>C108</f>
        <v>总额（万元）</v>
      </c>
      <c r="D110" s="636">
        <f>C37</f>
        <v>0</v>
      </c>
      <c r="E110" s="2193"/>
      <c r="F110" s="2870" t="str">
        <f>IF(项目基本情况!F5="已注销","——","3.房地产抵押价值")</f>
        <v>3.房地产抵押价值</v>
      </c>
      <c r="G110" s="2871"/>
      <c r="H110" s="2294" t="str">
        <f>C112</f>
        <v>总价（万元）</v>
      </c>
      <c r="I110" s="1860" t="e">
        <f ca="1">IF(F110="——","——",I102-I105)</f>
        <v>#REF!</v>
      </c>
    </row>
    <row r="111" spans="1:35" ht="15">
      <c r="A111" s="2890" t="s">
        <v>1947</v>
      </c>
      <c r="B111" s="2891"/>
      <c r="C111" s="2292" t="str">
        <f>C108</f>
        <v>总额（万元）</v>
      </c>
      <c r="D111" s="636">
        <f>C38</f>
        <v>0</v>
      </c>
      <c r="E111" s="2193"/>
      <c r="F111" s="2872"/>
      <c r="G111" s="2873"/>
      <c r="H111" s="2289" t="s">
        <v>1938</v>
      </c>
      <c r="I111" s="2295" t="e">
        <f ca="1">D113</f>
        <v>#REF!</v>
      </c>
    </row>
    <row r="112" spans="1:35" ht="26.25" customHeight="1">
      <c r="A112" s="2929" t="str">
        <f>IF(项目基本情况!F5="已注销","——","3.房地产抵押价值")</f>
        <v>3.房地产抵押价值</v>
      </c>
      <c r="B112" s="2930"/>
      <c r="C112" s="2289" t="str">
        <f>B101</f>
        <v>总价（万元）</v>
      </c>
      <c r="D112" s="1048" t="e">
        <f ca="1">IF(A112="——","——",D106-D108)</f>
        <v>#REF!</v>
      </c>
      <c r="E112" s="2193"/>
      <c r="F112" s="2870" t="str">
        <f>IF(项目基本情况!F5="已注销及未注销","4.抵押担保权已注销时的房地产抵押价值",IF(项目基本情况!F5="已注销","3.抵押担保权已注销时的房地产抵押价值","——"))</f>
        <v>——</v>
      </c>
      <c r="G112" s="2871"/>
      <c r="H112" s="2294" t="str">
        <f>C114</f>
        <v>总价（万元）</v>
      </c>
      <c r="I112" s="1860" t="str">
        <f>IF(F112="——","——",I102-I107-I108)</f>
        <v>——</v>
      </c>
    </row>
    <row r="113" spans="1:15" ht="15">
      <c r="A113" s="2929"/>
      <c r="B113" s="2930"/>
      <c r="C113" s="2289" t="s">
        <v>1938</v>
      </c>
      <c r="D113" s="1049" t="e">
        <f ca="1">ROUND(IF(D112=D106,D107,IF(H19="元",D112/项目基本情况!C12,D112*10000/项目基本情况!C12)),0)</f>
        <v>#REF!</v>
      </c>
      <c r="E113" s="2193"/>
      <c r="F113" s="2872"/>
      <c r="G113" s="2873"/>
      <c r="H113" s="2289" t="s">
        <v>1938</v>
      </c>
      <c r="I113" s="2296" t="str">
        <f>D115</f>
        <v>——</v>
      </c>
    </row>
    <row r="114" spans="1:15" ht="15.75">
      <c r="A114" s="2929" t="str">
        <f>IF(项目基本情况!F5="已注销及未注销","4.抵押担保权已注销时的房地产抵押价值",IF(项目基本情况!F5="已注销","3.抵押担保权已注销时的房地产抵押价值","——"))</f>
        <v>——</v>
      </c>
      <c r="B114" s="2930"/>
      <c r="C114" s="2289" t="str">
        <f>B101</f>
        <v>总价（万元）</v>
      </c>
      <c r="D114" s="1048" t="str">
        <f>IF(A114="——","——",D106-D110-D111)</f>
        <v>——</v>
      </c>
      <c r="E114" s="2193"/>
      <c r="F114" s="2870" t="str">
        <f>IF(项目基本情况!G5="抵押净值",IF(OR(项目基本情况!F5="已注销",项目基本情况!F5="房地产抵押价值"),"4.抵押净值","5.抵押净值"),"——")</f>
        <v>——</v>
      </c>
      <c r="G114" s="2871"/>
      <c r="H114" s="2289" t="str">
        <f>C116</f>
        <v>总价（万元）</v>
      </c>
      <c r="I114" s="1859" t="str">
        <f>IF(F114="——","——",N59)</f>
        <v>——</v>
      </c>
    </row>
    <row r="115" spans="1:15" ht="15.75" thickBot="1">
      <c r="A115" s="2929"/>
      <c r="B115" s="2930"/>
      <c r="C115" s="2289" t="s">
        <v>1938</v>
      </c>
      <c r="D115" s="1049" t="str">
        <f>IF(A114="——","——",ROUND(IF(D114=D106,D107,IF(H19="元",D114/项目基本情况!C12,D114*10000/项目基本情况!C12)),0))</f>
        <v>——</v>
      </c>
      <c r="E115" s="2193"/>
      <c r="F115" s="2963"/>
      <c r="G115" s="2964"/>
      <c r="H115" s="2297" t="s">
        <v>1938</v>
      </c>
      <c r="I115" s="1861" t="e">
        <f ca="1">D117</f>
        <v>#REF!</v>
      </c>
    </row>
    <row r="116" spans="1:15" ht="15.75">
      <c r="A116" s="2929" t="str">
        <f>IF(项目基本情况!G5="抵押净值",IF(OR(项目基本情况!F5="已注销",项目基本情况!F5="房地产抵押价值"),"4.抵押净值","5.抵押净值"),"——")</f>
        <v>——</v>
      </c>
      <c r="B116" s="2930"/>
      <c r="C116" s="2289" t="str">
        <f>B101</f>
        <v>总价（万元）</v>
      </c>
      <c r="D116" s="1048" t="str">
        <f>IF(A116="——","——",N59)</f>
        <v>——</v>
      </c>
      <c r="E116" s="2193"/>
      <c r="F116" s="2866"/>
      <c r="G116" s="2866"/>
      <c r="H116" s="2908"/>
      <c r="I116" s="2908"/>
      <c r="N116" s="55"/>
      <c r="O116" s="55"/>
    </row>
    <row r="117" spans="1:15" ht="15.75" thickBot="1">
      <c r="A117" s="2970"/>
      <c r="B117" s="2971"/>
      <c r="C117" s="2297" t="s">
        <v>1938</v>
      </c>
      <c r="D117" s="1050" t="e">
        <f ca="1">IF(D116=D112,D113,IF(A116="——","——",N61))</f>
        <v>#REF!</v>
      </c>
      <c r="E117" s="2193"/>
      <c r="F117" s="2960" t="str">
        <f>IF(B32="总价","（以上估价结果中单价为总价除以建筑面积得出）","（以上估价结果中总价为楼面单价乘以建筑面积得出）")</f>
        <v>（以上估价结果中总价为楼面单价乘以建筑面积得出）</v>
      </c>
      <c r="G117" s="2960"/>
      <c r="H117" s="2960"/>
      <c r="I117" s="2960"/>
      <c r="N117" s="55"/>
      <c r="O117" s="55"/>
    </row>
    <row r="118" spans="1:15" ht="15">
      <c r="A118" s="2909" t="s">
        <v>1948</v>
      </c>
      <c r="B118" s="2910"/>
      <c r="C118" s="2910"/>
      <c r="D118" s="2910"/>
      <c r="E118" s="2910"/>
      <c r="F118" s="2910"/>
      <c r="G118" s="2910"/>
      <c r="H118" s="2910"/>
      <c r="I118" s="2910"/>
    </row>
    <row r="119" spans="1:15" ht="14.25">
      <c r="A119" s="2881" t="s">
        <v>1949</v>
      </c>
      <c r="B119" s="2879" t="s">
        <v>1950</v>
      </c>
      <c r="C119" s="2879" t="s">
        <v>1951</v>
      </c>
      <c r="D119" s="2886" t="s">
        <v>1952</v>
      </c>
      <c r="E119" s="2887"/>
      <c r="F119" s="2877" t="s">
        <v>1810</v>
      </c>
      <c r="G119" s="2877"/>
      <c r="H119" s="2877" t="s">
        <v>1953</v>
      </c>
      <c r="I119" s="2878"/>
    </row>
    <row r="120" spans="1:15" ht="14.25">
      <c r="A120" s="2881"/>
      <c r="B120" s="2880"/>
      <c r="C120" s="2880"/>
      <c r="D120" s="1883" t="s">
        <v>1954</v>
      </c>
      <c r="E120" s="1883" t="s">
        <v>1955</v>
      </c>
      <c r="F120" s="1883" t="s">
        <v>1954</v>
      </c>
      <c r="G120" s="1883" t="s">
        <v>1956</v>
      </c>
      <c r="H120" s="1883" t="s">
        <v>1954</v>
      </c>
      <c r="I120" s="636" t="s">
        <v>1956</v>
      </c>
    </row>
    <row r="121" spans="1:15" ht="14.25">
      <c r="A121" s="2179" t="str">
        <f>项目基本情况!I1</f>
        <v>北京市房地产</v>
      </c>
      <c r="B121" s="1883">
        <f>项目基本情况!C12</f>
        <v>14802.98</v>
      </c>
      <c r="C121" s="1883">
        <f>项目基本情况!C13</f>
        <v>1050.7</v>
      </c>
      <c r="D121" s="1883" t="e">
        <f ca="1">ROUND(IF(B32="总价",C34,IF('数据-取费表'!B3="万元",E121*B121/10000,E121*B121)),0)</f>
        <v>#REF!</v>
      </c>
      <c r="E121" s="1883" t="e">
        <f ca="1">ROUND(IF(B32="楼面单价",C34,IF(H19="元",D121/B121,D121*10000/B121)),0)</f>
        <v>#REF!</v>
      </c>
      <c r="F121" s="1883" t="e">
        <f ca="1">ROUND(IF(B32="总价",C35,IF('数据-取费表'!B3="万元",G121*B121/10000,G121*B121)),0)</f>
        <v>#REF!</v>
      </c>
      <c r="G121" s="1883" t="e">
        <f ca="1">ROUND(IF(B32="楼面单价",C35,IF(H19="元",F121/B121,F121*10000/B121)),0)</f>
        <v>#REF!</v>
      </c>
      <c r="H121" s="1883" t="e">
        <f ca="1">ROUND(IF(B32="总价",C32,IF('数据-取费表'!B3="万元",I121*B121/10000,I121*B121)),0)</f>
        <v>#REF!</v>
      </c>
      <c r="I121" s="636" t="e">
        <f ca="1">ROUND(IF(B32="楼面单价",C32,IF(H19="元",H121/B121,H121*10000/B121)),0)</f>
        <v>#REF!</v>
      </c>
    </row>
    <row r="122" spans="1:15" ht="14.25">
      <c r="A122" s="2881" t="s">
        <v>1957</v>
      </c>
      <c r="B122" s="2877"/>
      <c r="C122" s="2877"/>
      <c r="D122" s="2913" t="e">
        <f ca="1">IF(H19="元",NUMBERSTRING(INT(D121),2)&amp;"元整",NUMBERSTRING(INT(D121*10000),2)&amp;"元整")</f>
        <v>#REF!</v>
      </c>
      <c r="E122" s="2914"/>
      <c r="F122" s="2913" t="e">
        <f ca="1">IF(H19="元",NUMBERSTRING(INT(F121),2)&amp;"元整",NUMBERSTRING(INT(F121*10000),2)&amp;"元整")</f>
        <v>#REF!</v>
      </c>
      <c r="G122" s="2914"/>
      <c r="H122" s="2913" t="e">
        <f ca="1">IF(H19="元",NUMBERSTRING(INT(H121),2)&amp;"元整",NUMBERSTRING(INT(H121*10000),2)&amp;"元整")</f>
        <v>#REF!</v>
      </c>
      <c r="I122" s="2978"/>
    </row>
    <row r="123" spans="1:15" ht="15">
      <c r="A123" s="2915" t="str">
        <f>IF(项目基本情况!D5="房地产市场价值","——",MID(A108,3,LEN(A108)-2))</f>
        <v>——</v>
      </c>
      <c r="B123" s="2916"/>
      <c r="C123" s="2917"/>
      <c r="D123" s="2906">
        <f>I105</f>
        <v>0</v>
      </c>
      <c r="E123" s="2916"/>
      <c r="F123" s="2916"/>
      <c r="G123" s="2916"/>
      <c r="H123" s="2916"/>
      <c r="I123" s="2965"/>
    </row>
    <row r="124" spans="1:15" ht="14.25">
      <c r="A124" s="2918" t="s">
        <v>1957</v>
      </c>
      <c r="B124" s="2919"/>
      <c r="C124" s="2920"/>
      <c r="D124" s="2966">
        <f>H109</f>
        <v>0</v>
      </c>
      <c r="E124" s="2967"/>
      <c r="F124" s="2967"/>
      <c r="G124" s="2967"/>
      <c r="H124" s="2967"/>
      <c r="I124" s="2968"/>
    </row>
    <row r="125" spans="1:15" ht="15">
      <c r="A125" s="2904" t="str">
        <f>IF(项目基本情况!D5="房地产市场价值","——",MID(A112,3,LEN(A112)-2))</f>
        <v>——</v>
      </c>
      <c r="B125" s="2905"/>
      <c r="C125" s="2905"/>
      <c r="D125" s="2906" t="e">
        <f ca="1">I110</f>
        <v>#REF!</v>
      </c>
      <c r="E125" s="2916"/>
      <c r="F125" s="2916"/>
      <c r="G125" s="2916"/>
      <c r="H125" s="2916"/>
      <c r="I125" s="2965"/>
    </row>
    <row r="126" spans="1:15" ht="14.25">
      <c r="A126" s="2881" t="s">
        <v>1957</v>
      </c>
      <c r="B126" s="2877"/>
      <c r="C126" s="2877"/>
      <c r="D126" s="2966" t="e">
        <f ca="1">I111</f>
        <v>#REF!</v>
      </c>
      <c r="E126" s="2967"/>
      <c r="F126" s="2967"/>
      <c r="G126" s="2967"/>
      <c r="H126" s="2967"/>
      <c r="I126" s="2968"/>
    </row>
    <row r="127" spans="1:15" ht="15.75" thickBot="1">
      <c r="A127" s="2904" t="str">
        <f>IF(项目基本情况!D5="房地产市场价值","——",MID(A114,3,LEN(A114)-2))</f>
        <v>——</v>
      </c>
      <c r="B127" s="2905"/>
      <c r="C127" s="2905"/>
      <c r="D127" s="2861" t="str">
        <f>I112</f>
        <v>——</v>
      </c>
      <c r="E127" s="2862"/>
      <c r="F127" s="2862"/>
      <c r="G127" s="2862"/>
      <c r="H127" s="2862"/>
      <c r="I127" s="2863"/>
    </row>
    <row r="128" spans="1:15" ht="15.75" thickTop="1" thickBot="1">
      <c r="A128" s="2881" t="s">
        <v>1957</v>
      </c>
      <c r="B128" s="2877"/>
      <c r="C128" s="2961"/>
      <c r="D128" s="2907" t="str">
        <f>I113</f>
        <v>——</v>
      </c>
      <c r="E128" s="2907"/>
      <c r="F128" s="2907"/>
      <c r="G128" s="2907"/>
      <c r="H128" s="2907"/>
      <c r="I128" s="2907"/>
    </row>
    <row r="129" spans="1:9" ht="16.5" thickTop="1" thickBot="1">
      <c r="A129" s="2904" t="str">
        <f>IF(项目基本情况!D5="房地产市场价值","——",MID(F114,3,LEN(F114)-2))</f>
        <v>——</v>
      </c>
      <c r="B129" s="2905"/>
      <c r="C129" s="2906"/>
      <c r="D129" s="2969" t="str">
        <f>I114</f>
        <v>——</v>
      </c>
      <c r="E129" s="2969"/>
      <c r="F129" s="2969"/>
      <c r="G129" s="2969"/>
      <c r="H129" s="2969"/>
      <c r="I129" s="2969"/>
    </row>
    <row r="130" spans="1:9" ht="15.75" thickTop="1" thickBot="1">
      <c r="A130" s="2974" t="s">
        <v>1957</v>
      </c>
      <c r="B130" s="2975"/>
      <c r="C130" s="2975"/>
      <c r="D130" s="2979">
        <f>H116</f>
        <v>0</v>
      </c>
      <c r="E130" s="2980"/>
      <c r="F130" s="2980"/>
      <c r="G130" s="2980"/>
      <c r="H130" s="2980"/>
      <c r="I130" s="2981"/>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59" t="str">
        <f>IF(B32="总价","（以上估价结果中楼面单价为总价除以建筑面积得出）","（以上估价结果中总价为楼面单价乘以建筑面积得出）")</f>
        <v>（以上估价结果中总价为楼面单价乘以建筑面积得出）</v>
      </c>
      <c r="B132" s="2959"/>
      <c r="C132" s="2959"/>
      <c r="D132" s="2959"/>
      <c r="E132" s="2959"/>
      <c r="F132" s="2959"/>
      <c r="G132" s="2959"/>
      <c r="H132" s="2959"/>
      <c r="I132" s="2959"/>
    </row>
    <row r="133" spans="1:9" ht="21.75" customHeight="1">
      <c r="A133" s="2298" t="s">
        <v>1958</v>
      </c>
      <c r="B133" s="2299"/>
      <c r="C133" s="2300" t="s">
        <v>1959</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1960</v>
      </c>
      <c r="G139" s="2312"/>
      <c r="H139" s="2312"/>
      <c r="I139" s="2313" t="s">
        <v>1961</v>
      </c>
    </row>
    <row r="140" spans="1:9" ht="21.75" customHeight="1">
      <c r="A140" s="797"/>
      <c r="B140" s="2314" t="s">
        <v>1962</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1963</v>
      </c>
    </row>
    <row r="143" spans="1:9" ht="21.75" customHeight="1">
      <c r="A143" s="797"/>
      <c r="B143" s="2314" t="s">
        <v>1964</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1963</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24" sqref="G24"/>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1965</v>
      </c>
      <c r="B1" s="2193"/>
      <c r="C1" s="2193"/>
      <c r="D1" s="2193"/>
      <c r="E1" s="2193"/>
      <c r="F1" s="2193"/>
      <c r="G1" s="2193"/>
      <c r="H1" s="2193"/>
      <c r="I1" s="2193"/>
    </row>
    <row r="2" spans="1:12" ht="21.75" customHeight="1">
      <c r="A2" s="2983" t="s">
        <v>1966</v>
      </c>
      <c r="B2" s="2983"/>
      <c r="C2" s="2983"/>
      <c r="D2" s="2983"/>
      <c r="E2" s="2983"/>
      <c r="F2" s="2983"/>
      <c r="G2" s="2983"/>
      <c r="H2" s="2983"/>
      <c r="I2" s="2983"/>
    </row>
    <row r="3" spans="1:12" ht="12.75">
      <c r="A3" s="2937" t="s">
        <v>1770</v>
      </c>
      <c r="B3" s="2938"/>
      <c r="C3" s="2938"/>
      <c r="D3" s="2938"/>
      <c r="E3" s="2938"/>
      <c r="F3" s="2938"/>
      <c r="G3" s="2938"/>
      <c r="H3" s="2938"/>
      <c r="I3" s="2938"/>
    </row>
    <row r="4" spans="1:12" ht="14.25">
      <c r="A4" s="2195" t="s">
        <v>1771</v>
      </c>
      <c r="B4" s="2196" t="s">
        <v>1772</v>
      </c>
      <c r="C4" s="2197" t="s">
        <v>3256</v>
      </c>
      <c r="D4" s="2197" t="s">
        <v>3257</v>
      </c>
      <c r="E4" s="2942" t="s">
        <v>1967</v>
      </c>
      <c r="F4" s="2943"/>
      <c r="G4" s="2943"/>
      <c r="H4" s="2943"/>
      <c r="I4" s="2944"/>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32" t="s">
        <v>1774</v>
      </c>
      <c r="B5" s="2877">
        <v>25</v>
      </c>
      <c r="C5" s="2939"/>
      <c r="D5" s="2936"/>
      <c r="E5" s="56" t="s">
        <v>1775</v>
      </c>
      <c r="F5" s="2198"/>
      <c r="G5" s="2198"/>
      <c r="H5" s="2198"/>
      <c r="I5" s="2199"/>
    </row>
    <row r="6" spans="1:12" ht="12.75">
      <c r="A6" s="2932"/>
      <c r="B6" s="2877"/>
      <c r="C6" s="2940"/>
      <c r="D6" s="2936"/>
      <c r="E6" s="56" t="s">
        <v>1776</v>
      </c>
      <c r="F6" s="2198"/>
      <c r="G6" s="2198"/>
      <c r="H6" s="2198"/>
      <c r="I6" s="2199"/>
    </row>
    <row r="7" spans="1:12" ht="12.75">
      <c r="A7" s="2932"/>
      <c r="B7" s="2877"/>
      <c r="C7" s="2941"/>
      <c r="D7" s="2936"/>
      <c r="E7" s="56" t="s">
        <v>1777</v>
      </c>
      <c r="F7" s="2198"/>
      <c r="G7" s="2198"/>
      <c r="H7" s="2198"/>
      <c r="I7" s="2199"/>
    </row>
    <row r="8" spans="1:12" ht="12.75">
      <c r="A8" s="2932" t="s">
        <v>1778</v>
      </c>
      <c r="B8" s="2877">
        <v>15</v>
      </c>
      <c r="C8" s="2939"/>
      <c r="D8" s="2936"/>
      <c r="E8" s="56" t="s">
        <v>1779</v>
      </c>
      <c r="F8" s="2198"/>
      <c r="G8" s="2198"/>
      <c r="H8" s="2198"/>
      <c r="I8" s="2199"/>
    </row>
    <row r="9" spans="1:12" ht="12.75">
      <c r="A9" s="2932"/>
      <c r="B9" s="2877"/>
      <c r="C9" s="2941"/>
      <c r="D9" s="2936"/>
      <c r="E9" s="56" t="s">
        <v>1780</v>
      </c>
      <c r="F9" s="2198"/>
      <c r="G9" s="2198"/>
      <c r="H9" s="2198"/>
      <c r="I9" s="2199"/>
    </row>
    <row r="10" spans="1:12" ht="12.75">
      <c r="A10" s="2932" t="s">
        <v>1781</v>
      </c>
      <c r="B10" s="2877">
        <v>15</v>
      </c>
      <c r="C10" s="2939"/>
      <c r="D10" s="2936"/>
      <c r="E10" s="56" t="s">
        <v>1782</v>
      </c>
      <c r="F10" s="2198"/>
      <c r="G10" s="2198"/>
      <c r="H10" s="2198"/>
      <c r="I10" s="2199"/>
    </row>
    <row r="11" spans="1:12" ht="12.75">
      <c r="A11" s="2932"/>
      <c r="B11" s="2877"/>
      <c r="C11" s="2941"/>
      <c r="D11" s="2936"/>
      <c r="E11" s="56" t="s">
        <v>1783</v>
      </c>
      <c r="F11" s="2198"/>
      <c r="G11" s="2198"/>
      <c r="H11" s="2198"/>
      <c r="I11" s="2199"/>
    </row>
    <row r="12" spans="1:12" ht="12.75">
      <c r="A12" s="2932" t="s">
        <v>1784</v>
      </c>
      <c r="B12" s="2877">
        <v>15</v>
      </c>
      <c r="C12" s="2939"/>
      <c r="D12" s="2936"/>
      <c r="E12" s="56" t="s">
        <v>1785</v>
      </c>
      <c r="F12" s="2198"/>
      <c r="G12" s="2198"/>
      <c r="H12" s="2198"/>
      <c r="I12" s="2199"/>
    </row>
    <row r="13" spans="1:12" ht="12.75">
      <c r="A13" s="2932"/>
      <c r="B13" s="2877"/>
      <c r="C13" s="2941"/>
      <c r="D13" s="2936"/>
      <c r="E13" s="56" t="s">
        <v>1786</v>
      </c>
      <c r="F13" s="2198"/>
      <c r="G13" s="2198"/>
      <c r="H13" s="2198"/>
      <c r="I13" s="2199"/>
    </row>
    <row r="14" spans="1:12" ht="12.75">
      <c r="A14" s="2932" t="s">
        <v>1787</v>
      </c>
      <c r="B14" s="2877">
        <v>30</v>
      </c>
      <c r="C14" s="2939">
        <v>6</v>
      </c>
      <c r="D14" s="2936">
        <v>4</v>
      </c>
      <c r="E14" s="56" t="s">
        <v>1788</v>
      </c>
      <c r="F14" s="2198"/>
      <c r="G14" s="2198"/>
      <c r="H14" s="2198"/>
      <c r="I14" s="2199"/>
    </row>
    <row r="15" spans="1:12" ht="12.75">
      <c r="A15" s="2932"/>
      <c r="B15" s="2877"/>
      <c r="C15" s="2940"/>
      <c r="D15" s="2936"/>
      <c r="E15" s="56" t="s">
        <v>1789</v>
      </c>
      <c r="F15" s="2198"/>
      <c r="G15" s="2198"/>
      <c r="H15" s="2198"/>
      <c r="I15" s="2199"/>
    </row>
    <row r="16" spans="1:12" ht="12.75">
      <c r="A16" s="2932"/>
      <c r="B16" s="2877"/>
      <c r="C16" s="2941"/>
      <c r="D16" s="2936"/>
      <c r="E16" s="56" t="s">
        <v>1790</v>
      </c>
      <c r="F16" s="2198"/>
      <c r="G16" s="2198"/>
      <c r="H16" s="2198"/>
      <c r="I16" s="2199"/>
    </row>
    <row r="17" spans="1:35" ht="15">
      <c r="A17" s="2200" t="s">
        <v>1791</v>
      </c>
      <c r="B17" s="2201"/>
      <c r="C17" s="57">
        <f>SUM(C5:C16)</f>
        <v>6</v>
      </c>
      <c r="D17" s="57">
        <f>SUM(D5:D16)</f>
        <v>4</v>
      </c>
      <c r="E17" s="2193"/>
      <c r="F17" s="2193"/>
      <c r="G17" s="2193"/>
      <c r="H17" s="2193"/>
      <c r="I17" s="2193"/>
    </row>
    <row r="18" spans="1:35" ht="15.75" thickBot="1">
      <c r="A18" s="2202" t="s">
        <v>1792</v>
      </c>
      <c r="B18" s="2203"/>
      <c r="C18" s="58">
        <f>ROUND(C17/SUM(C17:D17),2)</f>
        <v>0.6</v>
      </c>
      <c r="D18" s="58">
        <f>1-C18</f>
        <v>0.4</v>
      </c>
      <c r="E18" s="2193"/>
      <c r="F18" s="2193"/>
      <c r="G18" s="2193"/>
      <c r="H18" s="2193"/>
      <c r="I18" s="2193"/>
    </row>
    <row r="19" spans="1:35" ht="15">
      <c r="A19" s="2204" t="s">
        <v>1793</v>
      </c>
      <c r="B19" s="2205" t="s">
        <v>1794</v>
      </c>
      <c r="C19" s="59">
        <f ca="1">SUMIF(INDIRECT("'"&amp;C4&amp;"'"&amp;"!A:A"),'结果表 (1修多)'!B19,INDIRECT("'"&amp;C4&amp;"'"&amp;"!B:B"))</f>
        <v>30</v>
      </c>
      <c r="D19" s="60">
        <f ca="1">SUMIF(INDIRECT("'"&amp;D4&amp;"'"&amp;"!A:A"),'结果表 (1修多)'!B19,INDIRECT("'"&amp;D4&amp;"'"&amp;"!B:B"))</f>
        <v>18</v>
      </c>
      <c r="E19" s="2204" t="s">
        <v>1795</v>
      </c>
      <c r="F19" s="2205" t="s">
        <v>1794</v>
      </c>
      <c r="G19" s="61">
        <f ca="1">ROUND(C19*$C$18+D19*$D$18,0)</f>
        <v>25</v>
      </c>
      <c r="H19" s="2206" t="str">
        <f>'数据-取费表'!B3</f>
        <v>万元</v>
      </c>
      <c r="I19" s="2193"/>
    </row>
    <row r="20" spans="1:35" ht="15">
      <c r="A20" s="2207"/>
      <c r="B20" s="2208" t="s">
        <v>1796</v>
      </c>
      <c r="C20" s="62">
        <f ca="1">SUMIF(INDIRECT("'"&amp;C4&amp;"'"&amp;"!A:A"),'结果表 (1修多)'!B20,INDIRECT("'"&amp;C4&amp;"'"&amp;"!B:B"))</f>
        <v>6299</v>
      </c>
      <c r="D20" s="63">
        <f ca="1">SUMIF(INDIRECT("'"&amp;D4&amp;"'"&amp;"!A:A"),'结果表 (1修多)'!B20,INDIRECT("'"&amp;D4&amp;"'"&amp;"!B:B"))</f>
        <v>3707</v>
      </c>
      <c r="E20" s="2207"/>
      <c r="F20" s="2208" t="s">
        <v>1796</v>
      </c>
      <c r="G20" s="64">
        <f ca="1">ROUND(C20*$C$18+D20*$D$18,0)</f>
        <v>5262</v>
      </c>
      <c r="H20" s="2209" t="s">
        <v>1797</v>
      </c>
      <c r="I20" s="2193"/>
    </row>
    <row r="21" spans="1:35" ht="15" customHeight="1" thickBot="1">
      <c r="A21" s="2210"/>
      <c r="B21" s="2211"/>
      <c r="C21" s="769"/>
      <c r="D21" s="770"/>
      <c r="E21" s="2210"/>
      <c r="F21" s="2211"/>
      <c r="G21" s="65"/>
      <c r="H21" s="2212"/>
      <c r="I21" s="2193"/>
    </row>
    <row r="22" spans="1:35" ht="15" thickBot="1">
      <c r="A22" s="2213" t="s">
        <v>1798</v>
      </c>
      <c r="B22" s="2214"/>
      <c r="C22" s="2215"/>
      <c r="D22" s="771">
        <f ca="1">IF(C19&lt;D19,D19/C19-1,C19/D19-1)</f>
        <v>0.66666666666666674</v>
      </c>
      <c r="E22" s="2193"/>
      <c r="F22" s="2193"/>
      <c r="G22" s="2193"/>
      <c r="H22" s="2193"/>
      <c r="I22" s="2193"/>
    </row>
    <row r="23" spans="1:35" ht="13.5" thickBot="1">
      <c r="A23" s="2193"/>
      <c r="B23" s="2193"/>
      <c r="C23" s="2193"/>
      <c r="D23" s="2193"/>
      <c r="E23" s="2193"/>
      <c r="F23" s="2193"/>
      <c r="G23" s="2193"/>
      <c r="H23" s="2193"/>
      <c r="I23" s="2193"/>
    </row>
    <row r="24" spans="1:35" ht="21.75" customHeight="1">
      <c r="A24" s="2945" t="s">
        <v>1799</v>
      </c>
      <c r="B24" s="2205" t="s">
        <v>1794</v>
      </c>
      <c r="C24" s="61">
        <f>D30</f>
        <v>0</v>
      </c>
      <c r="D24" s="991"/>
      <c r="E24" s="2193"/>
      <c r="F24" s="2193"/>
      <c r="G24" s="2193"/>
      <c r="H24" s="2193"/>
      <c r="I24" s="2193"/>
    </row>
    <row r="25" spans="1:35" ht="21.75" customHeight="1">
      <c r="A25" s="2946"/>
      <c r="B25" s="2208" t="s">
        <v>1796</v>
      </c>
      <c r="C25" s="66">
        <f>IF(B30=0,0,C30)</f>
        <v>0</v>
      </c>
      <c r="D25" s="2216"/>
      <c r="E25" s="2193"/>
      <c r="F25" s="2193"/>
      <c r="G25" s="2193"/>
      <c r="H25" s="2193"/>
      <c r="I25" s="2193"/>
    </row>
    <row r="26" spans="1:35" ht="13.5" customHeight="1">
      <c r="A26" s="2217" t="s">
        <v>1800</v>
      </c>
      <c r="B26" s="67" t="s">
        <v>1801</v>
      </c>
      <c r="C26" s="67" t="s">
        <v>1802</v>
      </c>
      <c r="D26" s="68" t="s">
        <v>1803</v>
      </c>
      <c r="E26" s="2193"/>
      <c r="F26" s="2193"/>
      <c r="G26" s="2193"/>
      <c r="H26" s="2193"/>
      <c r="I26" s="2193"/>
    </row>
    <row r="27" spans="1:35" ht="14.25">
      <c r="A27" s="2218" t="s">
        <v>1968</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0" t="s">
        <v>1969</v>
      </c>
      <c r="B30" s="2711"/>
      <c r="C30" s="2711"/>
      <c r="D30" s="2711"/>
      <c r="E30" s="2709" t="s">
        <v>2804</v>
      </c>
      <c r="F30" s="2193"/>
      <c r="G30" s="2193"/>
      <c r="H30" s="2193"/>
      <c r="I30" s="2193"/>
    </row>
    <row r="31" spans="1:35" s="2220" customFormat="1" ht="15.75" thickBot="1">
      <c r="A31" s="2993" t="s">
        <v>1970</v>
      </c>
      <c r="B31" s="2993"/>
      <c r="C31" s="2993"/>
      <c r="D31" s="2993"/>
      <c r="E31" s="2993"/>
      <c r="F31" s="2993"/>
      <c r="G31" s="2993"/>
      <c r="H31" s="2993"/>
      <c r="I31" s="2993"/>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8"/>
      <c r="B32" s="2319" t="s">
        <v>1971</v>
      </c>
      <c r="C32" s="1305">
        <f ca="1">典型户型修正!R27</f>
        <v>5262</v>
      </c>
      <c r="D32" s="2193" t="s">
        <v>1972</v>
      </c>
      <c r="E32" s="2193"/>
      <c r="F32" s="2193"/>
      <c r="G32" s="2193"/>
      <c r="H32" s="2193"/>
      <c r="I32" s="2193"/>
    </row>
    <row r="33" spans="1:16" ht="15">
      <c r="A33" s="2320" t="s">
        <v>1973</v>
      </c>
      <c r="B33" s="2321" t="s">
        <v>1974</v>
      </c>
      <c r="C33" s="1306">
        <f ca="1">典型户型修正!B2</f>
        <v>7809</v>
      </c>
      <c r="D33" s="2322" t="str">
        <f>IF('数据-取费表'!B3="万元","万元","元")</f>
        <v>万元</v>
      </c>
      <c r="E33" s="2193"/>
      <c r="F33" s="2193"/>
      <c r="G33" s="2193"/>
      <c r="H33" s="2193"/>
      <c r="I33" s="2193"/>
    </row>
    <row r="34" spans="1:16" ht="15.75" thickBot="1">
      <c r="A34" s="2323"/>
      <c r="B34" s="2324" t="s">
        <v>1975</v>
      </c>
      <c r="C34" s="770">
        <f ca="1">典型户型修正!B3</f>
        <v>5275</v>
      </c>
      <c r="D34" s="2193" t="s">
        <v>1976</v>
      </c>
      <c r="E34" s="2193"/>
      <c r="F34" s="2193"/>
      <c r="G34" s="2193"/>
      <c r="H34" s="2193"/>
      <c r="I34" s="2193"/>
    </row>
    <row r="35" spans="1:16" ht="15">
      <c r="A35" s="2325"/>
      <c r="B35" s="2326" t="s">
        <v>1977</v>
      </c>
      <c r="C35" s="1313">
        <f>IF('数据-取费表'!B3="万元",典型户型修正!V25,典型户型修正!U25)</f>
        <v>0</v>
      </c>
      <c r="D35" s="2193" t="str">
        <f>D33</f>
        <v>万元</v>
      </c>
      <c r="E35" s="2193"/>
      <c r="F35" s="2193"/>
      <c r="G35" s="2193"/>
      <c r="H35" s="2193"/>
      <c r="I35" s="2193"/>
    </row>
    <row r="36" spans="1:16" ht="15.75" thickBot="1">
      <c r="A36" s="2232"/>
      <c r="B36" s="2327" t="s">
        <v>1978</v>
      </c>
      <c r="C36" s="1314">
        <f>IF('数据-取费表'!B3="万元",典型户型修正!Y25,典型户型修正!X25)</f>
        <v>0</v>
      </c>
      <c r="D36" s="2193" t="str">
        <f>D33</f>
        <v>万元</v>
      </c>
      <c r="E36" s="2193"/>
      <c r="F36" s="2193"/>
      <c r="G36" s="2193"/>
      <c r="H36" s="2193"/>
      <c r="I36" s="2193"/>
    </row>
    <row r="37" spans="1:16" ht="15.75" thickBot="1">
      <c r="A37" s="2950" t="s">
        <v>1979</v>
      </c>
      <c r="B37" s="2235" t="s">
        <v>1980</v>
      </c>
      <c r="C37" s="69"/>
      <c r="D37" s="2236"/>
      <c r="E37" s="2237"/>
      <c r="F37" s="2237"/>
      <c r="G37" s="2193"/>
      <c r="H37" s="2193"/>
      <c r="I37" s="2193"/>
    </row>
    <row r="38" spans="1:16" ht="15.75" thickBot="1">
      <c r="A38" s="2951"/>
      <c r="B38" s="2238" t="s">
        <v>1981</v>
      </c>
      <c r="C38" s="71"/>
      <c r="D38" s="2203"/>
      <c r="E38" s="2203"/>
      <c r="F38" s="2237"/>
      <c r="G38" s="2203"/>
      <c r="H38" s="2203"/>
      <c r="I38" s="2203"/>
    </row>
    <row r="39" spans="1:16" ht="15.75" thickBot="1">
      <c r="A39" s="2952"/>
      <c r="B39" s="2239" t="s">
        <v>1982</v>
      </c>
      <c r="C39" s="711"/>
      <c r="D39" s="2240" t="s">
        <v>1983</v>
      </c>
      <c r="E39" s="2203"/>
      <c r="F39" s="2237"/>
      <c r="G39" s="2203"/>
      <c r="H39" s="2203"/>
      <c r="I39" s="2203"/>
    </row>
    <row r="40" spans="1:16" ht="15">
      <c r="A40" s="2207" t="s">
        <v>1984</v>
      </c>
      <c r="B40" s="2241" t="s">
        <v>1985</v>
      </c>
      <c r="C40" s="2242" t="s">
        <v>1986</v>
      </c>
      <c r="D40" s="2242" t="s">
        <v>1987</v>
      </c>
      <c r="E40" s="2243" t="s">
        <v>1988</v>
      </c>
      <c r="F40" s="2237"/>
      <c r="G40" s="2203"/>
      <c r="H40" s="2203"/>
      <c r="I40" s="2203"/>
    </row>
    <row r="41" spans="1:16" ht="14.25">
      <c r="A41" s="2244" t="s">
        <v>1989</v>
      </c>
      <c r="B41" s="74"/>
      <c r="C41" s="75"/>
      <c r="D41" s="75"/>
      <c r="E41" s="76"/>
      <c r="F41" s="2237"/>
      <c r="G41" s="2203"/>
      <c r="H41" s="2203"/>
      <c r="I41" s="2203"/>
    </row>
    <row r="42" spans="1:16" ht="14.25">
      <c r="A42" s="2244" t="s">
        <v>1990</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1991</v>
      </c>
      <c r="B45" s="2250"/>
      <c r="C45" s="2250"/>
      <c r="D45" s="2251"/>
      <c r="E45" s="2251"/>
      <c r="F45" s="2252"/>
      <c r="G45" s="2252"/>
      <c r="H45" s="2252"/>
      <c r="I45" s="2252"/>
      <c r="J45" s="2253" t="s">
        <v>1822</v>
      </c>
      <c r="K45" s="2254"/>
      <c r="L45" s="2254"/>
      <c r="M45" s="2254"/>
      <c r="N45" s="2254"/>
      <c r="O45" s="2254"/>
      <c r="P45" s="1842"/>
    </row>
    <row r="46" spans="1:16" ht="14.25" customHeight="1" thickBot="1">
      <c r="A46" s="2955" t="s">
        <v>1992</v>
      </c>
      <c r="B46" s="2956"/>
      <c r="C46" s="2957"/>
      <c r="D46" s="80">
        <f ca="1">ROUND(I103*F46,0)</f>
        <v>7809</v>
      </c>
      <c r="E46" s="81" t="s">
        <v>1993</v>
      </c>
      <c r="F46" s="82">
        <v>1</v>
      </c>
      <c r="G46" s="83" t="s">
        <v>1994</v>
      </c>
      <c r="H46" s="2193"/>
      <c r="I46" s="2193"/>
      <c r="J46" s="2867" t="s">
        <v>1826</v>
      </c>
      <c r="K46" s="2867"/>
      <c r="L46" s="2867"/>
      <c r="M46" s="2867"/>
      <c r="N46" s="2867"/>
      <c r="O46" s="2867"/>
      <c r="P46" s="1842"/>
    </row>
    <row r="47" spans="1:16" ht="14.25" customHeight="1">
      <c r="A47" s="2947" t="s">
        <v>1827</v>
      </c>
      <c r="B47" s="2948"/>
      <c r="C47" s="2948"/>
      <c r="D47" s="2948"/>
      <c r="E47" s="2948"/>
      <c r="F47" s="2948"/>
      <c r="G47" s="2949"/>
      <c r="H47" s="2255"/>
      <c r="I47" s="1141"/>
      <c r="J47" s="1879">
        <v>1</v>
      </c>
      <c r="K47" s="2867" t="s">
        <v>1828</v>
      </c>
      <c r="L47" s="2867"/>
      <c r="M47" s="2982"/>
      <c r="N47" s="2982"/>
      <c r="O47" s="2982"/>
      <c r="P47" s="1842"/>
    </row>
    <row r="48" spans="1:16" ht="12" customHeight="1">
      <c r="A48" s="85" t="s">
        <v>1829</v>
      </c>
      <c r="B48" s="86"/>
      <c r="C48" s="87"/>
      <c r="D48" s="88" t="s">
        <v>1830</v>
      </c>
      <c r="E48" s="14" t="s">
        <v>1831</v>
      </c>
      <c r="F48" s="89" t="s">
        <v>1832</v>
      </c>
      <c r="G48" s="90" t="s">
        <v>1833</v>
      </c>
      <c r="H48" s="2255"/>
      <c r="I48" s="1141"/>
      <c r="J48" s="1879">
        <v>2</v>
      </c>
      <c r="K48" s="2867" t="s">
        <v>1834</v>
      </c>
      <c r="L48" s="2867"/>
      <c r="M48" s="2869">
        <f>'数据-取费表'!B2</f>
        <v>43465</v>
      </c>
      <c r="N48" s="2869"/>
      <c r="O48" s="2869"/>
      <c r="P48" s="1842"/>
    </row>
    <row r="49" spans="1:16" ht="25.5">
      <c r="A49" s="2953" t="s">
        <v>1835</v>
      </c>
      <c r="B49" s="2954"/>
      <c r="C49" s="2954"/>
      <c r="D49" s="56">
        <f ca="1">IF(H49="情况1",0,IF(H49="情况2",D53,IF(H49="情况3",D54,IF(H49="情况4",D55))))</f>
        <v>416</v>
      </c>
      <c r="E49" s="1889" t="str">
        <f>IF(H49="情况4","(销售额-原购置价)×税（费）率","销售额×税（费）率")</f>
        <v>销售额×税（费）率</v>
      </c>
      <c r="F49" s="91">
        <f>IF(H49="情况1","免征",'数据-取费表'!E29)</f>
        <v>5.6000000000000001E-2</v>
      </c>
      <c r="G49" s="2256" t="s">
        <v>1836</v>
      </c>
      <c r="H49" s="2257" t="s">
        <v>1837</v>
      </c>
      <c r="I49" s="2255"/>
      <c r="J49" s="1879">
        <v>3</v>
      </c>
      <c r="K49" s="2867" t="s">
        <v>1838</v>
      </c>
      <c r="L49" s="2867"/>
      <c r="M49" s="2868">
        <f ca="1">I103</f>
        <v>7809</v>
      </c>
      <c r="N49" s="2868"/>
      <c r="O49" s="2868"/>
      <c r="P49" s="1842"/>
    </row>
    <row r="50" spans="1:16" ht="25.5" customHeight="1">
      <c r="A50" s="92" t="s">
        <v>1839</v>
      </c>
      <c r="B50" s="2934" t="s">
        <v>1840</v>
      </c>
      <c r="C50" s="2934"/>
      <c r="D50" s="93">
        <v>0</v>
      </c>
      <c r="E50" s="13" t="s">
        <v>1841</v>
      </c>
      <c r="F50" s="18" t="s">
        <v>48</v>
      </c>
      <c r="G50" s="2858"/>
      <c r="H50" s="2193"/>
      <c r="I50" s="2258"/>
      <c r="J50" s="1879">
        <v>4</v>
      </c>
      <c r="K50" s="2867" t="str">
        <f>IF(项目基本情况!F5="房地产抵押价值","房地产抵押价值","抵押担保权已注销时的房地产抵押价值")</f>
        <v>抵押担保权已注销时的房地产抵押价值</v>
      </c>
      <c r="L50" s="2867"/>
      <c r="M50" s="2868" t="str">
        <f>IF(项目基本情况!F5="房地产抵押价值",I111,I113)</f>
        <v>——</v>
      </c>
      <c r="N50" s="2868"/>
      <c r="O50" s="2868"/>
      <c r="P50" s="1842"/>
    </row>
    <row r="51" spans="1:16" ht="25.5" customHeight="1">
      <c r="A51" s="94"/>
      <c r="B51" s="2934" t="s">
        <v>1842</v>
      </c>
      <c r="C51" s="2934"/>
      <c r="D51" s="95"/>
      <c r="E51" s="21"/>
      <c r="F51" s="96"/>
      <c r="G51" s="2859"/>
      <c r="H51" s="2193"/>
      <c r="I51" s="2258"/>
      <c r="J51" s="2867" t="s">
        <v>1843</v>
      </c>
      <c r="K51" s="2867"/>
      <c r="L51" s="2867"/>
      <c r="M51" s="2867"/>
      <c r="N51" s="2867"/>
      <c r="O51" s="2867"/>
      <c r="P51" s="1842"/>
    </row>
    <row r="52" spans="1:16" ht="12" customHeight="1">
      <c r="A52" s="97"/>
      <c r="B52" s="2934" t="s">
        <v>1844</v>
      </c>
      <c r="C52" s="2934"/>
      <c r="D52" s="98"/>
      <c r="E52" s="20"/>
      <c r="F52" s="96"/>
      <c r="G52" s="2860"/>
      <c r="H52" s="2193"/>
      <c r="I52" s="2258"/>
      <c r="J52" s="2259" t="s">
        <v>1845</v>
      </c>
      <c r="K52" s="2867" t="s">
        <v>1846</v>
      </c>
      <c r="L52" s="2867"/>
      <c r="M52" s="2259" t="s">
        <v>1847</v>
      </c>
      <c r="N52" s="2259" t="s">
        <v>1848</v>
      </c>
      <c r="O52" s="2259" t="s">
        <v>1849</v>
      </c>
      <c r="P52" s="1842"/>
    </row>
    <row r="53" spans="1:16" ht="24" customHeight="1">
      <c r="A53" s="99" t="s">
        <v>1850</v>
      </c>
      <c r="B53" s="2934" t="s">
        <v>1851</v>
      </c>
      <c r="C53" s="2934"/>
      <c r="D53" s="98">
        <f ca="1">ROUND(D46*'数据-取费表'!E29/(1+'数据-取费表'!F30),0)</f>
        <v>416</v>
      </c>
      <c r="E53" s="10" t="s">
        <v>1852</v>
      </c>
      <c r="F53" s="100">
        <f>'数据-取费表'!E29</f>
        <v>5.6000000000000001E-2</v>
      </c>
      <c r="G53" s="2260"/>
      <c r="H53" s="2193"/>
      <c r="I53" s="2258"/>
      <c r="J53" s="1879">
        <v>1</v>
      </c>
      <c r="K53" s="2857" t="s">
        <v>1853</v>
      </c>
      <c r="L53" s="2857"/>
      <c r="M53" s="777">
        <f ca="1">D49</f>
        <v>416</v>
      </c>
      <c r="N53" s="1879" t="str">
        <f>E49</f>
        <v>销售额×税（费）率</v>
      </c>
      <c r="O53" s="778">
        <f>F49</f>
        <v>5.6000000000000001E-2</v>
      </c>
      <c r="P53" s="1842"/>
    </row>
    <row r="54" spans="1:16" ht="12" customHeight="1">
      <c r="A54" s="99" t="s">
        <v>1854</v>
      </c>
      <c r="B54" s="2933" t="s">
        <v>1855</v>
      </c>
      <c r="C54" s="2827"/>
      <c r="D54" s="98">
        <f ca="1">ROUND(D46*'数据-取费表'!E29/(1+'数据-取费表'!F30),0)</f>
        <v>416</v>
      </c>
      <c r="E54" s="10" t="s">
        <v>1852</v>
      </c>
      <c r="F54" s="100">
        <f>'数据-取费表'!E29</f>
        <v>5.6000000000000001E-2</v>
      </c>
      <c r="G54" s="2260"/>
      <c r="H54" s="2193"/>
      <c r="I54" s="2258"/>
      <c r="J54" s="1879">
        <v>2</v>
      </c>
      <c r="K54" s="2857" t="s">
        <v>1856</v>
      </c>
      <c r="L54" s="2857"/>
      <c r="M54" s="777">
        <f t="shared" ref="M54:O55" ca="1" si="1">D56</f>
        <v>4</v>
      </c>
      <c r="N54" s="1879" t="str">
        <f t="shared" si="1"/>
        <v>销售额×税（费）率</v>
      </c>
      <c r="O54" s="778">
        <f t="shared" si="1"/>
        <v>5.0000000000000001E-4</v>
      </c>
      <c r="P54" s="1842"/>
    </row>
    <row r="55" spans="1:16" ht="12" customHeight="1">
      <c r="A55" s="99" t="s">
        <v>1857</v>
      </c>
      <c r="B55" s="2933" t="s">
        <v>1858</v>
      </c>
      <c r="C55" s="2827"/>
      <c r="D55" s="98">
        <f ca="1">C69</f>
        <v>416</v>
      </c>
      <c r="E55" s="20" t="s">
        <v>1859</v>
      </c>
      <c r="F55" s="100">
        <f>'数据-取费表'!E29</f>
        <v>5.6000000000000001E-2</v>
      </c>
      <c r="G55" s="2260"/>
      <c r="H55" s="2261"/>
      <c r="I55" s="2258"/>
      <c r="J55" s="1879">
        <v>3</v>
      </c>
      <c r="K55" s="2857" t="s">
        <v>1860</v>
      </c>
      <c r="L55" s="2857"/>
      <c r="M55" s="777">
        <f t="shared" ca="1" si="1"/>
        <v>4419</v>
      </c>
      <c r="N55" s="1879" t="str">
        <f t="shared" si="1"/>
        <v>增值额×税（费）率</v>
      </c>
      <c r="O55" s="779" t="str">
        <f t="shared" si="1"/>
        <v>——</v>
      </c>
      <c r="P55" s="1842"/>
    </row>
    <row r="56" spans="1:16" ht="24" customHeight="1">
      <c r="A56" s="2819" t="s">
        <v>1861</v>
      </c>
      <c r="B56" s="2954"/>
      <c r="C56" s="2954"/>
      <c r="D56" s="101">
        <f ca="1">IF(H56="个人住宅",0,ROUND(D46*I56,0))</f>
        <v>4</v>
      </c>
      <c r="E56" s="10" t="s">
        <v>1862</v>
      </c>
      <c r="F56" s="100">
        <f>IF(H56="正常",I56,"免征")</f>
        <v>5.0000000000000001E-4</v>
      </c>
      <c r="G56" s="2260"/>
      <c r="H56" s="2257" t="s">
        <v>1863</v>
      </c>
      <c r="I56" s="102">
        <f>'数据-取费表'!E37</f>
        <v>5.0000000000000001E-4</v>
      </c>
      <c r="J56" s="1879" t="str">
        <f>IF(H60="非个人房产","",4)</f>
        <v/>
      </c>
      <c r="K56" s="2857" t="str">
        <f>IF(H60="非个人房产","——","个人所得税")</f>
        <v>——</v>
      </c>
      <c r="L56" s="2857"/>
      <c r="M56" s="780" t="str">
        <f>D60</f>
        <v>——</v>
      </c>
      <c r="N56" s="1882" t="str">
        <f>E60</f>
        <v>——</v>
      </c>
      <c r="O56" s="781" t="str">
        <f>F60</f>
        <v>——</v>
      </c>
      <c r="P56" s="1842"/>
    </row>
    <row r="57" spans="1:16" ht="24.75">
      <c r="A57" s="2819" t="s">
        <v>1864</v>
      </c>
      <c r="B57" s="2954"/>
      <c r="C57" s="2954"/>
      <c r="D57" s="101">
        <f ca="1">IF(H57="个人住宅",D58,D59)</f>
        <v>4419</v>
      </c>
      <c r="E57" s="10" t="s">
        <v>1865</v>
      </c>
      <c r="F57" s="100" t="str">
        <f>IF(H57="正常",F59,"免征")</f>
        <v>——</v>
      </c>
      <c r="G57" s="2262" t="s">
        <v>1866</v>
      </c>
      <c r="H57" s="2263" t="s">
        <v>1863</v>
      </c>
      <c r="I57" s="1019"/>
      <c r="J57" s="1879" t="str">
        <f>IF(项目基本情况!I6="上海银行",IF(J56="",4,J56+1),"")</f>
        <v/>
      </c>
      <c r="K57" s="2874" t="str">
        <f>IF(项目基本情况!I6="上海银行","其他处置费用","")</f>
        <v/>
      </c>
      <c r="L57" s="2875"/>
      <c r="M57" s="777" t="str">
        <f>IF(项目基本情况!I6="上海银行",M70,"")</f>
        <v/>
      </c>
      <c r="N57" s="2855" t="str">
        <f>IF(项目基本情况!I6="上海银行","包含处置中涉及的律师、诉讼、拍卖、评估等费用","")</f>
        <v/>
      </c>
      <c r="O57" s="2856"/>
      <c r="P57" s="1842"/>
    </row>
    <row r="58" spans="1:16" ht="12.75">
      <c r="A58" s="99" t="s">
        <v>1839</v>
      </c>
      <c r="B58" s="2942" t="s">
        <v>1867</v>
      </c>
      <c r="C58" s="2944"/>
      <c r="D58" s="103">
        <v>0</v>
      </c>
      <c r="E58" s="13" t="s">
        <v>1841</v>
      </c>
      <c r="F58" s="70"/>
      <c r="G58" s="2260"/>
      <c r="H58" s="1019"/>
      <c r="I58" s="1019"/>
      <c r="J58" s="2857">
        <f>IF(AND(J56="",J57=""),4,IF(项目基本情况!I6="上海银行",J57+1,J56+1))</f>
        <v>4</v>
      </c>
      <c r="K58" s="2857" t="s">
        <v>1868</v>
      </c>
      <c r="L58" s="2264" t="s">
        <v>1869</v>
      </c>
      <c r="M58" s="782"/>
      <c r="N58" s="783">
        <f ca="1">SUMIF(M53:M57,"&lt;9e307")</f>
        <v>4839</v>
      </c>
      <c r="O58" s="2265"/>
      <c r="P58" s="1838" t="e">
        <f ca="1">N58/M50</f>
        <v>#VALUE!</v>
      </c>
    </row>
    <row r="59" spans="1:16" ht="24.75">
      <c r="A59" s="99" t="s">
        <v>1850</v>
      </c>
      <c r="B59" s="2942" t="s">
        <v>1870</v>
      </c>
      <c r="C59" s="2943"/>
      <c r="D59" s="101">
        <f ca="1">IF(H59="转让取得",C82,C98)</f>
        <v>4419</v>
      </c>
      <c r="E59" s="10" t="s">
        <v>1865</v>
      </c>
      <c r="F59" s="14" t="s">
        <v>48</v>
      </c>
      <c r="G59" s="2260"/>
      <c r="H59" s="2263" t="s">
        <v>1871</v>
      </c>
      <c r="I59" s="1019"/>
      <c r="J59" s="2857"/>
      <c r="K59" s="2857"/>
      <c r="L59" s="2264" t="s">
        <v>1872</v>
      </c>
      <c r="M59" s="784"/>
      <c r="N59" s="2266" t="str">
        <f ca="1">IF(H19="元",NUMBERSTRING(INT(N58),2)&amp;"元整",NUMBERSTRING(INT(N58*10000),2)&amp;"元整")</f>
        <v>肆仟捌佰叁拾玖万元整</v>
      </c>
      <c r="O59" s="2267"/>
      <c r="P59" s="1842"/>
    </row>
    <row r="60" spans="1:16" ht="24.75" thickBot="1">
      <c r="A60" s="2820" t="s">
        <v>1873</v>
      </c>
      <c r="B60" s="2823"/>
      <c r="C60" s="2823"/>
      <c r="D60" s="104" t="str">
        <f>IF(H60="非个人房产","——",IF(H60="个人住宅",0,ROUND(D46*I60,0)))</f>
        <v>——</v>
      </c>
      <c r="E60" s="105" t="str">
        <f>IF(H60="非个人房产","——","销售额×税（费）率")</f>
        <v>——</v>
      </c>
      <c r="F60" s="106" t="str">
        <f>IF(H60="非个人房产","——",IF(H60="个人住宅","免征",I60))</f>
        <v>——</v>
      </c>
      <c r="G60" s="2268" t="s">
        <v>1866</v>
      </c>
      <c r="H60" s="2263" t="s">
        <v>1995</v>
      </c>
      <c r="I60" s="107">
        <v>0.01</v>
      </c>
      <c r="J60" s="2911">
        <f>J58+1</f>
        <v>5</v>
      </c>
      <c r="K60" s="2857" t="s">
        <v>1875</v>
      </c>
      <c r="L60" s="1879" t="s">
        <v>1869</v>
      </c>
      <c r="M60" s="785"/>
      <c r="N60" s="786" t="e">
        <f ca="1">M50-N58</f>
        <v>#VALUE!</v>
      </c>
      <c r="O60" s="2269"/>
      <c r="P60" s="1842"/>
    </row>
    <row r="61" spans="1:16" ht="12" customHeight="1">
      <c r="A61" s="2064"/>
      <c r="B61" s="2193"/>
      <c r="C61" s="2193"/>
      <c r="D61" s="2193"/>
      <c r="E61" s="1019"/>
      <c r="F61" s="1019"/>
      <c r="G61" s="1019"/>
      <c r="H61" s="2246"/>
      <c r="I61" s="2193"/>
      <c r="J61" s="2912"/>
      <c r="K61" s="2857"/>
      <c r="L61" s="2264" t="s">
        <v>1872</v>
      </c>
      <c r="M61" s="784"/>
      <c r="N61" s="2266" t="e">
        <f ca="1">IF(H19="元",NUMBERSTRING(INT(N60),2)&amp;"元整",NUMBERSTRING(INT(N60*10000),2)&amp;"元整")</f>
        <v>#VALUE!</v>
      </c>
      <c r="O61" s="2267"/>
      <c r="P61" s="1842"/>
    </row>
    <row r="62" spans="1:16" ht="13.5" thickBot="1">
      <c r="A62" s="2958" t="s">
        <v>1876</v>
      </c>
      <c r="B62" s="2958"/>
      <c r="C62" s="2958"/>
      <c r="D62" s="2958"/>
      <c r="E62" s="2958"/>
      <c r="F62" s="1019"/>
      <c r="G62" s="1019"/>
      <c r="H62" s="2246"/>
      <c r="I62" s="2193"/>
      <c r="J62" s="1879">
        <f>J60+1</f>
        <v>6</v>
      </c>
      <c r="K62" s="2857" t="s">
        <v>1877</v>
      </c>
      <c r="L62" s="2857"/>
      <c r="M62" s="787"/>
      <c r="N62" s="788" t="e">
        <f ca="1">IF(H19="元",ROUND(N60/项目基本情况!C12,0),ROUND(N60*10000/项目基本情况!C12,0))</f>
        <v>#VALUE!</v>
      </c>
      <c r="O62" s="2270"/>
      <c r="P62" s="1842"/>
    </row>
    <row r="63" spans="1:16" ht="12.75">
      <c r="A63" s="2895" t="s">
        <v>1878</v>
      </c>
      <c r="B63" s="2896"/>
      <c r="C63" s="1881"/>
      <c r="D63" s="1881" t="s">
        <v>1879</v>
      </c>
      <c r="E63" s="108" t="s">
        <v>1880</v>
      </c>
      <c r="F63" s="1019"/>
      <c r="G63" s="1019"/>
      <c r="H63" s="2246"/>
      <c r="I63" s="2193"/>
      <c r="J63" s="1842"/>
      <c r="K63" s="1842"/>
      <c r="L63" s="1842"/>
      <c r="M63" s="1842"/>
      <c r="N63" s="1842"/>
      <c r="O63" s="1842"/>
      <c r="P63" s="1842"/>
    </row>
    <row r="64" spans="1:16" ht="12.75">
      <c r="A64" s="109">
        <v>1</v>
      </c>
      <c r="B64" s="110" t="s">
        <v>1881</v>
      </c>
      <c r="C64" s="111">
        <f ca="1">ROUND((C65+C66)/(1+'数据-取费表'!F30),0)</f>
        <v>7437</v>
      </c>
      <c r="D64" s="112"/>
      <c r="E64" s="113"/>
      <c r="F64" s="1019"/>
      <c r="G64" s="1019"/>
      <c r="H64" s="2246"/>
      <c r="I64" s="2193"/>
      <c r="J64" s="2876" t="s">
        <v>1882</v>
      </c>
      <c r="K64" s="2271" t="s">
        <v>1883</v>
      </c>
      <c r="L64" s="1841" t="e">
        <f>IF(M50&gt;10000,M50*0.5%,IF(AND(M50&gt;1000,M50&lt;=10000),M50*1%,IF(AND(M50&gt;100,M50&lt;=1000),M50*3%,IF(AND(M50&gt;10,M50&lt;=100),M50*5%,M50*8%))))</f>
        <v>#VALUE!</v>
      </c>
      <c r="M64" s="14" t="e">
        <f>ROUND(L64,1)</f>
        <v>#VALUE!</v>
      </c>
      <c r="N64" s="1842"/>
      <c r="O64" s="1842"/>
      <c r="P64" s="1842"/>
    </row>
    <row r="65" spans="1:35" ht="12.75">
      <c r="A65" s="114" t="s">
        <v>71</v>
      </c>
      <c r="B65" s="115" t="s">
        <v>1884</v>
      </c>
      <c r="C65" s="116">
        <f ca="1">D46</f>
        <v>7809</v>
      </c>
      <c r="D65" s="117" t="s">
        <v>41</v>
      </c>
      <c r="E65" s="118"/>
      <c r="F65" s="1019"/>
      <c r="G65" s="1019"/>
      <c r="H65" s="2246"/>
      <c r="I65" s="2193"/>
      <c r="J65" s="2876"/>
      <c r="K65" s="2271" t="s">
        <v>1885</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1886</v>
      </c>
      <c r="O65" s="1842"/>
      <c r="P65" s="1842"/>
    </row>
    <row r="66" spans="1:35" ht="12.75">
      <c r="A66" s="114" t="s">
        <v>72</v>
      </c>
      <c r="B66" s="115" t="s">
        <v>1887</v>
      </c>
      <c r="C66" s="119"/>
      <c r="D66" s="117"/>
      <c r="E66" s="118"/>
      <c r="F66" s="1019"/>
      <c r="G66" s="1019"/>
      <c r="H66" s="2246"/>
      <c r="I66" s="2193"/>
      <c r="J66" s="2876"/>
      <c r="K66" s="2271" t="s">
        <v>1888</v>
      </c>
      <c r="L66" s="1841" t="e">
        <f>IF(M50&gt;1000,M50*0.1%,IF(AND(M50&gt;500,M50&lt;=1000),M50*0.5%,IF(AND(M50&gt;50,M50&lt;=500),M50*1%,IF(AND(M50&gt;1,M50&lt;=50),M50*1.5%))))</f>
        <v>#VALUE!</v>
      </c>
      <c r="M66" s="14" t="e">
        <f t="shared" si="2"/>
        <v>#VALUE!</v>
      </c>
      <c r="N66" s="1842" t="s">
        <v>1886</v>
      </c>
      <c r="O66" s="1842"/>
      <c r="P66" s="1842"/>
    </row>
    <row r="67" spans="1:35" ht="12.75">
      <c r="A67" s="120" t="s">
        <v>47</v>
      </c>
      <c r="B67" s="121" t="s">
        <v>1889</v>
      </c>
      <c r="C67" s="122"/>
      <c r="D67" s="123" t="s">
        <v>41</v>
      </c>
      <c r="E67" s="1858" t="s">
        <v>1890</v>
      </c>
      <c r="F67" s="1019"/>
      <c r="G67" s="1019"/>
      <c r="H67" s="2246"/>
      <c r="I67" s="2193"/>
      <c r="J67" s="2876"/>
      <c r="K67" s="2271" t="s">
        <v>1891</v>
      </c>
      <c r="L67" s="1841" t="e">
        <f>M50*0.5%</f>
        <v>#VALUE!</v>
      </c>
      <c r="M67" s="14" t="e">
        <f>IF(L67&gt;0.5,0.5,ROUND(L67,0))</f>
        <v>#VALUE!</v>
      </c>
      <c r="N67" s="1842" t="s">
        <v>1892</v>
      </c>
      <c r="O67" s="1842"/>
      <c r="P67" s="1842"/>
    </row>
    <row r="68" spans="1:35" ht="12.75">
      <c r="A68" s="120" t="s">
        <v>42</v>
      </c>
      <c r="B68" s="121" t="s">
        <v>1893</v>
      </c>
      <c r="C68" s="124">
        <f ca="1">C64-C67</f>
        <v>7437</v>
      </c>
      <c r="D68" s="117" t="s">
        <v>41</v>
      </c>
      <c r="E68" s="118"/>
      <c r="F68" s="1019"/>
      <c r="G68" s="1019"/>
      <c r="H68" s="2246"/>
      <c r="I68" s="2193"/>
      <c r="J68" s="2876"/>
      <c r="K68" s="2271" t="s">
        <v>1894</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1895</v>
      </c>
      <c r="C69" s="127">
        <f ca="1">IF(C68&lt;=0,0,ROUND(C68*D69,0))</f>
        <v>416</v>
      </c>
      <c r="D69" s="128">
        <f>'数据-取费表'!E29</f>
        <v>5.6000000000000001E-2</v>
      </c>
      <c r="E69" s="129"/>
      <c r="F69" s="1019"/>
      <c r="G69" s="1019"/>
      <c r="H69" s="2246"/>
      <c r="I69" s="2193"/>
      <c r="J69" s="2876"/>
      <c r="K69" s="2271" t="s">
        <v>1896</v>
      </c>
      <c r="L69" s="1841" t="e">
        <f>IF(M50&gt;10000,M50*0.5%,IF(AND(M50&gt;5000,M50&lt;=10000),M50*1%,IF(AND(M50&gt;1000,M50&lt;=5000),M50*2%,IF(AND(M50&gt;200,M50&lt;=1000),M50*3%,M50*5%))))</f>
        <v>#VALUE!</v>
      </c>
      <c r="M69" s="14" t="e">
        <f>ROUND(L69,1)</f>
        <v>#VALUE!</v>
      </c>
      <c r="N69" s="1842"/>
      <c r="O69" s="1842"/>
      <c r="P69" s="1842"/>
    </row>
    <row r="70" spans="1:35" s="2220" customFormat="1" ht="7.5" customHeight="1">
      <c r="A70" s="2272"/>
      <c r="B70" s="2273"/>
      <c r="C70" s="2274"/>
      <c r="D70" s="2275"/>
      <c r="E70" s="2276"/>
      <c r="F70" s="1019"/>
      <c r="G70" s="1019"/>
      <c r="H70" s="2246"/>
      <c r="I70" s="2193"/>
      <c r="J70" s="2876"/>
      <c r="K70" s="2271" t="s">
        <v>1897</v>
      </c>
      <c r="L70" s="2277"/>
      <c r="M70" s="14" t="e">
        <f>ROUND(SUM(M64:M69),0)</f>
        <v>#VALUE!</v>
      </c>
      <c r="N70" s="1838" t="e">
        <f>M70/M50</f>
        <v>#VALUE!</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9" customFormat="1" ht="15" thickBot="1">
      <c r="A71" s="2897" t="s">
        <v>1898</v>
      </c>
      <c r="B71" s="2898"/>
      <c r="C71" s="2898"/>
      <c r="D71" s="2898"/>
      <c r="E71" s="2898"/>
      <c r="F71" s="2898"/>
      <c r="G71" s="2898"/>
      <c r="H71" s="2898"/>
      <c r="I71" s="2278"/>
      <c r="J71" s="1283"/>
      <c r="K71" s="1283"/>
      <c r="L71" s="1283"/>
      <c r="M71" s="1283"/>
      <c r="N71" s="1283"/>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2895" t="s">
        <v>1878</v>
      </c>
      <c r="B72" s="2896"/>
      <c r="C72" s="1881"/>
      <c r="D72" s="1881" t="s">
        <v>1879</v>
      </c>
      <c r="E72" s="130" t="s">
        <v>1880</v>
      </c>
      <c r="F72" s="131"/>
      <c r="G72" s="131"/>
      <c r="H72" s="132"/>
      <c r="I72" s="2281"/>
      <c r="J72" s="1283"/>
      <c r="K72" s="1283"/>
      <c r="L72" s="1283"/>
      <c r="M72" s="1283"/>
      <c r="N72" s="1283"/>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3">
        <v>1</v>
      </c>
      <c r="B73" s="121" t="s">
        <v>1899</v>
      </c>
      <c r="C73" s="124">
        <f ca="1">ROUND(D46/(1+'数据-取费表'!F30),0)</f>
        <v>7437</v>
      </c>
      <c r="D73" s="117" t="s">
        <v>41</v>
      </c>
      <c r="E73" s="1884"/>
      <c r="F73" s="1885"/>
      <c r="G73" s="1885"/>
      <c r="H73" s="134"/>
      <c r="I73" s="2281"/>
      <c r="J73" s="1283"/>
      <c r="K73" s="1283"/>
      <c r="L73" s="1283"/>
      <c r="M73" s="1283"/>
      <c r="N73" s="1283"/>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14.25">
      <c r="A74" s="135">
        <v>2</v>
      </c>
      <c r="B74" s="89" t="s">
        <v>1901</v>
      </c>
      <c r="C74" s="124">
        <f ca="1">C75+C79</f>
        <v>45</v>
      </c>
      <c r="D74" s="117" t="s">
        <v>41</v>
      </c>
      <c r="E74" s="1884"/>
      <c r="F74" s="1885"/>
      <c r="G74" s="1885"/>
      <c r="H74" s="134"/>
      <c r="I74" s="2281"/>
      <c r="J74" s="1283"/>
      <c r="K74" s="1283"/>
      <c r="L74" s="1283"/>
      <c r="M74" s="1283"/>
      <c r="N74" s="1283"/>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6" t="s">
        <v>73</v>
      </c>
      <c r="B75" s="115" t="s">
        <v>1902</v>
      </c>
      <c r="C75" s="117">
        <f>ROUND(IF(G78="2016年5月1日后购买",C76/(1+'数据-取费表'!F30)+C77+C78,C76+C77+C78),0)</f>
        <v>0</v>
      </c>
      <c r="D75" s="117" t="s">
        <v>41</v>
      </c>
      <c r="E75" s="1884"/>
      <c r="F75" s="1885"/>
      <c r="G75" s="1885"/>
      <c r="H75" s="134"/>
      <c r="I75" s="2281"/>
      <c r="J75" s="1283"/>
      <c r="K75" s="1283"/>
      <c r="L75" s="1283"/>
      <c r="M75" s="1283"/>
      <c r="N75" s="1283"/>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14.25">
      <c r="A76" s="136" t="s">
        <v>74</v>
      </c>
      <c r="B76" s="115" t="s">
        <v>1903</v>
      </c>
      <c r="C76" s="137"/>
      <c r="D76" s="117" t="s">
        <v>41</v>
      </c>
      <c r="E76" s="138" t="s">
        <v>1904</v>
      </c>
      <c r="F76" s="2282" t="s">
        <v>1905</v>
      </c>
      <c r="G76" s="138" t="s">
        <v>1906</v>
      </c>
      <c r="H76" s="139"/>
      <c r="I76" s="9"/>
      <c r="J76" s="1283"/>
      <c r="K76" s="1283"/>
      <c r="L76" s="1283"/>
      <c r="M76" s="1283"/>
      <c r="N76" s="1283"/>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6" t="s">
        <v>75</v>
      </c>
      <c r="B77" s="140" t="s">
        <v>1907</v>
      </c>
      <c r="C77" s="117">
        <f>IF(F76="购房发票",ROUND(C76*H76*D77,0),0)</f>
        <v>0</v>
      </c>
      <c r="D77" s="141">
        <v>0.05</v>
      </c>
      <c r="E77" s="2933" t="s">
        <v>1908</v>
      </c>
      <c r="F77" s="2934"/>
      <c r="G77" s="2934"/>
      <c r="H77" s="2935"/>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3" t="s">
        <v>1911</v>
      </c>
      <c r="H78" s="1886" t="str">
        <f>IF(G78="个人买卖住房","免征印花税"," ")</f>
        <v xml:space="preserve"> </v>
      </c>
      <c r="I78" s="2281"/>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24.75" customHeight="1">
      <c r="A79" s="136" t="s">
        <v>77</v>
      </c>
      <c r="B79" s="115" t="s">
        <v>1912</v>
      </c>
      <c r="C79" s="144">
        <f ca="1">ROUND(D46*D79/(1+'数据-取费表'!F30),0)</f>
        <v>45</v>
      </c>
      <c r="D79" s="145">
        <f>'数据-取费表'!E31</f>
        <v>6.000000000000001E-3</v>
      </c>
      <c r="E79" s="2864" t="s">
        <v>1913</v>
      </c>
      <c r="F79" s="2865"/>
      <c r="G79" s="2865"/>
      <c r="H79" s="2885"/>
      <c r="I79" s="2284"/>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14.25">
      <c r="A80" s="146" t="s">
        <v>42</v>
      </c>
      <c r="B80" s="121" t="s">
        <v>1914</v>
      </c>
      <c r="C80" s="124">
        <f ca="1">C73-C74</f>
        <v>7392</v>
      </c>
      <c r="D80" s="117" t="s">
        <v>41</v>
      </c>
      <c r="E80" s="1884"/>
      <c r="F80" s="1885"/>
      <c r="G80" s="1885"/>
      <c r="H80" s="134"/>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14.25">
      <c r="A81" s="146" t="s">
        <v>43</v>
      </c>
      <c r="B81" s="121" t="s">
        <v>1915</v>
      </c>
      <c r="C81" s="147">
        <f ca="1">IF(C80&lt;=0,0,C80/C74)</f>
        <v>164.26666666666668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15" thickBot="1">
      <c r="A82" s="148" t="s">
        <v>44</v>
      </c>
      <c r="B82" s="126" t="s">
        <v>1916</v>
      </c>
      <c r="C82" s="149">
        <f ca="1">ROUND(IF(C80&lt;=0,0,IF(C81&gt;=200%,C80*60%-C74*35%,IF(C81&gt;=100%,C80*50%-C74*15%,IF(C81&gt;=50%,C80*40%-C74*5%,IF(C81&lt;50%,C80*30%,0))))),0)</f>
        <v>4419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5" thickBot="1">
      <c r="A84" s="2897" t="s">
        <v>1917</v>
      </c>
      <c r="B84" s="2898"/>
      <c r="C84" s="2898"/>
      <c r="D84" s="2898"/>
      <c r="E84" s="2898"/>
      <c r="F84" s="2898"/>
      <c r="G84" s="2898"/>
      <c r="H84" s="2898"/>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14.25">
      <c r="A85" s="2895" t="s">
        <v>1878</v>
      </c>
      <c r="B85" s="2896"/>
      <c r="C85" s="1881"/>
      <c r="D85" s="1881" t="s">
        <v>1879</v>
      </c>
      <c r="E85" s="130" t="s">
        <v>1880</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3">
        <v>1</v>
      </c>
      <c r="B86" s="121" t="s">
        <v>1899</v>
      </c>
      <c r="C86" s="124">
        <f ca="1">ROUND(D46/(1+'数据-取费表'!F30),0)</f>
        <v>7437</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5">
        <v>2</v>
      </c>
      <c r="B87" s="89" t="s">
        <v>1901</v>
      </c>
      <c r="C87" s="124">
        <f ca="1">IF(H89="仅含出让金",C88+C91+C92+C93+C94+C95,C88+C92+C93+C94+C95)</f>
        <v>45</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6" t="s">
        <v>73</v>
      </c>
      <c r="B88" s="115" t="s">
        <v>1918</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6" t="s">
        <v>74</v>
      </c>
      <c r="B89" s="115" t="s">
        <v>1919</v>
      </c>
      <c r="C89" s="157"/>
      <c r="D89" s="145"/>
      <c r="E89" s="158" t="s">
        <v>1920</v>
      </c>
      <c r="F89" s="1878"/>
      <c r="G89" s="159" t="s">
        <v>1921</v>
      </c>
      <c r="H89" s="2285"/>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6" t="s">
        <v>75</v>
      </c>
      <c r="B90" s="115" t="s">
        <v>1909</v>
      </c>
      <c r="C90" s="144">
        <f>ROUND(C89*D90,0)</f>
        <v>0</v>
      </c>
      <c r="D90" s="145">
        <f>'数据-取费表'!E36+'数据-取费表'!E37</f>
        <v>3.0499999999999999E-2</v>
      </c>
      <c r="E90" s="158" t="s">
        <v>1922</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14.25">
      <c r="A91" s="136" t="s">
        <v>77</v>
      </c>
      <c r="B91" s="115" t="s">
        <v>1923</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30.75" customHeight="1">
      <c r="A92" s="136" t="s">
        <v>78</v>
      </c>
      <c r="B92" s="115" t="s">
        <v>1924</v>
      </c>
      <c r="C92" s="144">
        <f>IF(H92="——",成本法!C33,I92)</f>
        <v>0</v>
      </c>
      <c r="D92" s="145"/>
      <c r="E92" s="2864" t="s">
        <v>1925</v>
      </c>
      <c r="F92" s="2865"/>
      <c r="G92" s="2865"/>
      <c r="H92" s="2286" t="s">
        <v>1926</v>
      </c>
      <c r="I92" s="2287"/>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6" t="s">
        <v>79</v>
      </c>
      <c r="B93" s="115" t="s">
        <v>1927</v>
      </c>
      <c r="C93" s="144">
        <f>ROUND((C88+C91+C92)*D93,0)</f>
        <v>0</v>
      </c>
      <c r="D93" s="145">
        <v>0.1</v>
      </c>
      <c r="E93" s="2864" t="s">
        <v>1928</v>
      </c>
      <c r="F93" s="2865"/>
      <c r="G93" s="2865"/>
      <c r="H93" s="2885"/>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6" t="s">
        <v>80</v>
      </c>
      <c r="B94" s="115" t="s">
        <v>1912</v>
      </c>
      <c r="C94" s="144">
        <f ca="1">ROUND(D46*D94/(1+'数据-取费表'!F30),0)</f>
        <v>45</v>
      </c>
      <c r="D94" s="145">
        <f>'数据-取费表'!E31</f>
        <v>6.000000000000001E-3</v>
      </c>
      <c r="E94" s="2864" t="s">
        <v>1913</v>
      </c>
      <c r="F94" s="2865"/>
      <c r="G94" s="2865"/>
      <c r="H94" s="2885"/>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25.5" customHeight="1">
      <c r="A95" s="136" t="s">
        <v>81</v>
      </c>
      <c r="B95" s="115" t="s">
        <v>1929</v>
      </c>
      <c r="C95" s="144">
        <f>ROUND((C88+C91+C92)*D95,0)</f>
        <v>0</v>
      </c>
      <c r="D95" s="145">
        <v>0.2</v>
      </c>
      <c r="E95" s="2864" t="s">
        <v>1930</v>
      </c>
      <c r="F95" s="2865"/>
      <c r="G95" s="2865"/>
      <c r="H95" s="2885"/>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14.25">
      <c r="A96" s="146" t="s">
        <v>42</v>
      </c>
      <c r="B96" s="121" t="s">
        <v>1914</v>
      </c>
      <c r="C96" s="124">
        <f ca="1">ROUND(C86-C87,0)</f>
        <v>7392</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14.25">
      <c r="A97" s="146" t="s">
        <v>43</v>
      </c>
      <c r="B97" s="121" t="s">
        <v>1915</v>
      </c>
      <c r="C97" s="147">
        <f ca="1">IF(C96&lt;=0,0,C96/C87)</f>
        <v>164.26666666666668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s="2279" customFormat="1" ht="15" thickBot="1">
      <c r="A98" s="148" t="s">
        <v>44</v>
      </c>
      <c r="B98" s="126" t="s">
        <v>1916</v>
      </c>
      <c r="C98" s="149">
        <f ca="1">ROUND(IF(C96&lt;=0,0,IF(C97&gt;=200%,C96*60%-C87*35%,IF(C97&gt;=100%,C96*50%-C87*15%,IF(C97&gt;=50%,C96*40%-C87*5%,IF(C97&lt;50%,C96*30%,0))))),0)</f>
        <v>4419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80"/>
      <c r="AB98" s="2280"/>
      <c r="AC98" s="2280"/>
      <c r="AD98" s="2280"/>
      <c r="AE98" s="2280"/>
      <c r="AF98" s="2280"/>
      <c r="AG98" s="2280"/>
      <c r="AH98" s="2280"/>
      <c r="AI98" s="2280"/>
    </row>
    <row r="99" spans="1:35" ht="21.75" customHeight="1" thickBot="1">
      <c r="A99" s="2249" t="s">
        <v>1931</v>
      </c>
      <c r="B99" s="2193"/>
      <c r="C99" s="2193"/>
      <c r="D99" s="2193"/>
      <c r="E99" s="1019"/>
      <c r="F99" s="1019"/>
      <c r="G99" s="1019"/>
      <c r="H99" s="2246"/>
      <c r="I99" s="2193"/>
    </row>
    <row r="100" spans="1:35" ht="15.75">
      <c r="A100" s="2882" t="s">
        <v>1932</v>
      </c>
      <c r="B100" s="2883"/>
      <c r="C100" s="2883"/>
      <c r="D100" s="2884"/>
      <c r="E100" s="2193"/>
      <c r="F100" s="2892" t="s">
        <v>1933</v>
      </c>
      <c r="G100" s="2893"/>
      <c r="H100" s="2893"/>
      <c r="I100" s="2894"/>
    </row>
    <row r="101" spans="1:35" ht="15.75">
      <c r="A101" s="2899" t="s">
        <v>1934</v>
      </c>
      <c r="B101" s="2900"/>
      <c r="C101" s="719" t="str">
        <f>C4</f>
        <v>比较法-车位</v>
      </c>
      <c r="D101" s="720" t="str">
        <f>D4</f>
        <v>收益法</v>
      </c>
      <c r="E101" s="2193"/>
      <c r="F101" s="2901" t="s">
        <v>1935</v>
      </c>
      <c r="G101" s="2903"/>
      <c r="H101" s="2984" t="s">
        <v>1936</v>
      </c>
      <c r="I101" s="2902"/>
    </row>
    <row r="102" spans="1:35" ht="15.75">
      <c r="A102" s="2985" t="s">
        <v>1996</v>
      </c>
      <c r="B102" s="2288" t="str">
        <f>IF(H19="元","总价（元）","总价（万元）")</f>
        <v>总价（万元）</v>
      </c>
      <c r="C102" s="719">
        <f ca="1">C19</f>
        <v>30</v>
      </c>
      <c r="D102" s="720">
        <f ca="1">D19</f>
        <v>18</v>
      </c>
      <c r="E102" s="2193"/>
      <c r="F102" s="2986"/>
      <c r="G102" s="2987"/>
      <c r="H102" s="2962">
        <f>典型户型修正!B25</f>
        <v>14802.979999999996</v>
      </c>
      <c r="I102" s="2902"/>
    </row>
    <row r="103" spans="1:35" ht="15.75">
      <c r="A103" s="2985"/>
      <c r="B103" s="2288" t="s">
        <v>1938</v>
      </c>
      <c r="C103" s="721">
        <f ca="1">C20</f>
        <v>6299</v>
      </c>
      <c r="D103" s="722">
        <f ca="1">D20</f>
        <v>3707</v>
      </c>
      <c r="E103" s="2193"/>
      <c r="F103" s="2976" t="s">
        <v>1939</v>
      </c>
      <c r="G103" s="2977"/>
      <c r="H103" s="2289" t="str">
        <f>C109</f>
        <v>总价（万元）</v>
      </c>
      <c r="I103" s="1859">
        <f ca="1">H124</f>
        <v>7809</v>
      </c>
    </row>
    <row r="104" spans="1:35" ht="15">
      <c r="A104" s="2985" t="s">
        <v>1997</v>
      </c>
      <c r="B104" s="2290" t="str">
        <f>B102</f>
        <v>总价（万元）</v>
      </c>
      <c r="C104" s="1187">
        <f ca="1">ROUND(IF('数据-取费表'!B4="总价",G19,IF(H19="元",G20*'数据-取费表'!E5,G20*'数据-取费表'!E5/10000)),0)</f>
        <v>25</v>
      </c>
      <c r="D104" s="724"/>
      <c r="E104" s="2193"/>
      <c r="F104" s="2976"/>
      <c r="G104" s="2977"/>
      <c r="H104" s="2289" t="s">
        <v>1938</v>
      </c>
      <c r="I104" s="1047">
        <f ca="1">I124</f>
        <v>5275</v>
      </c>
    </row>
    <row r="105" spans="1:35" ht="15.75">
      <c r="A105" s="2985"/>
      <c r="B105" s="2288" t="s">
        <v>1938</v>
      </c>
      <c r="C105" s="1188">
        <f ca="1">ROUND(IF('数据-取费表'!B4="楼面单价",G20,IF(H19="元",G19/'数据-取费表'!E5,G19*10000/'数据-取费表'!E5)),0)</f>
        <v>5262</v>
      </c>
      <c r="D105" s="724"/>
      <c r="E105" s="2193"/>
      <c r="F105" s="2888"/>
      <c r="G105" s="2889"/>
      <c r="H105" s="2923"/>
      <c r="I105" s="2924"/>
    </row>
    <row r="106" spans="1:35" ht="15.75">
      <c r="A106" s="2992" t="s">
        <v>1998</v>
      </c>
      <c r="B106" s="2328" t="str">
        <f>B102</f>
        <v>总价（万元）</v>
      </c>
      <c r="C106" s="723">
        <f ca="1">H124</f>
        <v>7809</v>
      </c>
      <c r="D106" s="1186"/>
      <c r="E106" s="2193"/>
      <c r="F106" s="2927" t="s">
        <v>1942</v>
      </c>
      <c r="G106" s="2928"/>
      <c r="H106" s="2292" t="str">
        <f>C111</f>
        <v>总额（万元）</v>
      </c>
      <c r="I106" s="1859">
        <f>SUMIF(I107:I109,"&lt;9E307")</f>
        <v>0</v>
      </c>
    </row>
    <row r="107" spans="1:35" ht="15.75" thickBot="1">
      <c r="A107" s="2922"/>
      <c r="B107" s="2291" t="s">
        <v>1938</v>
      </c>
      <c r="C107" s="725">
        <f ca="1">I124</f>
        <v>5275</v>
      </c>
      <c r="D107" s="726"/>
      <c r="E107" s="2193"/>
      <c r="F107" s="2890" t="s">
        <v>1944</v>
      </c>
      <c r="G107" s="2891"/>
      <c r="H107" s="2292" t="str">
        <f>C112</f>
        <v>总额（万元）</v>
      </c>
      <c r="I107" s="1047">
        <f>IF(D37="同一抵押权人同一抵押物续贷",C37&amp;"（未扣减，详见特别提示）",C37)</f>
        <v>0</v>
      </c>
      <c r="K107" s="2203" t="str">
        <f>IF(D126=0,"本次评估不存在"&amp;A126,"本次评估"&amp;A126&amp;"为"&amp;D126&amp;"元人民币。")</f>
        <v>本次评估不存在——</v>
      </c>
    </row>
    <row r="108" spans="1:35" ht="15">
      <c r="A108" s="2988" t="s">
        <v>1941</v>
      </c>
      <c r="B108" s="2989"/>
      <c r="C108" s="2989"/>
      <c r="D108" s="2990"/>
      <c r="E108" s="2193"/>
      <c r="F108" s="2890" t="s">
        <v>1945</v>
      </c>
      <c r="G108" s="2891"/>
      <c r="H108" s="2292" t="str">
        <f>C113</f>
        <v>总额（万元）</v>
      </c>
      <c r="I108" s="1047">
        <f>C38</f>
        <v>0</v>
      </c>
      <c r="K108" s="2293"/>
    </row>
    <row r="109" spans="1:35" ht="15">
      <c r="A109" s="2929" t="s">
        <v>1999</v>
      </c>
      <c r="B109" s="2930"/>
      <c r="C109" s="2289" t="str">
        <f>B102</f>
        <v>总价（万元）</v>
      </c>
      <c r="D109" s="1048">
        <f ca="1">H124</f>
        <v>7809</v>
      </c>
      <c r="E109" s="2193"/>
      <c r="F109" s="2890" t="s">
        <v>1947</v>
      </c>
      <c r="G109" s="2891"/>
      <c r="H109" s="2292" t="str">
        <f>C114</f>
        <v>总额（万元）</v>
      </c>
      <c r="I109" s="1047">
        <f>C39</f>
        <v>0</v>
      </c>
    </row>
    <row r="110" spans="1:35" ht="15.75">
      <c r="A110" s="2929"/>
      <c r="B110" s="2930"/>
      <c r="C110" s="2289" t="s">
        <v>1938</v>
      </c>
      <c r="D110" s="1049">
        <f ca="1">I124</f>
        <v>5275</v>
      </c>
      <c r="E110" s="2193"/>
      <c r="F110" s="2888"/>
      <c r="G110" s="2889"/>
      <c r="H110" s="2925"/>
      <c r="I110" s="2926"/>
    </row>
    <row r="111" spans="1:35" ht="28.5" customHeight="1">
      <c r="A111" s="2972" t="s">
        <v>1946</v>
      </c>
      <c r="B111" s="2973"/>
      <c r="C111" s="2292" t="str">
        <f>IF(H19="元","总额（元）","总额（万元）")</f>
        <v>总额（万元）</v>
      </c>
      <c r="D111" s="1048">
        <f>IF(D37="正常操作",I107+I108+I109,I108+I109)</f>
        <v>0</v>
      </c>
      <c r="E111" s="2193"/>
      <c r="F111" s="2870" t="str">
        <f>IF(项目基本情况!F5="已注销","——","3.房地产抵押价值")</f>
        <v>3.房地产抵押价值</v>
      </c>
      <c r="G111" s="2871"/>
      <c r="H111" s="2329" t="str">
        <f>C115</f>
        <v>总价（万元）</v>
      </c>
      <c r="I111" s="1859">
        <f ca="1">IF(F111="——","——",I103-I106)</f>
        <v>7809</v>
      </c>
    </row>
    <row r="112" spans="1:35" ht="15">
      <c r="A112" s="2890" t="s">
        <v>1944</v>
      </c>
      <c r="B112" s="2891"/>
      <c r="C112" s="2292" t="str">
        <f>C111</f>
        <v>总额（万元）</v>
      </c>
      <c r="D112" s="636">
        <f>IF(D37="同一抵押权人同一抵押物续贷",C37&amp;"（未扣减，详见特别提示）",C37)</f>
        <v>0</v>
      </c>
      <c r="E112" s="2193"/>
      <c r="F112" s="2872"/>
      <c r="G112" s="2873"/>
      <c r="H112" s="2289" t="s">
        <v>1938</v>
      </c>
      <c r="I112" s="2295">
        <f ca="1">D116</f>
        <v>5275</v>
      </c>
    </row>
    <row r="113" spans="1:26" ht="15.75">
      <c r="A113" s="2890" t="s">
        <v>1945</v>
      </c>
      <c r="B113" s="2891"/>
      <c r="C113" s="2292" t="str">
        <f>C111</f>
        <v>总额（万元）</v>
      </c>
      <c r="D113" s="636">
        <f>C38</f>
        <v>0</v>
      </c>
      <c r="E113" s="2193"/>
      <c r="F113" s="2870" t="str">
        <f>IF(项目基本情况!F5="已注销及未注销","4.抵押担保权已注销时的房地产抵押价值",IF(项目基本情况!F5="已注销","3.抵押担保权已注销时的房地产抵押价值","——"))</f>
        <v>——</v>
      </c>
      <c r="G113" s="2871"/>
      <c r="H113" s="2329" t="str">
        <f>C117</f>
        <v>总价（万元）</v>
      </c>
      <c r="I113" s="1859" t="str">
        <f>IF(F113="——","——",I103-I108-I109)</f>
        <v>——</v>
      </c>
    </row>
    <row r="114" spans="1:26" ht="15">
      <c r="A114" s="2890" t="s">
        <v>1947</v>
      </c>
      <c r="B114" s="2891"/>
      <c r="C114" s="2292" t="str">
        <f>C111</f>
        <v>总额（万元）</v>
      </c>
      <c r="D114" s="636">
        <f>C39</f>
        <v>0</v>
      </c>
      <c r="E114" s="2193"/>
      <c r="F114" s="2872"/>
      <c r="G114" s="2873"/>
      <c r="H114" s="2289" t="s">
        <v>1938</v>
      </c>
      <c r="I114" s="1047" t="str">
        <f>D118</f>
        <v>——</v>
      </c>
    </row>
    <row r="115" spans="1:26" ht="15.75">
      <c r="A115" s="2929" t="str">
        <f>IF(项目基本情况!F5="已注销","——","3.房地产抵押价值")</f>
        <v>3.房地产抵押价值</v>
      </c>
      <c r="B115" s="2930"/>
      <c r="C115" s="2289" t="str">
        <f>B102</f>
        <v>总价（万元）</v>
      </c>
      <c r="D115" s="1048">
        <f ca="1">IF(A115="——","——",D109-D111)</f>
        <v>7809</v>
      </c>
      <c r="E115" s="2193"/>
      <c r="F115" s="2870" t="str">
        <f>IF(项目基本情况!G5="抵押净值",IF(OR(项目基本情况!F5="已注销",项目基本情况!F5="房地产抵押价值"),"4.抵押净值","5.抵押净值"),"——")</f>
        <v>——</v>
      </c>
      <c r="G115" s="2871"/>
      <c r="H115" s="2289" t="str">
        <f>C119</f>
        <v>总价（万元）</v>
      </c>
      <c r="I115" s="1859" t="str">
        <f>IF(F115="——","——",N60)</f>
        <v>——</v>
      </c>
    </row>
    <row r="116" spans="1:26" ht="15.75" thickBot="1">
      <c r="A116" s="2929"/>
      <c r="B116" s="2930"/>
      <c r="C116" s="2289" t="s">
        <v>2000</v>
      </c>
      <c r="D116" s="1049">
        <f ca="1">ROUND(IF(D115=D109,D110,IF(H19="元",D115/B124,D115*10000/B124)),0)</f>
        <v>5275</v>
      </c>
      <c r="E116" s="2193"/>
      <c r="F116" s="2963"/>
      <c r="G116" s="2964"/>
      <c r="H116" s="2297" t="s">
        <v>2000</v>
      </c>
      <c r="I116" s="1861" t="str">
        <f ca="1">D120</f>
        <v>——</v>
      </c>
    </row>
    <row r="117" spans="1:26" ht="15.75">
      <c r="A117" s="2929" t="str">
        <f>IF(项目基本情况!F5="已注销及未注销","4.抵押担保权已注销时的房地产抵押价值",IF(项目基本情况!F5="已注销","3.抵押担保权已注销时的房地产抵押价值","——"))</f>
        <v>——</v>
      </c>
      <c r="B117" s="2930"/>
      <c r="C117" s="2289" t="str">
        <f>B102</f>
        <v>总价（万元）</v>
      </c>
      <c r="D117" s="1048" t="str">
        <f>IF(A117="——","——",D109-D113-D114)</f>
        <v>——</v>
      </c>
      <c r="E117" s="2193"/>
      <c r="F117" s="2866"/>
      <c r="G117" s="2866"/>
      <c r="H117" s="2908"/>
      <c r="I117" s="2908"/>
      <c r="N117" s="55"/>
      <c r="O117" s="55"/>
    </row>
    <row r="118" spans="1:26" s="1842" customFormat="1" ht="15">
      <c r="A118" s="2929"/>
      <c r="B118" s="2930"/>
      <c r="C118" s="2289" t="s">
        <v>2000</v>
      </c>
      <c r="D118" s="1049" t="str">
        <f>IF(A117="——","——",IF(H19="元",ROUND(D117/B124,0),ROUND(D117*10000/B124,0)))</f>
        <v>——</v>
      </c>
      <c r="E118" s="2193"/>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7"/>
      <c r="K118" s="797"/>
      <c r="L118" s="797"/>
      <c r="M118" s="797"/>
      <c r="N118" s="55"/>
      <c r="O118" s="55"/>
      <c r="P118" s="797"/>
      <c r="Q118" s="797"/>
      <c r="R118" s="797"/>
      <c r="S118" s="797"/>
      <c r="T118" s="797"/>
      <c r="U118" s="797"/>
      <c r="V118" s="797"/>
      <c r="W118" s="797"/>
      <c r="X118" s="797"/>
      <c r="Y118" s="797"/>
      <c r="Z118" s="797"/>
    </row>
    <row r="119" spans="1:26" s="1842" customFormat="1" ht="15">
      <c r="A119" s="2929" t="str">
        <f>IF(项目基本情况!G5="抵押净值",IF(OR(项目基本情况!F5="已注销",项目基本情况!F5="房地产抵押价值"),"4.抵押净值","5.抵押净值"),"——")</f>
        <v>——</v>
      </c>
      <c r="B119" s="2930"/>
      <c r="C119" s="2289" t="str">
        <f>B102</f>
        <v>总价（万元）</v>
      </c>
      <c r="D119" s="1048"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970"/>
      <c r="B120" s="2971"/>
      <c r="C120" s="2297" t="s">
        <v>2000</v>
      </c>
      <c r="D120" s="1050"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2" customFormat="1" ht="15">
      <c r="A121" s="2909" t="s">
        <v>2001</v>
      </c>
      <c r="B121" s="2910"/>
      <c r="C121" s="2910"/>
      <c r="D121" s="2910"/>
      <c r="E121" s="2910"/>
      <c r="F121" s="2910"/>
      <c r="G121" s="2910"/>
      <c r="H121" s="2910"/>
      <c r="I121" s="2910"/>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81" t="s">
        <v>1949</v>
      </c>
      <c r="B122" s="2879" t="s">
        <v>2002</v>
      </c>
      <c r="C122" s="2879" t="s">
        <v>2003</v>
      </c>
      <c r="D122" s="2886" t="s">
        <v>1952</v>
      </c>
      <c r="E122" s="2887"/>
      <c r="F122" s="2877" t="s">
        <v>2004</v>
      </c>
      <c r="G122" s="2877"/>
      <c r="H122" s="2877" t="s">
        <v>1953</v>
      </c>
      <c r="I122" s="2878"/>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81"/>
      <c r="B123" s="2880"/>
      <c r="C123" s="2880"/>
      <c r="D123" s="1883" t="s">
        <v>1954</v>
      </c>
      <c r="E123" s="1883" t="s">
        <v>1955</v>
      </c>
      <c r="F123" s="1883" t="s">
        <v>1954</v>
      </c>
      <c r="G123" s="1883" t="s">
        <v>1956</v>
      </c>
      <c r="H123" s="1883" t="s">
        <v>1954</v>
      </c>
      <c r="I123" s="636" t="s">
        <v>1956</v>
      </c>
      <c r="J123" s="797"/>
      <c r="K123" s="797"/>
      <c r="L123" s="797"/>
      <c r="M123" s="797"/>
      <c r="N123" s="797"/>
      <c r="O123" s="797"/>
      <c r="P123" s="797"/>
      <c r="Q123" s="797"/>
      <c r="R123" s="797"/>
      <c r="S123" s="797"/>
      <c r="T123" s="797"/>
      <c r="U123" s="797"/>
      <c r="V123" s="797"/>
      <c r="W123" s="797"/>
      <c r="X123" s="797"/>
      <c r="Y123" s="797"/>
      <c r="Z123" s="797"/>
    </row>
    <row r="124" spans="1:26" s="1842" customFormat="1" ht="14.25">
      <c r="A124" s="2179" t="str">
        <f>项目基本情况!I1</f>
        <v>北京市房地产</v>
      </c>
      <c r="B124" s="1883">
        <f>典型户型修正!B25</f>
        <v>14802.979999999996</v>
      </c>
      <c r="C124" s="400"/>
      <c r="D124" s="1883">
        <f>C35</f>
        <v>0</v>
      </c>
      <c r="E124" s="1883">
        <f>ROUND(IF(H19="元",D124/B124,D124*10000/B124),0)</f>
        <v>0</v>
      </c>
      <c r="F124" s="1883">
        <f>C36</f>
        <v>0</v>
      </c>
      <c r="G124" s="1883">
        <f>ROUND(IF(H19="元",F124/B124,F124*10000/B124),0)</f>
        <v>0</v>
      </c>
      <c r="H124" s="1883">
        <f ca="1">C33</f>
        <v>7809</v>
      </c>
      <c r="I124" s="636">
        <f ca="1">C34</f>
        <v>5275</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81" t="s">
        <v>1957</v>
      </c>
      <c r="B125" s="2877"/>
      <c r="C125" s="2877"/>
      <c r="D125" s="2913" t="str">
        <f>IF(H19="元",NUMBERSTRING(INT(D124),2)&amp;"元整",NUMBERSTRING(INT(D124*10000),2)&amp;"元整")</f>
        <v>零元整</v>
      </c>
      <c r="E125" s="2914"/>
      <c r="F125" s="2913" t="str">
        <f>IF(H19="元",NUMBERSTRING(INT(F124),2)&amp;"元整",NUMBERSTRING(INT(F124*10000),2)&amp;"元整")</f>
        <v>零元整</v>
      </c>
      <c r="G125" s="2914"/>
      <c r="H125" s="2913" t="str">
        <f ca="1">IF(H19="元",NUMBERSTRING(INT(H124),2)&amp;"元整",NUMBERSTRING(INT(H124*10000),2)&amp;"元整")</f>
        <v>柒仟捌佰零玖万元整</v>
      </c>
      <c r="I125" s="2978"/>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15" t="str">
        <f>IF(项目基本情况!D5="房地产市场价值","——",MID(A111,3,LEN(A111)-2))</f>
        <v>——</v>
      </c>
      <c r="B126" s="2916"/>
      <c r="C126" s="2917"/>
      <c r="D126" s="2906">
        <f>I106</f>
        <v>0</v>
      </c>
      <c r="E126" s="2916"/>
      <c r="F126" s="2916"/>
      <c r="G126" s="2916"/>
      <c r="H126" s="2916"/>
      <c r="I126" s="2965"/>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18" t="s">
        <v>1957</v>
      </c>
      <c r="B127" s="2919"/>
      <c r="C127" s="2920"/>
      <c r="D127" s="2966">
        <f>H110</f>
        <v>0</v>
      </c>
      <c r="E127" s="2967"/>
      <c r="F127" s="2967"/>
      <c r="G127" s="2967"/>
      <c r="H127" s="2967"/>
      <c r="I127" s="2968"/>
      <c r="J127" s="797"/>
      <c r="K127" s="797"/>
      <c r="L127" s="797"/>
      <c r="M127" s="797"/>
      <c r="N127" s="797"/>
      <c r="O127" s="797"/>
      <c r="P127" s="797"/>
      <c r="Q127" s="797"/>
      <c r="R127" s="797"/>
      <c r="S127" s="797"/>
      <c r="T127" s="797"/>
      <c r="U127" s="797"/>
      <c r="V127" s="797"/>
      <c r="W127" s="797"/>
      <c r="X127" s="797"/>
      <c r="Y127" s="797"/>
      <c r="Z127" s="797"/>
    </row>
    <row r="128" spans="1:26" s="1842" customFormat="1" ht="15">
      <c r="A128" s="2904" t="str">
        <f>IF(项目基本情况!D5="房地产市场价值","——",MID(A115,3,LEN(A115)-2))</f>
        <v>——</v>
      </c>
      <c r="B128" s="2905"/>
      <c r="C128" s="2905"/>
      <c r="D128" s="2906">
        <f ca="1">I111</f>
        <v>7809</v>
      </c>
      <c r="E128" s="2916"/>
      <c r="F128" s="2916"/>
      <c r="G128" s="2916"/>
      <c r="H128" s="2916"/>
      <c r="I128" s="2965"/>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81" t="s">
        <v>1957</v>
      </c>
      <c r="B129" s="2877"/>
      <c r="C129" s="2877"/>
      <c r="D129" s="2966">
        <f ca="1">I112</f>
        <v>5275</v>
      </c>
      <c r="E129" s="2967"/>
      <c r="F129" s="2967"/>
      <c r="G129" s="2967"/>
      <c r="H129" s="2967"/>
      <c r="I129" s="2968"/>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904" t="str">
        <f>IF(项目基本情况!D5="房地产市场价值","——",MID(A117,3,LEN(A117)-2))</f>
        <v>——</v>
      </c>
      <c r="B130" s="2905"/>
      <c r="C130" s="2905"/>
      <c r="D130" s="2861" t="str">
        <f>I113</f>
        <v>——</v>
      </c>
      <c r="E130" s="2862"/>
      <c r="F130" s="2862"/>
      <c r="G130" s="2862"/>
      <c r="H130" s="2862"/>
      <c r="I130" s="2863"/>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81" t="s">
        <v>1957</v>
      </c>
      <c r="B131" s="2877"/>
      <c r="C131" s="2961"/>
      <c r="D131" s="2907" t="str">
        <f>I114</f>
        <v>——</v>
      </c>
      <c r="E131" s="2907"/>
      <c r="F131" s="2907"/>
      <c r="G131" s="2907"/>
      <c r="H131" s="2907"/>
      <c r="I131" s="2907"/>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904" t="str">
        <f>IF(项目基本情况!D5="房地产市场价值","——",MID(F115,3,LEN(F115)-2))</f>
        <v>——</v>
      </c>
      <c r="B132" s="2905"/>
      <c r="C132" s="2906"/>
      <c r="D132" s="2969" t="str">
        <f>I115</f>
        <v>——</v>
      </c>
      <c r="E132" s="2969"/>
      <c r="F132" s="2969"/>
      <c r="G132" s="2969"/>
      <c r="H132" s="2969"/>
      <c r="I132" s="2969"/>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974" t="s">
        <v>1957</v>
      </c>
      <c r="B133" s="2975"/>
      <c r="C133" s="2975"/>
      <c r="D133" s="2979">
        <f>H117</f>
        <v>0</v>
      </c>
      <c r="E133" s="2980"/>
      <c r="F133" s="2980"/>
      <c r="G133" s="2980"/>
      <c r="H133" s="2980"/>
      <c r="I133" s="2981"/>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959" t="str">
        <f>IF(B32="总价","（以上估价结果中楼面单价为总价除以建筑面积得出）","（以上估价结果中总价为楼面单价乘以建筑面积得出）")</f>
        <v>（以上估价结果中总价为楼面单价乘以建筑面积得出）</v>
      </c>
      <c r="B135" s="2959"/>
      <c r="C135" s="2959"/>
      <c r="D135" s="2959"/>
      <c r="E135" s="2959"/>
      <c r="F135" s="2959"/>
      <c r="G135" s="2959"/>
      <c r="H135" s="2959"/>
      <c r="I135" s="2959"/>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8" t="s">
        <v>1958</v>
      </c>
      <c r="B136" s="2299"/>
      <c r="C136" s="2300" t="s">
        <v>1959</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11" t="s">
        <v>1960</v>
      </c>
      <c r="G142" s="2312"/>
      <c r="H142" s="2312"/>
      <c r="I142" s="2313" t="s">
        <v>1961</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14" t="s">
        <v>1962</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12"/>
      <c r="C145" s="2312"/>
      <c r="D145" s="2312"/>
      <c r="E145" s="2312"/>
      <c r="F145" s="2312"/>
      <c r="G145" s="2312"/>
      <c r="H145" s="2312"/>
      <c r="I145" s="2313" t="s">
        <v>1963</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14" t="s">
        <v>1964</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12"/>
      <c r="C148" s="2312"/>
      <c r="D148" s="2312"/>
      <c r="E148" s="2312"/>
      <c r="F148" s="2312"/>
      <c r="G148" s="2312"/>
      <c r="H148" s="2312"/>
      <c r="I148" s="2313" t="s">
        <v>1963</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8"/>
      <c r="C1" s="162"/>
      <c r="D1" s="162"/>
      <c r="E1" s="162"/>
      <c r="F1" s="162"/>
      <c r="G1" s="163"/>
    </row>
    <row r="2" spans="1:7" s="164" customFormat="1" ht="18" customHeight="1">
      <c r="A2" s="165" t="s">
        <v>2006</v>
      </c>
      <c r="B2" s="166">
        <f ca="1">IF(D2="——",IF(C2="元",C52,ROUND(C52/10000,0)),IF(C2="元",C52,ROUND(C52/10000,0))-E2)</f>
        <v>4137</v>
      </c>
      <c r="C2" s="163" t="str">
        <f>'数据-取费表'!B3</f>
        <v>万元</v>
      </c>
      <c r="D2" s="2331" t="s">
        <v>1251</v>
      </c>
      <c r="E2" s="1543" t="e">
        <f ca="1">SUMIF(INDIRECT("'"&amp;G2&amp;"'"&amp;"!A:A"),"承租人权益价值",INDIRECT("'"&amp;G2&amp;"'"&amp;"!c:c"))</f>
        <v>#REF!</v>
      </c>
      <c r="F2" s="2332" t="str">
        <f>C2</f>
        <v>万元</v>
      </c>
      <c r="G2" s="1902"/>
    </row>
    <row r="3" spans="1:7" s="164" customFormat="1" ht="18" customHeight="1" thickBot="1">
      <c r="A3" s="167" t="s">
        <v>2007</v>
      </c>
      <c r="B3" s="168">
        <f ca="1">ROUND(C52/IF(B1="仅计算典型户型",'数据-取费表'!E5,'数据-取费表'!B5),0)</f>
        <v>2794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29" t="s">
        <v>2013</v>
      </c>
      <c r="F5" s="1529" t="s">
        <v>2014</v>
      </c>
      <c r="G5" s="174"/>
    </row>
    <row r="6" spans="1:7" s="175" customFormat="1" ht="13.5" customHeight="1">
      <c r="A6" s="176" t="s">
        <v>2015</v>
      </c>
      <c r="B6" s="177" t="s">
        <v>2016</v>
      </c>
      <c r="C6" s="1528">
        <v>1000000</v>
      </c>
      <c r="D6" s="1530"/>
      <c r="E6" s="1531"/>
      <c r="F6" s="1531"/>
      <c r="G6" s="179"/>
    </row>
    <row r="7" spans="1:7" s="175" customFormat="1" ht="13.5" customHeight="1">
      <c r="A7" s="176" t="s">
        <v>2017</v>
      </c>
      <c r="B7" s="177" t="s">
        <v>2018</v>
      </c>
      <c r="C7" s="199">
        <f>ROUND(C6*F7,0)</f>
        <v>30500</v>
      </c>
      <c r="D7" s="199"/>
      <c r="E7" s="1531"/>
      <c r="F7" s="1532">
        <f>'数据-取费表'!E36+'数据-取费表'!E37</f>
        <v>3.0499999999999999E-2</v>
      </c>
      <c r="G7" s="179"/>
    </row>
    <row r="8" spans="1:7" s="180" customFormat="1">
      <c r="A8" s="176" t="s">
        <v>2019</v>
      </c>
      <c r="B8" s="177" t="s">
        <v>2020</v>
      </c>
      <c r="C8" s="199">
        <f>IF(G8="已包含在土地购买价格中","0",'数据-取费表'!E13)</f>
        <v>0</v>
      </c>
      <c r="D8" s="1533"/>
      <c r="E8" s="199"/>
      <c r="F8" s="1532"/>
      <c r="G8" s="2333"/>
    </row>
    <row r="9" spans="1:7" s="175" customFormat="1" ht="13.5" customHeight="1">
      <c r="A9" s="1301" t="s">
        <v>951</v>
      </c>
      <c r="B9" s="181" t="s">
        <v>2021</v>
      </c>
      <c r="C9" s="1534">
        <f>ROUND(D9*E9,0)</f>
        <v>0</v>
      </c>
      <c r="D9" s="1535">
        <f>IF('数据-取费表'!B10="住宅",IF(B1="仅计算典型户型",'数据-取费表'!E5,'数据-取费表'!B5),0)</f>
        <v>0</v>
      </c>
      <c r="E9" s="1534">
        <f>'数据-取费表'!E11</f>
        <v>0</v>
      </c>
      <c r="F9" s="1532"/>
      <c r="G9" s="182"/>
    </row>
    <row r="10" spans="1:7" s="175" customFormat="1" ht="13.5" customHeight="1">
      <c r="A10" s="1301" t="s">
        <v>952</v>
      </c>
      <c r="B10" s="181" t="s">
        <v>2022</v>
      </c>
      <c r="C10" s="1534">
        <f>ROUND(D10*E10,0)</f>
        <v>1776358</v>
      </c>
      <c r="D10" s="1535">
        <f>IF('数据-取费表'!B10&lt;&gt;"住宅",IF(B1="仅计算典型户型",'数据-取费表'!E5,'数据-取费表'!B5),0)</f>
        <v>14802.98</v>
      </c>
      <c r="E10" s="1534">
        <f>'数据-取费表'!E12</f>
        <v>120</v>
      </c>
      <c r="F10" s="1532"/>
      <c r="G10" s="182"/>
    </row>
    <row r="11" spans="1:7" s="175" customFormat="1" ht="13.5" hidden="1" customHeight="1">
      <c r="A11" s="176" t="s">
        <v>4</v>
      </c>
      <c r="B11" s="177" t="s">
        <v>2023</v>
      </c>
      <c r="C11" s="195"/>
      <c r="D11" s="199"/>
      <c r="E11" s="1531"/>
      <c r="F11" s="1531"/>
      <c r="G11" s="179"/>
    </row>
    <row r="12" spans="1:7" s="175" customFormat="1" ht="13.5" hidden="1" customHeight="1">
      <c r="A12" s="176" t="s">
        <v>5</v>
      </c>
      <c r="B12" s="177" t="s">
        <v>2024</v>
      </c>
      <c r="C12" s="195">
        <v>0</v>
      </c>
      <c r="D12" s="199"/>
      <c r="E12" s="1536"/>
      <c r="F12" s="1532">
        <v>3.0499999999999999E-2</v>
      </c>
      <c r="G12" s="179"/>
    </row>
    <row r="13" spans="1:7" s="175" customFormat="1" ht="13.5" hidden="1" customHeight="1">
      <c r="A13" s="176" t="s">
        <v>6</v>
      </c>
      <c r="B13" s="177" t="s">
        <v>2025</v>
      </c>
      <c r="C13" s="195"/>
      <c r="D13" s="199"/>
      <c r="E13" s="1531"/>
      <c r="F13" s="1531"/>
      <c r="G13" s="179"/>
    </row>
    <row r="14" spans="1:7" s="175" customFormat="1" ht="13.5" hidden="1" customHeight="1">
      <c r="A14" s="176" t="s">
        <v>7</v>
      </c>
      <c r="B14" s="177" t="s">
        <v>2020</v>
      </c>
      <c r="C14" s="195"/>
      <c r="D14" s="199"/>
      <c r="E14" s="1531"/>
      <c r="F14" s="1531"/>
      <c r="G14" s="179" t="s">
        <v>2026</v>
      </c>
    </row>
    <row r="15" spans="1:7" s="175" customFormat="1" ht="13.5" hidden="1" customHeight="1">
      <c r="A15" s="176" t="s">
        <v>8</v>
      </c>
      <c r="B15" s="177" t="s">
        <v>2027</v>
      </c>
      <c r="C15" s="199"/>
      <c r="D15" s="199"/>
      <c r="E15" s="1531"/>
      <c r="F15" s="1531"/>
      <c r="G15" s="179" t="s">
        <v>2028</v>
      </c>
    </row>
    <row r="16" spans="1:7" s="175" customFormat="1" ht="13.5" hidden="1" customHeight="1">
      <c r="A16" s="176" t="s">
        <v>9</v>
      </c>
      <c r="B16" s="177" t="s">
        <v>2020</v>
      </c>
      <c r="C16" s="199"/>
      <c r="D16" s="199"/>
      <c r="E16" s="1531"/>
      <c r="F16" s="1531"/>
      <c r="G16" s="179"/>
    </row>
    <row r="17" spans="1:7" s="175" customFormat="1" ht="13.5" hidden="1" customHeight="1">
      <c r="A17" s="176" t="s">
        <v>10</v>
      </c>
      <c r="B17" s="177" t="s">
        <v>2029</v>
      </c>
      <c r="C17" s="1537"/>
      <c r="D17" s="1537"/>
      <c r="E17" s="1537"/>
      <c r="F17" s="1537"/>
      <c r="G17" s="179" t="s">
        <v>2028</v>
      </c>
    </row>
    <row r="18" spans="1:7" s="175" customFormat="1" ht="13.5" hidden="1" customHeight="1">
      <c r="A18" s="176" t="s">
        <v>11</v>
      </c>
      <c r="B18" s="177" t="s">
        <v>2030</v>
      </c>
      <c r="C18" s="199">
        <v>0</v>
      </c>
      <c r="D18" s="199"/>
      <c r="E18" s="1531"/>
      <c r="F18" s="1532">
        <v>3.0499999999999999E-2</v>
      </c>
      <c r="G18" s="179" t="s">
        <v>2031</v>
      </c>
    </row>
    <row r="19" spans="1:7" s="180" customFormat="1" ht="13.5" customHeight="1">
      <c r="A19" s="204" t="s">
        <v>2032</v>
      </c>
      <c r="B19" s="173" t="s">
        <v>2033</v>
      </c>
      <c r="C19" s="195">
        <f>IF(G19="已包含在土地取得成本中","0",ROUND(D19*E19,0))</f>
        <v>2960596</v>
      </c>
      <c r="D19" s="1538">
        <f>IF(B1="仅计算典型户型",'数据-取费表'!E5,'数据-取费表'!B5)</f>
        <v>14802.98</v>
      </c>
      <c r="E19" s="195">
        <f>'数据-取费表'!E15</f>
        <v>200</v>
      </c>
      <c r="F19" s="196"/>
      <c r="G19" s="2333"/>
    </row>
    <row r="20" spans="1:7" s="175" customFormat="1" ht="13.5" customHeight="1">
      <c r="A20" s="204" t="s">
        <v>2034</v>
      </c>
      <c r="B20" s="173" t="s">
        <v>2035</v>
      </c>
      <c r="C20" s="183">
        <f>ROUND((C5+C19)*F20,0)</f>
        <v>79822</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391951</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2">
        <f ca="1">ROUND(IF('数据-取费表'!B23&lt;=1,C5*F22*'数据-取费表'!B24,C5*(POWER((1+F22),'数据-取费表'!B24)-1)),0)</f>
        <v>100223</v>
      </c>
      <c r="D23" s="188"/>
      <c r="E23" s="188"/>
      <c r="F23" s="189"/>
      <c r="G23" s="190" t="s">
        <v>2045</v>
      </c>
    </row>
    <row r="24" spans="1:7" s="175" customFormat="1" ht="13.5" customHeight="1">
      <c r="A24" s="176" t="s">
        <v>2017</v>
      </c>
      <c r="B24" s="177" t="s">
        <v>2046</v>
      </c>
      <c r="C24" s="1452">
        <f ca="1">ROUND(IF('数据-取费表'!B23&lt;=1,C19*F22*('数据-取费表'!B20/2+'数据-取费表'!B22),C19*(POWER((1+F22),('数据-取费表'!B20/2+'数据-取费表'!B22))-1)),0)</f>
        <v>287936</v>
      </c>
      <c r="D24" s="188"/>
      <c r="E24" s="188"/>
      <c r="F24" s="189"/>
      <c r="G24" s="190" t="s">
        <v>2047</v>
      </c>
    </row>
    <row r="25" spans="1:7" s="175" customFormat="1" ht="24">
      <c r="A25" s="176" t="s">
        <v>2019</v>
      </c>
      <c r="B25" s="177" t="s">
        <v>2048</v>
      </c>
      <c r="C25" s="1452">
        <f ca="1">ROUND(IF('数据-取费表'!B23&lt;=1,C20*F22*'数据-取费表'!B24/2,C20*(POWER((1+F22),'数据-取费表'!B24/2)-1)),0)</f>
        <v>3792</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2" t="s">
        <v>2052</v>
      </c>
      <c r="B27" s="194" t="s">
        <v>2053</v>
      </c>
      <c r="C27" s="195">
        <f>C28</f>
        <v>407092</v>
      </c>
      <c r="D27" s="185">
        <f>C29</f>
        <v>2E-3</v>
      </c>
      <c r="E27" s="186" t="s">
        <v>2039</v>
      </c>
      <c r="F27" s="196">
        <f>'数据-取费表'!E28</f>
        <v>0.1</v>
      </c>
      <c r="G27" s="197" t="s">
        <v>2054</v>
      </c>
    </row>
    <row r="28" spans="1:7" s="175" customFormat="1" ht="13.5" customHeight="1">
      <c r="A28" s="176" t="s">
        <v>2043</v>
      </c>
      <c r="B28" s="198" t="s">
        <v>2055</v>
      </c>
      <c r="C28" s="199">
        <f>ROUND((C5+C19+C20)*F27*'数据-取费表'!B22/'数据-取费表'!B21,0)</f>
        <v>407092</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2"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5272232</v>
      </c>
      <c r="D31" s="1538"/>
      <c r="E31" s="195"/>
      <c r="F31" s="1539"/>
      <c r="G31" s="184" t="s">
        <v>2061</v>
      </c>
    </row>
    <row r="32" spans="1:7" s="172" customFormat="1" ht="15.75">
      <c r="A32" s="201" t="s">
        <v>2062</v>
      </c>
      <c r="B32" s="202"/>
      <c r="C32" s="1540"/>
      <c r="D32" s="1540"/>
      <c r="E32" s="1540"/>
      <c r="F32" s="1540"/>
      <c r="G32" s="203"/>
    </row>
    <row r="33" spans="1:7" s="175" customFormat="1" ht="13.5" customHeight="1">
      <c r="A33" s="204" t="s">
        <v>2063</v>
      </c>
      <c r="B33" s="173" t="s">
        <v>2064</v>
      </c>
      <c r="C33" s="205">
        <f>SUM(C34:C38)</f>
        <v>36992647</v>
      </c>
      <c r="D33" s="183"/>
      <c r="E33" s="1529"/>
      <c r="F33" s="191"/>
      <c r="G33" s="184"/>
    </row>
    <row r="34" spans="1:7" s="206" customFormat="1" ht="13.5" customHeight="1">
      <c r="A34" s="176" t="s">
        <v>2043</v>
      </c>
      <c r="B34" s="177" t="s">
        <v>2065</v>
      </c>
      <c r="C34" s="199">
        <f>IF(B1="仅计算典型户型",'数据-取费表'!F18,'数据-取费表'!E18)</f>
        <v>32566556</v>
      </c>
      <c r="D34" s="1530"/>
      <c r="E34" s="199"/>
      <c r="F34" s="1541" t="str">
        <f>IF('数据-取费表'!B25=0,"",'数据-取费表'!E20)</f>
        <v/>
      </c>
      <c r="G34" s="179"/>
    </row>
    <row r="35" spans="1:7" ht="13.5" customHeight="1">
      <c r="A35" s="176" t="s">
        <v>2017</v>
      </c>
      <c r="B35" s="177" t="s">
        <v>2066</v>
      </c>
      <c r="C35" s="199">
        <f>ROUND(C34*F35,0)</f>
        <v>976997</v>
      </c>
      <c r="D35" s="199"/>
      <c r="E35" s="199"/>
      <c r="F35" s="1542">
        <f>'数据-取费表'!E21</f>
        <v>0.03</v>
      </c>
      <c r="G35" s="179" t="s">
        <v>2067</v>
      </c>
    </row>
    <row r="36" spans="1:7" ht="24">
      <c r="A36" s="176" t="s">
        <v>2019</v>
      </c>
      <c r="B36" s="177" t="s">
        <v>2068</v>
      </c>
      <c r="C36" s="199">
        <f>ROUND(IF('数据-取费表'!B10="住宅",C34*F36,0),0)</f>
        <v>0</v>
      </c>
      <c r="D36" s="199"/>
      <c r="E36" s="199"/>
      <c r="F36" s="1542">
        <f>'数据-取费表'!E22</f>
        <v>0.05</v>
      </c>
      <c r="G36" s="207" t="s">
        <v>2069</v>
      </c>
    </row>
    <row r="37" spans="1:7" s="206" customFormat="1" ht="13.5" customHeight="1">
      <c r="A37" s="176" t="s">
        <v>2050</v>
      </c>
      <c r="B37" s="177" t="s">
        <v>2070</v>
      </c>
      <c r="C37" s="199">
        <f>ROUND(E37*D37,0)</f>
        <v>2960596</v>
      </c>
      <c r="D37" s="1530">
        <f>IF(B1="仅计算典型户型",'数据-取费表'!E5,'数据-取费表'!B5)</f>
        <v>14802.98</v>
      </c>
      <c r="E37" s="199">
        <f>'数据-取费表'!E23</f>
        <v>200</v>
      </c>
      <c r="F37" s="1542"/>
      <c r="G37" s="208" t="s">
        <v>2071</v>
      </c>
    </row>
    <row r="38" spans="1:7" ht="13.5" customHeight="1">
      <c r="A38" s="176" t="s">
        <v>2072</v>
      </c>
      <c r="B38" s="177" t="s">
        <v>2073</v>
      </c>
      <c r="C38" s="199">
        <f>ROUND(C34*F38,0)</f>
        <v>488498</v>
      </c>
      <c r="D38" s="199"/>
      <c r="E38" s="199"/>
      <c r="F38" s="1542">
        <f>'数据-取费表'!E24</f>
        <v>1.4999999999999999E-2</v>
      </c>
      <c r="G38" s="179" t="s">
        <v>2067</v>
      </c>
    </row>
    <row r="39" spans="1:7" s="175" customFormat="1" ht="13.5" customHeight="1">
      <c r="A39" s="204" t="s">
        <v>2032</v>
      </c>
      <c r="B39" s="173" t="s">
        <v>2035</v>
      </c>
      <c r="C39" s="183">
        <f>ROUND(C33*F20,0)</f>
        <v>739853</v>
      </c>
      <c r="D39" s="183"/>
      <c r="E39" s="183"/>
      <c r="F39" s="187"/>
      <c r="G39" s="184" t="s">
        <v>2074</v>
      </c>
    </row>
    <row r="40" spans="1:7" s="175" customFormat="1" ht="13.5" customHeight="1">
      <c r="A40" s="204" t="s">
        <v>2034</v>
      </c>
      <c r="B40" s="173" t="s">
        <v>2038</v>
      </c>
      <c r="C40" s="1816">
        <f>F21</f>
        <v>0.02</v>
      </c>
      <c r="D40" s="186" t="s">
        <v>2075</v>
      </c>
      <c r="E40" s="183"/>
      <c r="F40" s="187"/>
      <c r="G40" s="184" t="s">
        <v>2076</v>
      </c>
    </row>
    <row r="41" spans="1:7" s="175" customFormat="1" ht="13.5" customHeight="1">
      <c r="A41" s="204" t="s">
        <v>2037</v>
      </c>
      <c r="B41" s="173" t="s">
        <v>2042</v>
      </c>
      <c r="C41" s="183">
        <f ca="1">ROUND(SUM(C42:C43),0)</f>
        <v>1792294</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1757151</v>
      </c>
      <c r="D42" s="188"/>
      <c r="E42" s="188"/>
      <c r="F42" s="189"/>
      <c r="G42" s="2994" t="s">
        <v>2077</v>
      </c>
    </row>
    <row r="43" spans="1:7" ht="13.5" customHeight="1">
      <c r="A43" s="176" t="s">
        <v>2017</v>
      </c>
      <c r="B43" s="177" t="s">
        <v>2046</v>
      </c>
      <c r="C43" s="188">
        <f ca="1">ROUND(IF('数据-取费表'!B23&lt;=1,C39*F22*'数据-取费表'!B22/2,C39*(POWER((1+F22),'数据-取费表'!B22/2)-1)),0)</f>
        <v>35143</v>
      </c>
      <c r="D43" s="188"/>
      <c r="E43" s="188"/>
      <c r="F43" s="189"/>
      <c r="G43" s="2995"/>
    </row>
    <row r="44" spans="1:7" ht="13.5" customHeight="1">
      <c r="A44" s="176" t="s">
        <v>2019</v>
      </c>
      <c r="B44" s="177" t="s">
        <v>2048</v>
      </c>
      <c r="C44" s="188">
        <f ca="1">ROUND(IF('数据-取费表'!B23&lt;=1,C40*F22*'数据-取费表'!B22/2,C40*(POWER((1+F22),'数据-取费表'!B22/2)-1)),4)</f>
        <v>1E-3</v>
      </c>
      <c r="D44" s="188"/>
      <c r="E44" s="188"/>
      <c r="F44" s="189"/>
      <c r="G44" s="2996"/>
    </row>
    <row r="45" spans="1:7" s="175" customFormat="1" ht="13.5" customHeight="1">
      <c r="A45" s="204" t="s">
        <v>2041</v>
      </c>
      <c r="B45" s="194" t="s">
        <v>2053</v>
      </c>
      <c r="C45" s="195">
        <f>C46</f>
        <v>3773250</v>
      </c>
      <c r="D45" s="185">
        <f>C47</f>
        <v>2E-3</v>
      </c>
      <c r="E45" s="186" t="s">
        <v>2075</v>
      </c>
      <c r="F45" s="196"/>
      <c r="G45" s="197" t="s">
        <v>2078</v>
      </c>
    </row>
    <row r="46" spans="1:7" s="175" customFormat="1" ht="13.5" customHeight="1">
      <c r="A46" s="176" t="s">
        <v>2043</v>
      </c>
      <c r="B46" s="198" t="s">
        <v>2079</v>
      </c>
      <c r="C46" s="199">
        <f>ROUND((C33+C39)*F27,0)</f>
        <v>3773250</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2" t="s">
        <v>2052</v>
      </c>
      <c r="B48" s="173" t="s">
        <v>2081</v>
      </c>
      <c r="C48" s="1816">
        <f>ROUND(F30/(1+'数据-取费表'!F30),4)</f>
        <v>5.33E-2</v>
      </c>
      <c r="D48" s="186" t="s">
        <v>2075</v>
      </c>
      <c r="E48" s="183"/>
      <c r="F48" s="187"/>
      <c r="G48" s="184" t="s">
        <v>2082</v>
      </c>
    </row>
    <row r="49" spans="1:7" ht="16.5" customHeight="1">
      <c r="A49" s="1302" t="s">
        <v>2083</v>
      </c>
      <c r="B49" s="173" t="s">
        <v>2084</v>
      </c>
      <c r="C49" s="183">
        <f ca="1">ROUND((C33+C39+C41+C45)/(1-C40-D41-D45-C48),0)</f>
        <v>46874574</v>
      </c>
      <c r="D49" s="183"/>
      <c r="E49" s="183"/>
      <c r="F49" s="210"/>
      <c r="G49" s="184" t="s">
        <v>2085</v>
      </c>
    </row>
    <row r="50" spans="1:7" s="206" customFormat="1" ht="24">
      <c r="A50" s="1302" t="s">
        <v>2086</v>
      </c>
      <c r="B50" s="173" t="s">
        <v>2087</v>
      </c>
      <c r="C50" s="183"/>
      <c r="D50" s="183"/>
      <c r="E50" s="183"/>
      <c r="F50" s="210">
        <f>IF('数据-取费表'!B25=0,'数据-取费表'!E20,1)</f>
        <v>0.77</v>
      </c>
      <c r="G50" s="197" t="s">
        <v>2088</v>
      </c>
    </row>
    <row r="51" spans="1:7" ht="16.5" customHeight="1">
      <c r="A51" s="1302" t="s">
        <v>2089</v>
      </c>
      <c r="B51" s="173" t="s">
        <v>2090</v>
      </c>
      <c r="C51" s="183">
        <f ca="1">ROUND(C49*F50,0)</f>
        <v>36093422</v>
      </c>
      <c r="D51" s="183"/>
      <c r="E51" s="183"/>
      <c r="F51" s="210"/>
      <c r="G51" s="184" t="s">
        <v>2091</v>
      </c>
    </row>
    <row r="52" spans="1:7" s="172" customFormat="1" ht="16.5" thickBot="1">
      <c r="A52" s="211" t="s">
        <v>2092</v>
      </c>
      <c r="B52" s="212"/>
      <c r="C52" s="213">
        <f ca="1">C31+C51</f>
        <v>41365654</v>
      </c>
      <c r="D52" s="212"/>
      <c r="E52" s="212"/>
      <c r="F52" s="212"/>
      <c r="G52" s="214"/>
    </row>
    <row r="55" spans="1:7" ht="15">
      <c r="B55" s="216" t="s">
        <v>2093</v>
      </c>
      <c r="C55" s="217"/>
    </row>
    <row r="56" spans="1:7">
      <c r="B56" s="219" t="s">
        <v>2094</v>
      </c>
      <c r="C56" s="220">
        <f ca="1">ROUND(C51/C52,3)</f>
        <v>0.873</v>
      </c>
    </row>
    <row r="57" spans="1:7">
      <c r="B57" s="219" t="s">
        <v>2095</v>
      </c>
      <c r="C57" s="221">
        <f ca="1">1-C56</f>
        <v>0.127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8" t="s">
        <v>1300</v>
      </c>
      <c r="D1" s="1449"/>
      <c r="E1" s="1208"/>
      <c r="F1" s="1208"/>
      <c r="G1" s="1208"/>
      <c r="H1" s="1208"/>
      <c r="I1" s="1208"/>
      <c r="J1" s="1208"/>
      <c r="K1" s="1208"/>
    </row>
    <row r="2" spans="1:33" s="223" customFormat="1" ht="18" customHeight="1">
      <c r="A2" s="165" t="s">
        <v>1301</v>
      </c>
      <c r="B2" s="168">
        <f ca="1">IF(C2="元",C32,ROUND(C32/10000,0))</f>
        <v>128</v>
      </c>
      <c r="C2" s="1965" t="str">
        <f>'数据-取费表'!B3</f>
        <v>万元</v>
      </c>
      <c r="D2" s="1208"/>
      <c r="E2" s="1208"/>
      <c r="F2" s="1208"/>
      <c r="G2" s="1208"/>
      <c r="H2" s="1208"/>
      <c r="I2" s="1208"/>
      <c r="J2" s="1208"/>
      <c r="K2" s="1208"/>
    </row>
    <row r="3" spans="1:33" s="223" customFormat="1" ht="18" customHeight="1" thickBot="1">
      <c r="A3" s="167" t="s">
        <v>1302</v>
      </c>
      <c r="B3" s="168">
        <f ca="1">ROUND(C32/IF(C1="仅计算典型户型",'数据-取费表'!E5,'数据-取费表'!B5),0)</f>
        <v>26672</v>
      </c>
      <c r="C3" s="1965" t="s">
        <v>1303</v>
      </c>
      <c r="D3" s="1208"/>
      <c r="E3" s="1208"/>
      <c r="F3" s="1208"/>
      <c r="G3" s="1208"/>
      <c r="H3" s="1208"/>
      <c r="I3" s="1208"/>
      <c r="J3" s="1208"/>
      <c r="K3" s="1208"/>
    </row>
    <row r="4" spans="1:33" s="227" customFormat="1" ht="16.5" customHeight="1">
      <c r="A4" s="224" t="s">
        <v>1304</v>
      </c>
      <c r="B4" s="225"/>
      <c r="C4" s="1448">
        <f>SUM(C8:K8)</f>
        <v>1681050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1307</v>
      </c>
      <c r="B6" s="231" t="s">
        <v>1308</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1309</v>
      </c>
      <c r="B7" s="231" t="s">
        <v>1310</v>
      </c>
      <c r="C7" s="234">
        <f>IF(C1="仅计算典型户型",'数据-取费表'!E5,'数据-取费表'!B5)</f>
        <v>48.03</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1311</v>
      </c>
      <c r="B8" s="231" t="s">
        <v>1312</v>
      </c>
      <c r="C8" s="727">
        <f>C6*C7</f>
        <v>1681050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1217</v>
      </c>
      <c r="B11" s="246" t="s">
        <v>1318</v>
      </c>
      <c r="C11" s="247">
        <f>IF(C1="仅计算典型户型",'数据-取费表'!F18,'数据-取费表'!E18)</f>
        <v>105666</v>
      </c>
      <c r="D11" s="248"/>
      <c r="E11" s="70"/>
      <c r="F11" s="249">
        <f>1-'数据-取费表'!E20</f>
        <v>0.22999999999999998</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1218</v>
      </c>
      <c r="B12" s="246" t="s">
        <v>1319</v>
      </c>
      <c r="C12" s="14">
        <f>ROUND(C11*F12,0)</f>
        <v>3170</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1219</v>
      </c>
      <c r="B13" s="246" t="s">
        <v>1321</v>
      </c>
      <c r="C13" s="14">
        <f>ROUND(IF('数据-取费表'!B10="住宅",C11*F13,0),0)</f>
        <v>0</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1220</v>
      </c>
      <c r="B14" s="246" t="s">
        <v>1323</v>
      </c>
      <c r="C14" s="14">
        <f>ROUND(D14*E14*F11,0)</f>
        <v>2209</v>
      </c>
      <c r="D14" s="248">
        <f>IF(C1="仅计算典型户型",'数据-取费表'!E5,'数据-取费表'!B5)</f>
        <v>48.03</v>
      </c>
      <c r="E14" s="14">
        <f>'数据-取费表'!E23</f>
        <v>200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1221</v>
      </c>
      <c r="B15" s="246" t="s">
        <v>1325</v>
      </c>
      <c r="C15" s="259">
        <f>ROUND(C11*F15,0)</f>
        <v>1585</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1327</v>
      </c>
      <c r="B16" s="246" t="s">
        <v>1328</v>
      </c>
      <c r="C16" s="247">
        <f>SUM(C11:C15)</f>
        <v>112630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1329</v>
      </c>
      <c r="B17" s="246" t="s">
        <v>1330</v>
      </c>
      <c r="C17" s="14">
        <f>ROUND(D17*E17,0)</f>
        <v>0</v>
      </c>
      <c r="D17" s="248">
        <f>IF(C1="仅计算典型户型",'数据-取费表'!E5,'数据-取费表'!B5)</f>
        <v>48.03</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1332</v>
      </c>
      <c r="B18" s="246" t="s">
        <v>1333</v>
      </c>
      <c r="C18" s="14">
        <f>C19+C20-'数据-取费表'!E13</f>
        <v>5764</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953</v>
      </c>
      <c r="B19" s="246" t="s">
        <v>1335</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954</v>
      </c>
      <c r="B20" s="246" t="s">
        <v>1336</v>
      </c>
      <c r="C20" s="14">
        <f>ROUND(D20*E20,0)</f>
        <v>5764</v>
      </c>
      <c r="D20" s="248">
        <f>IF('数据-取费表'!B10&lt;&gt;"住宅",IF(C1="仅计算典型户型",'数据-取费表'!E5,'数据-取费表'!B5),0)</f>
        <v>48.03</v>
      </c>
      <c r="E20" s="14">
        <f>'数据-取费表'!E12</f>
        <v>120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1307</v>
      </c>
      <c r="B21" s="261" t="s">
        <v>1337</v>
      </c>
      <c r="C21" s="262">
        <f>C16+C17+C18</f>
        <v>118394</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1309</v>
      </c>
      <c r="B22" s="261" t="s">
        <v>1339</v>
      </c>
      <c r="C22" s="262">
        <f>ROUND(C21*F22,0)</f>
        <v>2368</v>
      </c>
      <c r="D22" s="264"/>
      <c r="E22" s="264"/>
      <c r="F22" s="265">
        <f>'数据-取费表'!E25</f>
        <v>0.02</v>
      </c>
      <c r="G22" s="240" t="s">
        <v>1340</v>
      </c>
      <c r="H22" s="243"/>
      <c r="I22" s="243"/>
      <c r="J22" s="243"/>
      <c r="K22" s="244"/>
      <c r="L22" s="266"/>
      <c r="M22" s="266"/>
      <c r="N22" s="266"/>
    </row>
    <row r="23" spans="1:33" s="250" customFormat="1" ht="13.5" customHeight="1">
      <c r="A23" s="1303" t="s">
        <v>1311</v>
      </c>
      <c r="B23" s="261" t="s">
        <v>1341</v>
      </c>
      <c r="C23" s="262">
        <f>ROUND(C4*F23*F11,0)</f>
        <v>7733</v>
      </c>
      <c r="D23" s="264"/>
      <c r="E23" s="264"/>
      <c r="F23" s="265">
        <f>'数据-取费表'!E26</f>
        <v>0.02</v>
      </c>
      <c r="G23" s="240" t="s">
        <v>1342</v>
      </c>
      <c r="H23" s="243"/>
      <c r="I23" s="243"/>
      <c r="J23" s="243"/>
      <c r="K23" s="244"/>
    </row>
    <row r="24" spans="1:33" s="250" customFormat="1" ht="13.5" customHeight="1">
      <c r="A24" s="1303"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3"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4"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3" t="s">
        <v>1353</v>
      </c>
      <c r="B28" s="282" t="s">
        <v>1354</v>
      </c>
      <c r="C28" s="283">
        <f>C30</f>
        <v>12850</v>
      </c>
      <c r="D28" s="267">
        <f>C29</f>
        <v>0.10290000000000001</v>
      </c>
      <c r="E28" s="273" t="s">
        <v>12</v>
      </c>
      <c r="F28" s="284">
        <f>'数据-取费表'!E28</f>
        <v>0.1</v>
      </c>
      <c r="G28" s="269"/>
      <c r="H28" s="270"/>
      <c r="I28" s="270"/>
      <c r="J28" s="270"/>
      <c r="K28" s="271"/>
    </row>
    <row r="29" spans="1:33" s="288" customFormat="1" ht="13.5" customHeight="1">
      <c r="A29" s="1304" t="s">
        <v>1355</v>
      </c>
      <c r="B29" s="286" t="s">
        <v>1356</v>
      </c>
      <c r="C29" s="277">
        <f>ROUND((1+C24)*F28,4)</f>
        <v>0.10290000000000001</v>
      </c>
      <c r="D29" s="277"/>
      <c r="E29" s="278"/>
      <c r="F29" s="287"/>
      <c r="G29" s="231" t="s">
        <v>1357</v>
      </c>
      <c r="H29" s="254"/>
      <c r="I29" s="254"/>
      <c r="J29" s="254"/>
      <c r="K29" s="255"/>
    </row>
    <row r="30" spans="1:33" s="288" customFormat="1" ht="13.5" customHeight="1">
      <c r="A30" s="1304" t="s">
        <v>1358</v>
      </c>
      <c r="B30" s="286" t="s">
        <v>1359</v>
      </c>
      <c r="C30" s="289">
        <f>ROUND((C21+C22+C23)*F28,0)</f>
        <v>12850</v>
      </c>
      <c r="D30" s="277"/>
      <c r="E30" s="290"/>
      <c r="F30" s="287"/>
      <c r="G30" s="231"/>
      <c r="H30" s="254"/>
      <c r="I30" s="254"/>
      <c r="J30" s="254"/>
      <c r="K30" s="255"/>
    </row>
    <row r="31" spans="1:33" s="266" customFormat="1" ht="13.5" customHeight="1" thickBot="1">
      <c r="A31" s="1967" t="s">
        <v>1360</v>
      </c>
      <c r="B31" s="261" t="s">
        <v>1361</v>
      </c>
      <c r="C31" s="291">
        <f>ROUND(C4*F31/(1+'数据-取费表'!F30),0)</f>
        <v>89656</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1281075</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10" sqref="C10"/>
    </sheetView>
  </sheetViews>
  <sheetFormatPr defaultColWidth="9" defaultRowHeight="14.25"/>
  <cols>
    <col min="1" max="1" width="10.5" style="382" customWidth="1"/>
    <col min="2" max="2" width="15.75" style="382" customWidth="1"/>
    <col min="3" max="3" width="16.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2503</v>
      </c>
      <c r="B1" s="2478" t="s">
        <v>3130</v>
      </c>
      <c r="C1" s="1726" t="s">
        <v>3133</v>
      </c>
      <c r="D1" s="1727"/>
      <c r="E1" s="2380" t="s">
        <v>3138</v>
      </c>
      <c r="F1" s="1728" t="s">
        <v>2335</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f>IF(D2="——",IF(B37="元/平方米",IF(C2="元",ROUND(C39*D3,0),ROUND(C39*D3/10000,0)),IF(C2="元",ROUND(F3*C39,0),ROUND(F3*C39/10000,0))),IF(B37="元/平方米",IF(C2="元",ROUND(C39*D3,0),ROUND(C39*D3/10000,0)),IF(C2="元",ROUND(F3*C39,0),ROUND(F3*C39/10000,0)))-E2)</f>
        <v>30</v>
      </c>
      <c r="C2" s="163" t="str">
        <f>'数据-取费表'!B3</f>
        <v>万元</v>
      </c>
      <c r="D2" s="2382" t="s">
        <v>1251</v>
      </c>
      <c r="E2" s="1211" t="e">
        <f ca="1">SUMIF(INDIRECT("'"&amp;G2&amp;"'"&amp;"!A:A"),"承租人权益价值",INDIRECT("'"&amp;G2&amp;"'"&amp;"!c:c"))</f>
        <v>#REF!</v>
      </c>
      <c r="F2" s="2383" t="str">
        <f>C2</f>
        <v>万元</v>
      </c>
      <c r="G2" s="2384"/>
      <c r="H2" s="979"/>
      <c r="I2" s="979"/>
      <c r="J2" s="979"/>
      <c r="K2" s="981"/>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2007</v>
      </c>
      <c r="B3" s="593">
        <f>IF(AND(D2="——",B37="元/平方米"),C39,ROUND(F3*C39/D3,0))</f>
        <v>6299</v>
      </c>
      <c r="C3" s="379" t="s">
        <v>2336</v>
      </c>
      <c r="D3" s="378">
        <f>IF(C1="仅计算典型户型",'数据-取费表'!E5,'数据-取费表'!B5)</f>
        <v>48.03</v>
      </c>
      <c r="E3" s="1089" t="s">
        <v>2504</v>
      </c>
      <c r="F3" s="379">
        <f>'数据-取费表'!B41</f>
        <v>1</v>
      </c>
      <c r="G3" s="979"/>
      <c r="H3" s="979"/>
      <c r="I3" s="979"/>
      <c r="J3" s="979"/>
      <c r="K3" s="981"/>
      <c r="L3" s="1510"/>
      <c r="M3" s="746"/>
      <c r="N3" s="746"/>
      <c r="O3" s="746"/>
      <c r="P3" s="746"/>
      <c r="Q3" s="746"/>
      <c r="R3" s="746"/>
      <c r="S3" s="746"/>
      <c r="T3" s="746"/>
      <c r="U3" s="746"/>
      <c r="V3" s="746"/>
      <c r="W3" s="746"/>
      <c r="X3" s="746"/>
      <c r="Y3" s="746"/>
      <c r="Z3" s="746"/>
      <c r="AA3" s="746"/>
      <c r="AB3" s="766"/>
      <c r="AC3" s="760"/>
    </row>
    <row r="4" spans="1:29" ht="15">
      <c r="A4" s="380" t="s">
        <v>2337</v>
      </c>
      <c r="B4" s="381"/>
      <c r="C4" s="3009" t="s">
        <v>2338</v>
      </c>
      <c r="D4" s="3010"/>
      <c r="E4" s="3011" t="s">
        <v>2339</v>
      </c>
      <c r="F4" s="3012"/>
      <c r="G4" s="3009" t="s">
        <v>2340</v>
      </c>
      <c r="H4" s="3010"/>
      <c r="I4" s="3009" t="s">
        <v>2341</v>
      </c>
      <c r="J4" s="3010"/>
      <c r="K4" s="594" t="s">
        <v>2342</v>
      </c>
      <c r="L4" s="1511"/>
      <c r="M4" s="425"/>
      <c r="N4" s="425"/>
      <c r="O4" s="425"/>
      <c r="P4" s="3013" t="s">
        <v>2343</v>
      </c>
      <c r="Q4" s="3014"/>
      <c r="R4" s="3019" t="s">
        <v>2339</v>
      </c>
      <c r="S4" s="3020"/>
      <c r="T4" s="3019" t="s">
        <v>2340</v>
      </c>
      <c r="U4" s="3020"/>
      <c r="V4" s="3025" t="s">
        <v>2341</v>
      </c>
      <c r="W4" s="3025"/>
      <c r="X4" s="1896"/>
      <c r="Y4" s="3019" t="s">
        <v>2343</v>
      </c>
      <c r="Z4" s="3020"/>
      <c r="AA4" s="3006" t="s">
        <v>2339</v>
      </c>
      <c r="AB4" s="3007" t="s">
        <v>2340</v>
      </c>
      <c r="AC4" s="3006" t="s">
        <v>2341</v>
      </c>
    </row>
    <row r="5" spans="1:29" ht="15">
      <c r="A5" s="383"/>
      <c r="B5" s="384"/>
      <c r="C5" s="3002" t="s">
        <v>2344</v>
      </c>
      <c r="D5" s="3003"/>
      <c r="E5" s="3026" t="str">
        <f>Sheet2!A6</f>
        <v>当代MOMA</v>
      </c>
      <c r="F5" s="3027"/>
      <c r="G5" s="3002" t="str">
        <f>Sheet2!A15</f>
        <v>世纪兴源大厦</v>
      </c>
      <c r="H5" s="3003"/>
      <c r="I5" s="3125" t="str">
        <f>Sheet2!A33</f>
        <v>建工动力苑</v>
      </c>
      <c r="J5" s="3126"/>
      <c r="K5" s="594"/>
      <c r="L5" s="1511"/>
      <c r="M5" s="425"/>
      <c r="N5" s="425"/>
      <c r="O5" s="425"/>
      <c r="P5" s="3015"/>
      <c r="Q5" s="3016"/>
      <c r="R5" s="3021"/>
      <c r="S5" s="3022"/>
      <c r="T5" s="3021"/>
      <c r="U5" s="3022"/>
      <c r="V5" s="3025"/>
      <c r="W5" s="3025"/>
      <c r="X5" s="1896"/>
      <c r="Y5" s="3021"/>
      <c r="Z5" s="3022"/>
      <c r="AA5" s="3007"/>
      <c r="AB5" s="3007"/>
      <c r="AC5" s="3007"/>
    </row>
    <row r="6" spans="1:29" ht="15.75" thickBot="1">
      <c r="A6" s="385"/>
      <c r="B6" s="386"/>
      <c r="C6" s="2999" t="s">
        <v>2348</v>
      </c>
      <c r="D6" s="3000"/>
      <c r="E6" s="2997" t="s">
        <v>2348</v>
      </c>
      <c r="F6" s="2998"/>
      <c r="G6" s="2999" t="s">
        <v>2348</v>
      </c>
      <c r="H6" s="3000"/>
      <c r="I6" s="2999" t="s">
        <v>2348</v>
      </c>
      <c r="J6" s="3000"/>
      <c r="K6" s="594" t="s">
        <v>2349</v>
      </c>
      <c r="L6" s="1511"/>
      <c r="M6" s="425"/>
      <c r="N6" s="425"/>
      <c r="O6" s="425"/>
      <c r="P6" s="3017"/>
      <c r="Q6" s="3018"/>
      <c r="R6" s="3021"/>
      <c r="S6" s="3022"/>
      <c r="T6" s="3023"/>
      <c r="U6" s="3024"/>
      <c r="V6" s="3025"/>
      <c r="W6" s="3025"/>
      <c r="X6" s="1896"/>
      <c r="Y6" s="3023"/>
      <c r="Z6" s="3024"/>
      <c r="AA6" s="3008"/>
      <c r="AB6" s="3008"/>
      <c r="AC6" s="3008"/>
    </row>
    <row r="7" spans="1:29" s="35" customFormat="1" ht="15.75" thickBot="1">
      <c r="A7" s="387" t="s">
        <v>2350</v>
      </c>
      <c r="B7" s="388"/>
      <c r="C7" s="389">
        <f>'数据-取费表'!B2</f>
        <v>43465</v>
      </c>
      <c r="D7" s="390">
        <v>100</v>
      </c>
      <c r="E7" s="391">
        <v>43435</v>
      </c>
      <c r="F7" s="392">
        <f>SUMIF(48:48,YEAR(E7)&amp;"-"&amp;MONTH(E7),49:49)</f>
        <v>100</v>
      </c>
      <c r="G7" s="391">
        <v>43435</v>
      </c>
      <c r="H7" s="390">
        <f>SUMIF(48:48,YEAR(G7)&amp;"-"&amp;MONTH(G7),49:49)</f>
        <v>100</v>
      </c>
      <c r="I7" s="391">
        <v>43435</v>
      </c>
      <c r="J7" s="390">
        <f>SUMIF(48:48,YEAR(I7)&amp;"-"&amp;MONTH(I7),49:49)</f>
        <v>100</v>
      </c>
      <c r="K7" s="595"/>
      <c r="L7" s="1512"/>
      <c r="M7" s="1513"/>
      <c r="N7" s="1513"/>
      <c r="O7" s="1513"/>
      <c r="P7" s="3004" t="s">
        <v>2351</v>
      </c>
      <c r="Q7" s="3028"/>
      <c r="R7" s="748" t="s">
        <v>25</v>
      </c>
      <c r="S7" s="749">
        <f t="shared" ref="S7:S14" si="0">F7</f>
        <v>100</v>
      </c>
      <c r="T7" s="748" t="s">
        <v>25</v>
      </c>
      <c r="U7" s="749">
        <f t="shared" ref="U7:U14" si="1">H7</f>
        <v>100</v>
      </c>
      <c r="V7" s="748" t="s">
        <v>25</v>
      </c>
      <c r="W7" s="749">
        <f t="shared" ref="W7:W14" si="2">J7</f>
        <v>100</v>
      </c>
      <c r="X7" s="750"/>
      <c r="Y7" s="3004" t="s">
        <v>2351</v>
      </c>
      <c r="Z7" s="3005"/>
      <c r="AA7" s="751">
        <f>D7/F7</f>
        <v>1</v>
      </c>
      <c r="AB7" s="751">
        <f>D7/H7</f>
        <v>1</v>
      </c>
      <c r="AC7" s="751">
        <f>D7/J7</f>
        <v>1</v>
      </c>
    </row>
    <row r="8" spans="1:29" s="35" customFormat="1" ht="15.75" thickBot="1">
      <c r="A8" s="387" t="s">
        <v>2352</v>
      </c>
      <c r="B8" s="388"/>
      <c r="C8" s="394" t="s">
        <v>2353</v>
      </c>
      <c r="D8" s="390">
        <v>100</v>
      </c>
      <c r="E8" s="2745" t="s">
        <v>3139</v>
      </c>
      <c r="F8" s="392">
        <f>SUMIF(51:51,E8,52:52)-SUMIF(51:51,C8,52:52)+100</f>
        <v>100</v>
      </c>
      <c r="G8" s="2745" t="s">
        <v>3139</v>
      </c>
      <c r="H8" s="390">
        <f>SUMIF(51:51,G8,52:52)-SUMIF(51:51,C8,52:52)+100</f>
        <v>100</v>
      </c>
      <c r="I8" s="2745" t="s">
        <v>3140</v>
      </c>
      <c r="J8" s="390">
        <f>SUMIF(51:51,I8,52:52)-SUMIF(51:51,C8,52:52)+100</f>
        <v>100</v>
      </c>
      <c r="K8" s="595"/>
      <c r="L8" s="1512"/>
      <c r="M8" s="1513"/>
      <c r="N8" s="1513"/>
      <c r="O8" s="1513"/>
      <c r="P8" s="3004" t="s">
        <v>2354</v>
      </c>
      <c r="Q8" s="3005"/>
      <c r="R8" s="748" t="s">
        <v>25</v>
      </c>
      <c r="S8" s="749">
        <f t="shared" si="0"/>
        <v>100</v>
      </c>
      <c r="T8" s="748" t="s">
        <v>25</v>
      </c>
      <c r="U8" s="749">
        <f t="shared" si="1"/>
        <v>100</v>
      </c>
      <c r="V8" s="748" t="s">
        <v>25</v>
      </c>
      <c r="W8" s="749">
        <f t="shared" si="2"/>
        <v>100</v>
      </c>
      <c r="X8" s="750"/>
      <c r="Y8" s="3004" t="s">
        <v>2354</v>
      </c>
      <c r="Z8" s="3005"/>
      <c r="AA8" s="751">
        <f t="shared" ref="AA8:AA36" si="3">D8/F8</f>
        <v>1</v>
      </c>
      <c r="AB8" s="751">
        <f t="shared" ref="AB8:AB36" si="4">D8/H8</f>
        <v>1</v>
      </c>
      <c r="AC8" s="751">
        <f t="shared" ref="AC8:AC36" si="5">D8/J8</f>
        <v>1</v>
      </c>
    </row>
    <row r="9" spans="1:29" s="35" customFormat="1">
      <c r="A9" s="25" t="s">
        <v>2355</v>
      </c>
      <c r="B9" s="624" t="s">
        <v>2356</v>
      </c>
      <c r="C9" s="2746" t="s">
        <v>3141</v>
      </c>
      <c r="D9" s="51">
        <v>100</v>
      </c>
      <c r="E9" s="2747" t="s">
        <v>3142</v>
      </c>
      <c r="F9" s="51">
        <f>SUMIF(53:53,E9,54:54)-SUMIF(53:53,C9,54:54)+100</f>
        <v>100</v>
      </c>
      <c r="G9" s="2748" t="s">
        <v>3142</v>
      </c>
      <c r="H9" s="51">
        <f>SUMIF(53:53,G9,54:54)-SUMIF(53:53,C9,54:54)+100</f>
        <v>100</v>
      </c>
      <c r="I9" s="2748" t="s">
        <v>3142</v>
      </c>
      <c r="J9" s="51">
        <f>SUMIF(53:53,I9,54:54)-SUMIF(53:53,C9,54:54)+100</f>
        <v>100</v>
      </c>
      <c r="K9" s="595"/>
      <c r="L9" s="1512"/>
      <c r="M9" s="1513"/>
      <c r="N9" s="1513"/>
      <c r="O9" s="1514"/>
      <c r="P9" s="3001" t="s">
        <v>2357</v>
      </c>
      <c r="Q9" s="1883" t="str">
        <f t="shared" ref="Q9:Q14" si="6">B9</f>
        <v>用途</v>
      </c>
      <c r="R9" s="748" t="s">
        <v>25</v>
      </c>
      <c r="S9" s="749">
        <f t="shared" si="0"/>
        <v>100</v>
      </c>
      <c r="T9" s="748" t="s">
        <v>25</v>
      </c>
      <c r="U9" s="749">
        <f t="shared" si="1"/>
        <v>100</v>
      </c>
      <c r="V9" s="748" t="s">
        <v>25</v>
      </c>
      <c r="W9" s="749">
        <f t="shared" si="2"/>
        <v>100</v>
      </c>
      <c r="X9" s="750"/>
      <c r="Y9" s="2877" t="s">
        <v>2358</v>
      </c>
      <c r="Z9" s="23" t="str">
        <f t="shared" ref="Z9:Z14" si="7">Q9</f>
        <v>用途</v>
      </c>
      <c r="AA9" s="751">
        <f t="shared" si="3"/>
        <v>1</v>
      </c>
      <c r="AB9" s="751">
        <f t="shared" si="4"/>
        <v>1</v>
      </c>
      <c r="AC9" s="751">
        <f t="shared" si="5"/>
        <v>1</v>
      </c>
    </row>
    <row r="10" spans="1:29" s="407" customFormat="1" ht="27">
      <c r="A10" s="625"/>
      <c r="B10" s="3127" t="s">
        <v>2359</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01"/>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626"/>
      <c r="B11" s="627">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01"/>
      <c r="Q11" s="1883">
        <f t="shared" si="6"/>
        <v>111</v>
      </c>
      <c r="R11" s="748" t="s">
        <v>25</v>
      </c>
      <c r="S11" s="749">
        <f t="shared" si="0"/>
        <v>100</v>
      </c>
      <c r="T11" s="748" t="s">
        <v>25</v>
      </c>
      <c r="U11" s="749">
        <f t="shared" si="1"/>
        <v>100</v>
      </c>
      <c r="V11" s="748" t="s">
        <v>25</v>
      </c>
      <c r="W11" s="749">
        <f t="shared" si="2"/>
        <v>100</v>
      </c>
      <c r="X11" s="750"/>
      <c r="Y11" s="2877"/>
      <c r="Z11" s="23">
        <f t="shared" si="7"/>
        <v>111</v>
      </c>
      <c r="AA11" s="751">
        <f t="shared" si="3"/>
        <v>1</v>
      </c>
      <c r="AB11" s="751">
        <f t="shared" si="4"/>
        <v>1</v>
      </c>
      <c r="AC11" s="751">
        <f t="shared" si="5"/>
        <v>1</v>
      </c>
    </row>
    <row r="12" spans="1:29" s="35" customFormat="1" ht="15">
      <c r="A12" s="628"/>
      <c r="B12" s="627">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01"/>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75" thickBot="1">
      <c r="A13" s="629"/>
      <c r="B13" s="627">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01"/>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71.25">
      <c r="A14" s="380" t="s">
        <v>2361</v>
      </c>
      <c r="B14" s="613" t="s">
        <v>2505</v>
      </c>
      <c r="C14" s="1477" t="str">
        <f>IF(B1="工业",估价对象房地状况!G4,估价对象房地状况!C6)</f>
        <v>估价对象周边道路状况、公共交通通达情况、停车便捷程度，综合评价交通便捷度较好</v>
      </c>
      <c r="D14" s="1471">
        <v>100</v>
      </c>
      <c r="E14" s="421"/>
      <c r="F14" s="420">
        <f>SUMIF(63:63,E15,64:64)-SUMIF(63:63,C15,64:64)+100</f>
        <v>98</v>
      </c>
      <c r="G14" s="421"/>
      <c r="H14" s="420">
        <f>SUMIF(63:63,G15,64:64)-SUMIF(63:63,C15,64:64)+100</f>
        <v>98</v>
      </c>
      <c r="I14" s="421"/>
      <c r="J14" s="420">
        <f>SUMIF(63:63,I15,64:64)-SUMIF(63:63,C15,64:64)+100</f>
        <v>98</v>
      </c>
      <c r="K14" s="598">
        <v>2</v>
      </c>
      <c r="L14" s="1519"/>
      <c r="M14" s="425"/>
      <c r="N14" s="425"/>
      <c r="O14" s="1897"/>
      <c r="P14" s="3029" t="s">
        <v>2362</v>
      </c>
      <c r="Q14" s="1895" t="str">
        <f t="shared" si="6"/>
        <v>交通便捷度</v>
      </c>
      <c r="R14" s="752" t="s">
        <v>25</v>
      </c>
      <c r="S14" s="753">
        <f t="shared" si="0"/>
        <v>98</v>
      </c>
      <c r="T14" s="752" t="s">
        <v>25</v>
      </c>
      <c r="U14" s="753">
        <f t="shared" si="1"/>
        <v>98</v>
      </c>
      <c r="V14" s="752" t="s">
        <v>25</v>
      </c>
      <c r="W14" s="753">
        <f t="shared" si="2"/>
        <v>98</v>
      </c>
      <c r="X14" s="1896"/>
      <c r="Y14" s="3029" t="s">
        <v>2362</v>
      </c>
      <c r="Z14" s="1898" t="str">
        <f t="shared" si="7"/>
        <v>交通便捷度</v>
      </c>
      <c r="AA14" s="1899">
        <f t="shared" si="3"/>
        <v>1.0204081632653061</v>
      </c>
      <c r="AB14" s="1899">
        <f t="shared" si="4"/>
        <v>1.0204081632653061</v>
      </c>
      <c r="AC14" s="1899">
        <f t="shared" si="5"/>
        <v>1.0204081632653061</v>
      </c>
    </row>
    <row r="15" spans="1:29" ht="15">
      <c r="A15" s="383"/>
      <c r="B15" s="630"/>
      <c r="C15" s="1478" t="s">
        <v>29</v>
      </c>
      <c r="D15" s="1472"/>
      <c r="E15" s="2758" t="s">
        <v>3241</v>
      </c>
      <c r="F15" s="427"/>
      <c r="G15" s="2759" t="s">
        <v>3241</v>
      </c>
      <c r="H15" s="430"/>
      <c r="I15" s="2758" t="s">
        <v>3241</v>
      </c>
      <c r="J15" s="427"/>
      <c r="K15" s="599"/>
      <c r="L15" s="1519"/>
      <c r="M15" s="425"/>
      <c r="N15" s="425"/>
      <c r="O15" s="1897"/>
      <c r="P15" s="3030"/>
      <c r="Q15" s="1895"/>
      <c r="R15" s="752"/>
      <c r="S15" s="753"/>
      <c r="T15" s="752"/>
      <c r="U15" s="753"/>
      <c r="V15" s="752"/>
      <c r="W15" s="753"/>
      <c r="X15" s="1896"/>
      <c r="Y15" s="3030"/>
      <c r="Z15" s="1898"/>
      <c r="AA15" s="1899">
        <v>1</v>
      </c>
      <c r="AB15" s="1899">
        <v>1</v>
      </c>
      <c r="AC15" s="1899">
        <v>1</v>
      </c>
    </row>
    <row r="16" spans="1:29" ht="42.75">
      <c r="A16" s="383"/>
      <c r="B16" s="615" t="s">
        <v>2477</v>
      </c>
      <c r="C16" s="1479" t="str">
        <f>IF(B1="工业",估价对象房地状况!G5,估价对象房地状况!C7)</f>
        <v>估价对象所在区域公共配套设施齐备情况</v>
      </c>
      <c r="D16" s="1473">
        <v>100</v>
      </c>
      <c r="E16" s="432"/>
      <c r="F16" s="430">
        <f>SUMIF(65:65,E17,66:66)-SUMIF(65:65,C17,66:66)+100</f>
        <v>98</v>
      </c>
      <c r="G16" s="432"/>
      <c r="H16" s="435">
        <f>SUMIF(65:65,G17,66:66)-SUMIF(65:65,C17,66:66)+100</f>
        <v>98</v>
      </c>
      <c r="I16" s="432"/>
      <c r="J16" s="435">
        <f>SUMIF(65:65,I17,66:66)-SUMIF(65:65,C17,66:66)+100</f>
        <v>98</v>
      </c>
      <c r="K16" s="598">
        <v>2</v>
      </c>
      <c r="L16" s="1519"/>
      <c r="M16" s="425"/>
      <c r="N16" s="425"/>
      <c r="O16" s="1897"/>
      <c r="P16" s="3030"/>
      <c r="Q16" s="1895" t="str">
        <f>B16</f>
        <v>公共配套设施</v>
      </c>
      <c r="R16" s="752" t="s">
        <v>25</v>
      </c>
      <c r="S16" s="753">
        <f>F16</f>
        <v>98</v>
      </c>
      <c r="T16" s="752" t="s">
        <v>25</v>
      </c>
      <c r="U16" s="753">
        <f>H16</f>
        <v>98</v>
      </c>
      <c r="V16" s="752" t="s">
        <v>25</v>
      </c>
      <c r="W16" s="753">
        <f>J16</f>
        <v>98</v>
      </c>
      <c r="X16" s="1896"/>
      <c r="Y16" s="3030"/>
      <c r="Z16" s="1898" t="str">
        <f>Q16</f>
        <v>公共配套设施</v>
      </c>
      <c r="AA16" s="1899">
        <f t="shared" si="3"/>
        <v>1.0204081632653061</v>
      </c>
      <c r="AB16" s="1899">
        <f t="shared" si="4"/>
        <v>1.0204081632653061</v>
      </c>
      <c r="AC16" s="1899">
        <f t="shared" si="5"/>
        <v>1.0204081632653061</v>
      </c>
    </row>
    <row r="17" spans="1:29" ht="15">
      <c r="A17" s="383"/>
      <c r="B17" s="616"/>
      <c r="C17" s="1467" t="s">
        <v>29</v>
      </c>
      <c r="D17" s="1473"/>
      <c r="E17" s="2757" t="s">
        <v>3241</v>
      </c>
      <c r="F17" s="430"/>
      <c r="G17" s="2757" t="s">
        <v>3241</v>
      </c>
      <c r="H17" s="427"/>
      <c r="I17" s="2757" t="s">
        <v>3242</v>
      </c>
      <c r="J17" s="427"/>
      <c r="K17" s="599"/>
      <c r="L17" s="1519"/>
      <c r="M17" s="425"/>
      <c r="N17" s="425"/>
      <c r="O17" s="1897"/>
      <c r="P17" s="3030"/>
      <c r="Q17" s="1895"/>
      <c r="R17" s="752"/>
      <c r="S17" s="753"/>
      <c r="T17" s="752"/>
      <c r="U17" s="753"/>
      <c r="V17" s="752"/>
      <c r="W17" s="753"/>
      <c r="X17" s="1896"/>
      <c r="Y17" s="3030"/>
      <c r="Z17" s="1898"/>
      <c r="AA17" s="1899">
        <v>1</v>
      </c>
      <c r="AB17" s="1899">
        <v>1</v>
      </c>
      <c r="AC17" s="1899">
        <v>1</v>
      </c>
    </row>
    <row r="18" spans="1:29" ht="28.5">
      <c r="A18" s="383"/>
      <c r="B18" s="617" t="s">
        <v>2478</v>
      </c>
      <c r="C18" s="1479" t="str">
        <f>IF(B1="工业",估价对象房地状况!G6,估价对象房地状况!C8)</f>
        <v>估价对象所在区域基础设施水平</v>
      </c>
      <c r="D18" s="1473">
        <v>100</v>
      </c>
      <c r="E18" s="432"/>
      <c r="F18" s="430">
        <f>SUMIF(67:67,E19,68:68)-SUMIF(67:67,C19,68:68)+100</f>
        <v>100</v>
      </c>
      <c r="G18" s="432"/>
      <c r="H18" s="435">
        <f>SUMIF(67:67,G19,68:68)-SUMIF(67:67,C19,68:68)+100</f>
        <v>100</v>
      </c>
      <c r="I18" s="432"/>
      <c r="J18" s="435">
        <f>SUMIF(67:67,I19,68:68)-SUMIF(67:67,C19,68:68)+100</f>
        <v>100</v>
      </c>
      <c r="K18" s="598">
        <v>2</v>
      </c>
      <c r="L18" s="1519"/>
      <c r="M18" s="425"/>
      <c r="N18" s="425"/>
      <c r="O18" s="1897"/>
      <c r="P18" s="3030"/>
      <c r="Q18" s="1895" t="str">
        <f>B18</f>
        <v>基础设施水平</v>
      </c>
      <c r="R18" s="752" t="s">
        <v>25</v>
      </c>
      <c r="S18" s="753">
        <f>F18</f>
        <v>100</v>
      </c>
      <c r="T18" s="752" t="s">
        <v>25</v>
      </c>
      <c r="U18" s="753">
        <f>H18</f>
        <v>100</v>
      </c>
      <c r="V18" s="752" t="s">
        <v>25</v>
      </c>
      <c r="W18" s="753">
        <f>J18</f>
        <v>100</v>
      </c>
      <c r="X18" s="1896"/>
      <c r="Y18" s="3030"/>
      <c r="Z18" s="1898" t="str">
        <f>Q18</f>
        <v>基础设施水平</v>
      </c>
      <c r="AA18" s="1899">
        <f t="shared" ref="AA18" si="8">D18/F18</f>
        <v>1</v>
      </c>
      <c r="AB18" s="1899">
        <f t="shared" ref="AB18" si="9">D18/H18</f>
        <v>1</v>
      </c>
      <c r="AC18" s="1899">
        <f t="shared" ref="AC18" si="10">D18/J18</f>
        <v>1</v>
      </c>
    </row>
    <row r="19" spans="1:29" ht="15">
      <c r="A19" s="383"/>
      <c r="B19" s="617"/>
      <c r="C19" s="1468" t="s">
        <v>3239</v>
      </c>
      <c r="D19" s="1473"/>
      <c r="E19" s="2756" t="s">
        <v>3240</v>
      </c>
      <c r="F19" s="430"/>
      <c r="G19" s="2756" t="s">
        <v>3240</v>
      </c>
      <c r="H19" s="427"/>
      <c r="I19" s="2757" t="s">
        <v>3240</v>
      </c>
      <c r="J19" s="427"/>
      <c r="K19" s="1466"/>
      <c r="L19" s="1519"/>
      <c r="M19" s="425"/>
      <c r="N19" s="425"/>
      <c r="O19" s="1897"/>
      <c r="P19" s="3030"/>
      <c r="Q19" s="1895"/>
      <c r="R19" s="752"/>
      <c r="S19" s="753"/>
      <c r="T19" s="752"/>
      <c r="U19" s="753"/>
      <c r="V19" s="752"/>
      <c r="W19" s="753"/>
      <c r="X19" s="1896"/>
      <c r="Y19" s="3030"/>
      <c r="Z19" s="1898"/>
      <c r="AA19" s="1899">
        <v>1</v>
      </c>
      <c r="AB19" s="1899">
        <v>1</v>
      </c>
      <c r="AC19" s="1899">
        <v>1</v>
      </c>
    </row>
    <row r="20" spans="1:29" ht="42.75">
      <c r="A20" s="383"/>
      <c r="B20" s="615" t="s">
        <v>2506</v>
      </c>
      <c r="C20" s="1479" t="str">
        <f>IF(B1="工业",估价对象房地状况!G7,估价对象房地状况!C9)</f>
        <v>区域自然环境：；人文环境；综合评价环境状况一般</v>
      </c>
      <c r="D20" s="1474">
        <v>100</v>
      </c>
      <c r="E20" s="438"/>
      <c r="F20" s="435">
        <f>SUMIF(69:69,E21,70:70)-SUMIF(69:69,C21,70:70)+100</f>
        <v>100</v>
      </c>
      <c r="G20" s="438"/>
      <c r="H20" s="430">
        <f>SUMIF(69:69,G21,70:70)-SUMIF(69:69,C21,70:70)+100</f>
        <v>100</v>
      </c>
      <c r="I20" s="432"/>
      <c r="J20" s="430">
        <f>SUMIF(69:69,I21,70:70)-SUMIF(69:69,C21,70:70)+100</f>
        <v>100</v>
      </c>
      <c r="K20" s="598">
        <v>2</v>
      </c>
      <c r="L20" s="1519"/>
      <c r="M20" s="425"/>
      <c r="N20" s="425"/>
      <c r="O20" s="1897"/>
      <c r="P20" s="3030"/>
      <c r="Q20" s="1895" t="str">
        <f>B20</f>
        <v>自然及人文环境</v>
      </c>
      <c r="R20" s="752" t="s">
        <v>25</v>
      </c>
      <c r="S20" s="753">
        <f>F20</f>
        <v>100</v>
      </c>
      <c r="T20" s="752" t="s">
        <v>25</v>
      </c>
      <c r="U20" s="753">
        <f>H20</f>
        <v>100</v>
      </c>
      <c r="V20" s="752" t="s">
        <v>25</v>
      </c>
      <c r="W20" s="753">
        <f>J20</f>
        <v>100</v>
      </c>
      <c r="X20" s="1896"/>
      <c r="Y20" s="3030"/>
      <c r="Z20" s="1898" t="str">
        <f>Q20</f>
        <v>自然及人文环境</v>
      </c>
      <c r="AA20" s="1899">
        <f t="shared" si="3"/>
        <v>1</v>
      </c>
      <c r="AB20" s="1899">
        <f t="shared" si="4"/>
        <v>1</v>
      </c>
      <c r="AC20" s="1899">
        <f t="shared" si="5"/>
        <v>1</v>
      </c>
    </row>
    <row r="21" spans="1:29" ht="15">
      <c r="A21" s="383"/>
      <c r="B21" s="616"/>
      <c r="C21" s="1478" t="s">
        <v>30</v>
      </c>
      <c r="D21" s="1472"/>
      <c r="E21" s="2758" t="s">
        <v>3241</v>
      </c>
      <c r="F21" s="427"/>
      <c r="G21" s="2759" t="s">
        <v>3241</v>
      </c>
      <c r="H21" s="427"/>
      <c r="I21" s="2758" t="s">
        <v>3241</v>
      </c>
      <c r="J21" s="427"/>
      <c r="K21" s="599"/>
      <c r="L21" s="1519"/>
      <c r="M21" s="425"/>
      <c r="N21" s="425"/>
      <c r="O21" s="1897"/>
      <c r="P21" s="3030"/>
      <c r="Q21" s="1895"/>
      <c r="R21" s="752"/>
      <c r="S21" s="753"/>
      <c r="T21" s="752"/>
      <c r="U21" s="753"/>
      <c r="V21" s="752"/>
      <c r="W21" s="753"/>
      <c r="X21" s="1896"/>
      <c r="Y21" s="3030"/>
      <c r="Z21" s="1898"/>
      <c r="AA21" s="1899">
        <v>1</v>
      </c>
      <c r="AB21" s="1899">
        <v>1</v>
      </c>
      <c r="AC21" s="1899">
        <v>1</v>
      </c>
    </row>
    <row r="22" spans="1:29" ht="15">
      <c r="A22" s="383"/>
      <c r="B22" s="615" t="s">
        <v>2507</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30"/>
      <c r="Q22" s="1895" t="str">
        <f>B22</f>
        <v>楼层</v>
      </c>
      <c r="R22" s="752" t="s">
        <v>25</v>
      </c>
      <c r="S22" s="753">
        <f>F22</f>
        <v>100</v>
      </c>
      <c r="T22" s="752" t="s">
        <v>25</v>
      </c>
      <c r="U22" s="753">
        <f>H22</f>
        <v>100</v>
      </c>
      <c r="V22" s="752" t="s">
        <v>25</v>
      </c>
      <c r="W22" s="753">
        <f>J22</f>
        <v>100</v>
      </c>
      <c r="X22" s="1896"/>
      <c r="Y22" s="3030"/>
      <c r="Z22" s="1898" t="str">
        <f>Q22</f>
        <v>楼层</v>
      </c>
      <c r="AA22" s="1899">
        <f t="shared" si="3"/>
        <v>1</v>
      </c>
      <c r="AB22" s="1899">
        <f t="shared" si="4"/>
        <v>1</v>
      </c>
      <c r="AC22" s="1899">
        <f t="shared" si="5"/>
        <v>1</v>
      </c>
    </row>
    <row r="23" spans="1:29" ht="15">
      <c r="A23" s="383"/>
      <c r="B23" s="631">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30"/>
      <c r="Q23" s="1895">
        <f>B23</f>
        <v>111</v>
      </c>
      <c r="R23" s="752" t="s">
        <v>25</v>
      </c>
      <c r="S23" s="753">
        <f>F23</f>
        <v>100</v>
      </c>
      <c r="T23" s="752" t="s">
        <v>25</v>
      </c>
      <c r="U23" s="753">
        <f>H23</f>
        <v>100</v>
      </c>
      <c r="V23" s="752" t="s">
        <v>25</v>
      </c>
      <c r="W23" s="753">
        <f>J23</f>
        <v>100</v>
      </c>
      <c r="X23" s="1896"/>
      <c r="Y23" s="3030"/>
      <c r="Z23" s="1898">
        <f>Q23</f>
        <v>111</v>
      </c>
      <c r="AA23" s="1899">
        <f t="shared" si="3"/>
        <v>1</v>
      </c>
      <c r="AB23" s="1899">
        <f t="shared" si="4"/>
        <v>1</v>
      </c>
      <c r="AC23" s="1899">
        <f t="shared" si="5"/>
        <v>1</v>
      </c>
    </row>
    <row r="24" spans="1:29" ht="15">
      <c r="A24" s="383"/>
      <c r="B24" s="631">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30"/>
      <c r="Q24" s="1895">
        <f t="shared" ref="Q24:Q36" si="11">B24</f>
        <v>111</v>
      </c>
      <c r="R24" s="752" t="s">
        <v>25</v>
      </c>
      <c r="S24" s="753">
        <f>F24</f>
        <v>100</v>
      </c>
      <c r="T24" s="752" t="s">
        <v>25</v>
      </c>
      <c r="U24" s="753">
        <f>H24</f>
        <v>100</v>
      </c>
      <c r="V24" s="752" t="s">
        <v>25</v>
      </c>
      <c r="W24" s="753">
        <f>J24</f>
        <v>100</v>
      </c>
      <c r="X24" s="1896"/>
      <c r="Y24" s="3030"/>
      <c r="Z24" s="1898">
        <f>Q24</f>
        <v>111</v>
      </c>
      <c r="AA24" s="1899">
        <f t="shared" si="3"/>
        <v>1</v>
      </c>
      <c r="AB24" s="1899">
        <f t="shared" si="4"/>
        <v>1</v>
      </c>
      <c r="AC24" s="1899">
        <f t="shared" si="5"/>
        <v>1</v>
      </c>
    </row>
    <row r="25" spans="1:29" s="35" customFormat="1" ht="15.75" thickBot="1">
      <c r="A25" s="1482"/>
      <c r="B25" s="619">
        <v>111</v>
      </c>
      <c r="C25" s="1481"/>
      <c r="D25" s="1476">
        <v>100</v>
      </c>
      <c r="E25" s="612"/>
      <c r="F25" s="633">
        <f>SUMIF(77:77,E25,78:78)-SUMIF(77:77,C25,78:78)+100</f>
        <v>100</v>
      </c>
      <c r="G25" s="498"/>
      <c r="H25" s="633">
        <f>SUMIF(77:77,G25,78:78)-SUMIF(77:77,C25,78:78)+100</f>
        <v>100</v>
      </c>
      <c r="I25" s="612"/>
      <c r="J25" s="633">
        <f>SUMIF(77:77,I25,78:78)-SUMIF(77:77,C25,78:78)+100</f>
        <v>100</v>
      </c>
      <c r="K25" s="597"/>
      <c r="L25" s="1512"/>
      <c r="M25" s="1513"/>
      <c r="N25" s="1513"/>
      <c r="O25" s="1514"/>
      <c r="P25" s="3030"/>
      <c r="Q25" s="1883">
        <f t="shared" si="11"/>
        <v>111</v>
      </c>
      <c r="R25" s="748" t="s">
        <v>25</v>
      </c>
      <c r="S25" s="749">
        <f>F25</f>
        <v>100</v>
      </c>
      <c r="T25" s="748" t="s">
        <v>25</v>
      </c>
      <c r="U25" s="749">
        <f>H25</f>
        <v>100</v>
      </c>
      <c r="V25" s="748" t="s">
        <v>25</v>
      </c>
      <c r="W25" s="749">
        <f>J25</f>
        <v>100</v>
      </c>
      <c r="X25" s="750"/>
      <c r="Y25" s="3030"/>
      <c r="Z25" s="23">
        <f>Q25</f>
        <v>111</v>
      </c>
      <c r="AA25" s="1899">
        <f>D25/F25</f>
        <v>1</v>
      </c>
      <c r="AB25" s="1899">
        <f>D25/H25</f>
        <v>1</v>
      </c>
      <c r="AC25" s="1899">
        <f>D25/J25</f>
        <v>1</v>
      </c>
    </row>
    <row r="26" spans="1:29" ht="28.5">
      <c r="A26" s="634" t="s">
        <v>2366</v>
      </c>
      <c r="B26" s="27" t="s">
        <v>2508</v>
      </c>
      <c r="C26" s="2760" t="s">
        <v>3243</v>
      </c>
      <c r="D26" s="427">
        <v>100</v>
      </c>
      <c r="E26" s="2758" t="s">
        <v>3244</v>
      </c>
      <c r="F26" s="429">
        <f>SUMIF(79:79,E26,80:80)-SUMIF(79:79,C26,80:80)+100</f>
        <v>98</v>
      </c>
      <c r="G26" s="3124" t="s">
        <v>3245</v>
      </c>
      <c r="H26" s="427">
        <f>SUMIF(79:79,G26,80:80)-SUMIF(79:79,C26,80:80)+100</f>
        <v>98</v>
      </c>
      <c r="I26" s="2758" t="s">
        <v>3246</v>
      </c>
      <c r="J26" s="427">
        <f>SUMIF(79:79,I26,80:80)-SUMIF(79:79,C26,80:80)+100</f>
        <v>98</v>
      </c>
      <c r="K26" s="596">
        <v>2</v>
      </c>
      <c r="L26" s="1519"/>
      <c r="M26" s="425"/>
      <c r="N26" s="425"/>
      <c r="O26" s="1897"/>
      <c r="P26" s="3031" t="s">
        <v>2368</v>
      </c>
      <c r="Q26" s="1895" t="str">
        <f t="shared" si="11"/>
        <v>配套类型</v>
      </c>
      <c r="R26" s="752" t="s">
        <v>25</v>
      </c>
      <c r="S26" s="753">
        <f t="shared" ref="S26:S36" si="12">F26</f>
        <v>98</v>
      </c>
      <c r="T26" s="752" t="s">
        <v>25</v>
      </c>
      <c r="U26" s="753">
        <f t="shared" ref="U26:U36" si="13">H26</f>
        <v>98</v>
      </c>
      <c r="V26" s="752" t="s">
        <v>25</v>
      </c>
      <c r="W26" s="753">
        <f t="shared" ref="W26:W36" si="14">J26</f>
        <v>98</v>
      </c>
      <c r="X26" s="1896"/>
      <c r="Y26" s="3032" t="s">
        <v>2368</v>
      </c>
      <c r="Z26" s="1898" t="str">
        <f t="shared" ref="Z26:Z36" si="15">Q26</f>
        <v>配套类型</v>
      </c>
      <c r="AA26" s="1899">
        <f t="shared" si="3"/>
        <v>1.0204081632653061</v>
      </c>
      <c r="AB26" s="1899">
        <f t="shared" si="4"/>
        <v>1.0204081632653061</v>
      </c>
      <c r="AC26" s="1899">
        <f t="shared" si="5"/>
        <v>1.0204081632653061</v>
      </c>
    </row>
    <row r="27" spans="1:29" s="452" customFormat="1" ht="15">
      <c r="A27" s="635"/>
      <c r="B27" s="636" t="s">
        <v>2509</v>
      </c>
      <c r="C27" s="637"/>
      <c r="D27" s="52">
        <v>100</v>
      </c>
      <c r="E27" s="637"/>
      <c r="F27" s="442">
        <f>SUMIF(81:81,E27,82:82)-SUMIF(81:81,C27,82:82)+100</f>
        <v>100</v>
      </c>
      <c r="G27" s="637"/>
      <c r="H27" s="415">
        <f>SUMIF(81:81,G27,82:82)-SUMIF(81:81,C27,82:82)+100</f>
        <v>100</v>
      </c>
      <c r="I27" s="637"/>
      <c r="J27" s="415">
        <f>SUMIF(81:81,I27,82:82)-SUMIF(81:81,C27,82:82)+100</f>
        <v>100</v>
      </c>
      <c r="K27" s="597"/>
      <c r="L27" s="1518"/>
      <c r="M27" s="1520"/>
      <c r="N27" s="1520"/>
      <c r="O27" s="1521"/>
      <c r="P27" s="3032"/>
      <c r="Q27" s="754" t="str">
        <f t="shared" si="11"/>
        <v>项目停车位配比</v>
      </c>
      <c r="R27" s="755" t="s">
        <v>25</v>
      </c>
      <c r="S27" s="756">
        <f t="shared" si="12"/>
        <v>100</v>
      </c>
      <c r="T27" s="755" t="s">
        <v>25</v>
      </c>
      <c r="U27" s="756">
        <f t="shared" si="13"/>
        <v>100</v>
      </c>
      <c r="V27" s="755" t="s">
        <v>25</v>
      </c>
      <c r="W27" s="756">
        <f t="shared" si="14"/>
        <v>100</v>
      </c>
      <c r="X27" s="757"/>
      <c r="Y27" s="3032"/>
      <c r="Z27" s="758" t="str">
        <f t="shared" si="15"/>
        <v>项目停车位配比</v>
      </c>
      <c r="AA27" s="1899">
        <f t="shared" si="3"/>
        <v>1</v>
      </c>
      <c r="AB27" s="1899">
        <f t="shared" si="4"/>
        <v>1</v>
      </c>
      <c r="AC27" s="1899">
        <f t="shared" si="5"/>
        <v>1</v>
      </c>
    </row>
    <row r="28" spans="1:29" ht="15">
      <c r="A28" s="638"/>
      <c r="B28" s="636" t="s">
        <v>2510</v>
      </c>
      <c r="C28" s="2763" t="s">
        <v>3248</v>
      </c>
      <c r="D28" s="415">
        <v>100</v>
      </c>
      <c r="E28" s="2763" t="s">
        <v>3248</v>
      </c>
      <c r="F28" s="442">
        <f>SUMIF(83:83,E28,84:84)-SUMIF(83:83,C28,84:84)+100</f>
        <v>100</v>
      </c>
      <c r="G28" s="2763" t="s">
        <v>3248</v>
      </c>
      <c r="H28" s="415">
        <f>SUMIF(83:83,G28,84:84)-SUMIF(83:83,C28,84:84)+100</f>
        <v>100</v>
      </c>
      <c r="I28" s="2763" t="s">
        <v>3248</v>
      </c>
      <c r="J28" s="415">
        <f>SUMIF(83:83,I28,84:84)-SUMIF(83:83,C28,84:84)+100</f>
        <v>100</v>
      </c>
      <c r="K28" s="596"/>
      <c r="L28" s="1519"/>
      <c r="M28" s="425"/>
      <c r="N28" s="425"/>
      <c r="O28" s="1897"/>
      <c r="P28" s="3032"/>
      <c r="Q28" s="1895" t="str">
        <f t="shared" si="11"/>
        <v>公共部分装修</v>
      </c>
      <c r="R28" s="752" t="s">
        <v>25</v>
      </c>
      <c r="S28" s="753">
        <f t="shared" si="12"/>
        <v>100</v>
      </c>
      <c r="T28" s="752" t="s">
        <v>25</v>
      </c>
      <c r="U28" s="753">
        <f t="shared" si="13"/>
        <v>100</v>
      </c>
      <c r="V28" s="752" t="s">
        <v>25</v>
      </c>
      <c r="W28" s="753">
        <f t="shared" si="14"/>
        <v>100</v>
      </c>
      <c r="X28" s="1896"/>
      <c r="Y28" s="3032"/>
      <c r="Z28" s="1898" t="str">
        <f t="shared" si="15"/>
        <v>公共部分装修</v>
      </c>
      <c r="AA28" s="1899">
        <f t="shared" si="3"/>
        <v>1</v>
      </c>
      <c r="AB28" s="1899">
        <f t="shared" si="4"/>
        <v>1</v>
      </c>
      <c r="AC28" s="1899">
        <f t="shared" si="5"/>
        <v>1</v>
      </c>
    </row>
    <row r="29" spans="1:29" ht="15">
      <c r="A29" s="638"/>
      <c r="B29" s="3128" t="s">
        <v>2511</v>
      </c>
      <c r="C29" s="2762">
        <f>'数据-取费表'!E20</f>
        <v>0.77</v>
      </c>
      <c r="D29" s="415">
        <v>100</v>
      </c>
      <c r="E29" s="455">
        <v>0.79</v>
      </c>
      <c r="F29" s="442">
        <f>LOOKUP(E29,86:86,87:87)-LOOKUP(C29,86:86,87:87)+100</f>
        <v>100</v>
      </c>
      <c r="G29" s="455">
        <v>0.79</v>
      </c>
      <c r="H29" s="442">
        <f>LOOKUP(G29,86:86,87:87)-LOOKUP(C29,86:86,87:87)+100</f>
        <v>100</v>
      </c>
      <c r="I29" s="455">
        <v>0.79</v>
      </c>
      <c r="J29" s="415">
        <f>LOOKUP(I29,86:86,87:87)-LOOKUP(C29,86:86,87:87)+100</f>
        <v>100</v>
      </c>
      <c r="K29" s="596"/>
      <c r="L29" s="1519"/>
      <c r="M29" s="425"/>
      <c r="N29" s="425"/>
      <c r="O29" s="1897"/>
      <c r="P29" s="3032"/>
      <c r="Q29" s="1895" t="str">
        <f t="shared" si="11"/>
        <v>成新率</v>
      </c>
      <c r="R29" s="752" t="s">
        <v>25</v>
      </c>
      <c r="S29" s="753">
        <f t="shared" si="12"/>
        <v>100</v>
      </c>
      <c r="T29" s="752" t="s">
        <v>25</v>
      </c>
      <c r="U29" s="753">
        <f t="shared" si="13"/>
        <v>100</v>
      </c>
      <c r="V29" s="752" t="s">
        <v>25</v>
      </c>
      <c r="W29" s="753">
        <f t="shared" si="14"/>
        <v>100</v>
      </c>
      <c r="X29" s="1896"/>
      <c r="Y29" s="3032"/>
      <c r="Z29" s="1898" t="str">
        <f t="shared" si="15"/>
        <v>成新率</v>
      </c>
      <c r="AA29" s="1899">
        <f t="shared" si="3"/>
        <v>1</v>
      </c>
      <c r="AB29" s="1899">
        <f t="shared" si="4"/>
        <v>1</v>
      </c>
      <c r="AC29" s="1899">
        <f t="shared" si="5"/>
        <v>1</v>
      </c>
    </row>
    <row r="30" spans="1:29" ht="15">
      <c r="A30" s="638"/>
      <c r="B30" s="636" t="s">
        <v>2512</v>
      </c>
      <c r="C30" s="2764" t="s">
        <v>3249</v>
      </c>
      <c r="D30" s="415">
        <v>100</v>
      </c>
      <c r="E30" s="2764" t="s">
        <v>3249</v>
      </c>
      <c r="F30" s="442">
        <f>SUMIF(88:88,E30,89:89)-SUMIF(88:88,C30,89:89)+100</f>
        <v>100</v>
      </c>
      <c r="G30" s="2764" t="s">
        <v>3249</v>
      </c>
      <c r="H30" s="415">
        <f>SUMIF(88:88,E30,89:89)-SUMIF(88:88,C30,89:89)+100</f>
        <v>100</v>
      </c>
      <c r="I30" s="2764" t="s">
        <v>3249</v>
      </c>
      <c r="J30" s="415">
        <f>SUMIF(88:88,E30,89:89)-SUMIF(88:88,C30,89:89)+100</f>
        <v>100</v>
      </c>
      <c r="K30" s="596"/>
      <c r="L30" s="1519"/>
      <c r="M30" s="425"/>
      <c r="N30" s="425"/>
      <c r="O30" s="1897"/>
      <c r="P30" s="3032"/>
      <c r="Q30" s="1895" t="str">
        <f t="shared" si="11"/>
        <v>物业等级</v>
      </c>
      <c r="R30" s="752" t="s">
        <v>25</v>
      </c>
      <c r="S30" s="753">
        <f t="shared" si="12"/>
        <v>100</v>
      </c>
      <c r="T30" s="752" t="s">
        <v>25</v>
      </c>
      <c r="U30" s="753">
        <f t="shared" si="13"/>
        <v>100</v>
      </c>
      <c r="V30" s="752" t="s">
        <v>25</v>
      </c>
      <c r="W30" s="753">
        <f t="shared" si="14"/>
        <v>100</v>
      </c>
      <c r="X30" s="1896"/>
      <c r="Y30" s="3032"/>
      <c r="Z30" s="1898" t="str">
        <f t="shared" si="15"/>
        <v>物业等级</v>
      </c>
      <c r="AA30" s="1899">
        <f t="shared" si="3"/>
        <v>1</v>
      </c>
      <c r="AB30" s="1899">
        <f t="shared" si="4"/>
        <v>1</v>
      </c>
      <c r="AC30" s="1899">
        <f t="shared" si="5"/>
        <v>1</v>
      </c>
    </row>
    <row r="31" spans="1:29" s="35" customFormat="1" ht="15">
      <c r="A31" s="640"/>
      <c r="B31" s="636" t="s">
        <v>2513</v>
      </c>
      <c r="C31" s="450">
        <f>D3</f>
        <v>48.03</v>
      </c>
      <c r="D31" s="52">
        <v>100</v>
      </c>
      <c r="E31" s="450">
        <v>17</v>
      </c>
      <c r="F31" s="442">
        <f>LOOKUP(E31,91:91,92:92)-LOOKUP(C31,91:91,92:92)+100</f>
        <v>98</v>
      </c>
      <c r="G31" s="450">
        <v>53</v>
      </c>
      <c r="H31" s="415">
        <f>LOOKUP(G31,91:91,92:92)-LOOKUP(C31,91:91,92:92)+100</f>
        <v>101</v>
      </c>
      <c r="I31" s="450">
        <v>36</v>
      </c>
      <c r="J31" s="415">
        <f>LOOKUP(I31,91:91,92:92)-LOOKUP(C31,91:91,92:92)+100</f>
        <v>99</v>
      </c>
      <c r="K31" s="596"/>
      <c r="L31" s="1512"/>
      <c r="M31" s="1513"/>
      <c r="N31" s="1513"/>
      <c r="O31" s="1514"/>
      <c r="P31" s="3032"/>
      <c r="Q31" s="1883" t="str">
        <f t="shared" si="11"/>
        <v>停车位面积</v>
      </c>
      <c r="R31" s="748" t="s">
        <v>25</v>
      </c>
      <c r="S31" s="749">
        <f t="shared" si="12"/>
        <v>98</v>
      </c>
      <c r="T31" s="748" t="s">
        <v>25</v>
      </c>
      <c r="U31" s="749">
        <f t="shared" si="13"/>
        <v>101</v>
      </c>
      <c r="V31" s="748" t="s">
        <v>25</v>
      </c>
      <c r="W31" s="749">
        <f t="shared" si="14"/>
        <v>99</v>
      </c>
      <c r="X31" s="750"/>
      <c r="Y31" s="3032"/>
      <c r="Z31" s="23" t="str">
        <f t="shared" si="15"/>
        <v>停车位面积</v>
      </c>
      <c r="AA31" s="751">
        <f t="shared" si="3"/>
        <v>1.0204081632653061</v>
      </c>
      <c r="AB31" s="751">
        <f t="shared" si="4"/>
        <v>0.99009900990099009</v>
      </c>
      <c r="AC31" s="751">
        <f t="shared" si="5"/>
        <v>1.0101010101010102</v>
      </c>
    </row>
    <row r="32" spans="1:29" ht="15">
      <c r="A32" s="638"/>
      <c r="B32" s="636" t="s">
        <v>2514</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32" t="s">
        <v>2368</v>
      </c>
      <c r="Q32" s="1895" t="str">
        <f t="shared" si="11"/>
        <v>车位类型</v>
      </c>
      <c r="R32" s="752" t="s">
        <v>25</v>
      </c>
      <c r="S32" s="753">
        <f t="shared" si="12"/>
        <v>100</v>
      </c>
      <c r="T32" s="752" t="s">
        <v>25</v>
      </c>
      <c r="U32" s="753">
        <f t="shared" si="13"/>
        <v>100</v>
      </c>
      <c r="V32" s="752" t="s">
        <v>25</v>
      </c>
      <c r="W32" s="753">
        <f t="shared" si="14"/>
        <v>100</v>
      </c>
      <c r="X32" s="1896"/>
      <c r="Y32" s="3032" t="s">
        <v>2368</v>
      </c>
      <c r="Z32" s="1898" t="str">
        <f t="shared" si="15"/>
        <v>车位类型</v>
      </c>
      <c r="AA32" s="1899">
        <f t="shared" si="3"/>
        <v>1</v>
      </c>
      <c r="AB32" s="1899">
        <f t="shared" si="4"/>
        <v>1</v>
      </c>
      <c r="AC32" s="1899">
        <f t="shared" si="5"/>
        <v>1</v>
      </c>
    </row>
    <row r="33" spans="1:29" ht="15">
      <c r="A33" s="638"/>
      <c r="B33" s="636" t="s">
        <v>2515</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32"/>
      <c r="Q33" s="1895" t="str">
        <f t="shared" si="11"/>
        <v>是否直接入户</v>
      </c>
      <c r="R33" s="752" t="s">
        <v>25</v>
      </c>
      <c r="S33" s="753">
        <f t="shared" si="12"/>
        <v>100</v>
      </c>
      <c r="T33" s="752" t="s">
        <v>25</v>
      </c>
      <c r="U33" s="753">
        <f t="shared" si="13"/>
        <v>100</v>
      </c>
      <c r="V33" s="752" t="s">
        <v>25</v>
      </c>
      <c r="W33" s="753">
        <f t="shared" si="14"/>
        <v>100</v>
      </c>
      <c r="X33" s="1896"/>
      <c r="Y33" s="3032"/>
      <c r="Z33" s="1898" t="str">
        <f t="shared" si="15"/>
        <v>是否直接入户</v>
      </c>
      <c r="AA33" s="1899">
        <f t="shared" si="3"/>
        <v>1</v>
      </c>
      <c r="AB33" s="1899">
        <f t="shared" si="4"/>
        <v>1</v>
      </c>
      <c r="AC33" s="1899">
        <f t="shared" si="5"/>
        <v>1</v>
      </c>
    </row>
    <row r="34" spans="1:29" ht="15">
      <c r="A34" s="638"/>
      <c r="B34" s="631">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32"/>
      <c r="Q34" s="1895">
        <f t="shared" si="11"/>
        <v>111</v>
      </c>
      <c r="R34" s="752" t="s">
        <v>25</v>
      </c>
      <c r="S34" s="753">
        <f t="shared" si="12"/>
        <v>100</v>
      </c>
      <c r="T34" s="752" t="s">
        <v>25</v>
      </c>
      <c r="U34" s="753">
        <f t="shared" si="13"/>
        <v>100</v>
      </c>
      <c r="V34" s="752" t="s">
        <v>25</v>
      </c>
      <c r="W34" s="753">
        <f t="shared" si="14"/>
        <v>100</v>
      </c>
      <c r="X34" s="1896"/>
      <c r="Y34" s="3032"/>
      <c r="Z34" s="1898">
        <f t="shared" si="15"/>
        <v>111</v>
      </c>
      <c r="AA34" s="1899">
        <f t="shared" si="3"/>
        <v>1</v>
      </c>
      <c r="AB34" s="1899">
        <f t="shared" si="4"/>
        <v>1</v>
      </c>
      <c r="AC34" s="1899">
        <f t="shared" si="5"/>
        <v>1</v>
      </c>
    </row>
    <row r="35" spans="1:29" s="452" customFormat="1" ht="15">
      <c r="A35" s="635"/>
      <c r="B35" s="631">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32"/>
      <c r="Q35" s="754">
        <f t="shared" si="11"/>
        <v>111</v>
      </c>
      <c r="R35" s="755" t="s">
        <v>25</v>
      </c>
      <c r="S35" s="756">
        <f t="shared" si="12"/>
        <v>100</v>
      </c>
      <c r="T35" s="755" t="s">
        <v>25</v>
      </c>
      <c r="U35" s="756">
        <f t="shared" si="13"/>
        <v>100</v>
      </c>
      <c r="V35" s="755" t="s">
        <v>25</v>
      </c>
      <c r="W35" s="756">
        <f t="shared" si="14"/>
        <v>100</v>
      </c>
      <c r="X35" s="757"/>
      <c r="Y35" s="3032"/>
      <c r="Z35" s="758">
        <f t="shared" si="15"/>
        <v>111</v>
      </c>
      <c r="AA35" s="1899">
        <f t="shared" si="3"/>
        <v>1</v>
      </c>
      <c r="AB35" s="1899">
        <f t="shared" si="4"/>
        <v>1</v>
      </c>
      <c r="AC35" s="1899">
        <f t="shared" si="5"/>
        <v>1</v>
      </c>
    </row>
    <row r="36" spans="1:29" ht="15.75" thickBot="1">
      <c r="A36" s="641"/>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32"/>
      <c r="Q36" s="1895">
        <f t="shared" si="11"/>
        <v>111</v>
      </c>
      <c r="R36" s="752" t="s">
        <v>25</v>
      </c>
      <c r="S36" s="753">
        <f t="shared" si="12"/>
        <v>100</v>
      </c>
      <c r="T36" s="752" t="s">
        <v>25</v>
      </c>
      <c r="U36" s="753">
        <f t="shared" si="13"/>
        <v>100</v>
      </c>
      <c r="V36" s="752" t="s">
        <v>25</v>
      </c>
      <c r="W36" s="753">
        <f t="shared" si="14"/>
        <v>100</v>
      </c>
      <c r="X36" s="1896"/>
      <c r="Y36" s="3032"/>
      <c r="Z36" s="1898">
        <f t="shared" si="15"/>
        <v>111</v>
      </c>
      <c r="AA36" s="1899">
        <f t="shared" si="3"/>
        <v>1</v>
      </c>
      <c r="AB36" s="1899">
        <f t="shared" si="4"/>
        <v>1</v>
      </c>
      <c r="AC36" s="1899">
        <f t="shared" si="5"/>
        <v>1</v>
      </c>
    </row>
    <row r="37" spans="1:29" ht="15">
      <c r="A37" s="460" t="s">
        <v>2516</v>
      </c>
      <c r="B37" s="1090" t="s">
        <v>3233</v>
      </c>
      <c r="C37" s="1499" t="s">
        <v>1</v>
      </c>
      <c r="D37" s="1500"/>
      <c r="E37" s="1501">
        <f>Sheet2!I6*10000</f>
        <v>278800</v>
      </c>
      <c r="F37" s="1502"/>
      <c r="G37" s="1503">
        <f>Sheet2!I15*10000</f>
        <v>300000</v>
      </c>
      <c r="H37" s="1504"/>
      <c r="I37" s="1501">
        <f>Sheet2!I33*10000</f>
        <v>270000</v>
      </c>
      <c r="J37" s="1504"/>
      <c r="K37" s="603"/>
      <c r="L37" s="1522"/>
      <c r="M37" s="737"/>
      <c r="N37" s="425"/>
      <c r="O37" s="737"/>
      <c r="P37" s="3001" t="str">
        <f>A37</f>
        <v>成交单价</v>
      </c>
      <c r="Q37" s="3001"/>
      <c r="R37" s="3033">
        <f>E37</f>
        <v>278800</v>
      </c>
      <c r="S37" s="3033"/>
      <c r="T37" s="3033">
        <f>G37</f>
        <v>300000</v>
      </c>
      <c r="U37" s="3033"/>
      <c r="V37" s="3033">
        <f>I37</f>
        <v>270000</v>
      </c>
      <c r="W37" s="3033"/>
      <c r="X37" s="737"/>
      <c r="Y37" s="759"/>
      <c r="Z37" s="737"/>
      <c r="AA37" s="737"/>
      <c r="AB37" s="737"/>
      <c r="AC37" s="737"/>
    </row>
    <row r="38" spans="1:29" ht="15.75" thickBot="1">
      <c r="A38" s="467" t="s">
        <v>2517</v>
      </c>
      <c r="B38" s="468" t="str">
        <f>B37</f>
        <v>元/车位</v>
      </c>
      <c r="C38" s="1505">
        <f>R39</f>
        <v>302541</v>
      </c>
      <c r="D38" s="1506"/>
      <c r="E38" s="1507">
        <f>R38</f>
        <v>302265</v>
      </c>
      <c r="F38" s="1507"/>
      <c r="G38" s="1505">
        <f>T38</f>
        <v>315589</v>
      </c>
      <c r="H38" s="1506"/>
      <c r="I38" s="1507">
        <f>V38</f>
        <v>289768</v>
      </c>
      <c r="J38" s="1506"/>
      <c r="K38" s="604"/>
      <c r="L38" s="1522"/>
      <c r="M38" s="737"/>
      <c r="N38" s="737"/>
      <c r="O38" s="737"/>
      <c r="P38" s="3001" t="str">
        <f>A38</f>
        <v>比较价值</v>
      </c>
      <c r="Q38" s="3001"/>
      <c r="R38" s="3033">
        <f>IF(E1="售价",ROUND(PRODUCT(R37,AA7:AA36),0),ROUND(PRODUCT(R37,AA7:AA36),1))</f>
        <v>302265</v>
      </c>
      <c r="S38" s="3033"/>
      <c r="T38" s="3033">
        <f>IF(E1="售价",ROUND(PRODUCT(T37,AB7:AB36),0),ROUND(PRODUCT(T37,AB7:AB36),1))</f>
        <v>315589</v>
      </c>
      <c r="U38" s="3033"/>
      <c r="V38" s="3033">
        <f>IF(E1="售价",ROUND(PRODUCT(V37,AC7:AC36),0),ROUND(PRODUCT(V37,AC7:AC36),1))</f>
        <v>289768</v>
      </c>
      <c r="W38" s="3033"/>
      <c r="X38" s="737"/>
      <c r="Y38" s="737"/>
      <c r="Z38" s="737"/>
      <c r="AA38" s="737"/>
      <c r="AB38" s="737"/>
      <c r="AC38" s="737"/>
    </row>
    <row r="39" spans="1:29" ht="15.75" thickBot="1">
      <c r="A39" s="473" t="s">
        <v>2518</v>
      </c>
      <c r="B39" s="474"/>
      <c r="C39" s="1509">
        <f>R39</f>
        <v>302541</v>
      </c>
      <c r="D39" s="1509"/>
      <c r="E39" s="1509"/>
      <c r="F39" s="1509"/>
      <c r="G39" s="1509"/>
      <c r="H39" s="1509"/>
      <c r="I39" s="1509"/>
      <c r="J39" s="1509"/>
      <c r="K39" s="605"/>
      <c r="L39" s="1522"/>
      <c r="M39" s="737"/>
      <c r="N39" s="737"/>
      <c r="O39" s="737"/>
      <c r="P39" s="3034" t="str">
        <f>A39</f>
        <v>估价对象XX用房的比较价值（楼面单价，元/平方米）</v>
      </c>
      <c r="Q39" s="3035"/>
      <c r="R39" s="3036">
        <f>IF(E1="售价",ROUND(AVERAGE(R38:V38),0),ROUND(AVERAGE(R38:V38),1))</f>
        <v>302541</v>
      </c>
      <c r="S39" s="3036"/>
      <c r="T39" s="3036"/>
      <c r="U39" s="3036"/>
      <c r="V39" s="3036"/>
      <c r="W39" s="3036"/>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2519</v>
      </c>
      <c r="D42" s="479"/>
      <c r="E42" s="480">
        <f>IF(E37&lt;E38,E38/E37-1,E37/E38-1)</f>
        <v>8.4164275466284133E-2</v>
      </c>
      <c r="F42" s="481" t="str">
        <f>IF(OR(E42&gt;=0.3,E42&lt;=-0.3),"超过30%","")</f>
        <v/>
      </c>
      <c r="G42" s="480">
        <f>IF(G37&lt;G38,G38/G37-1,G37/G38-1)</f>
        <v>5.1963333333333361E-2</v>
      </c>
      <c r="H42" s="481" t="str">
        <f>IF(OR(G42&gt;=0.3,G42&lt;=-0.3),"超过30%","")</f>
        <v/>
      </c>
      <c r="I42" s="480">
        <f>IF(I37&lt;I38,I38/I37-1,I37/I38-1)</f>
        <v>7.3214814814814844E-2</v>
      </c>
      <c r="J42" s="481" t="str">
        <f>IF(OR(I42&gt;=0.3,I42&lt;=-0.3),"超过30%","")</f>
        <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2520</v>
      </c>
      <c r="D43" s="482"/>
      <c r="E43" s="480">
        <f>IF(E38&lt;G38,G38/E38-1,E38/G38-1)</f>
        <v>4.408052536681395E-2</v>
      </c>
      <c r="F43" s="481" t="str">
        <f>IF(OR(E43&gt;=0.2,E43&lt;=-0.2),"超过20%","")</f>
        <v/>
      </c>
      <c r="G43" s="480">
        <f>IF(G38&lt;I38,I38/G38-1,G38/I38-1)</f>
        <v>8.9109218409210156E-2</v>
      </c>
      <c r="H43" s="481" t="str">
        <f>IF(OR(G43&gt;=0.2,G43&lt;=-0.2),"超过20%","")</f>
        <v/>
      </c>
      <c r="I43" s="480">
        <f>IF(I38&lt;E38,E38/I38-1,I38/E38-1)</f>
        <v>4.3127605532702118E-2</v>
      </c>
      <c r="J43" s="481" t="str">
        <f>IF(OR(I43&gt;=0.2,I43&lt;=-0.2),"超过20%","")</f>
        <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2521</v>
      </c>
      <c r="D44" s="482"/>
      <c r="E44" s="480">
        <f>IF(E37&lt;G37,G37/E37-1,E37/G37-1)</f>
        <v>7.6040172166427444E-2</v>
      </c>
      <c r="F44" s="481" t="str">
        <f>IF(OR(E44&gt;=0.3,E44&lt;=-0.3),"超过30%","")</f>
        <v/>
      </c>
      <c r="G44" s="480">
        <f>IF(G37&lt;I37,I37/G37-1,G37/I37-1)</f>
        <v>0.11111111111111116</v>
      </c>
      <c r="H44" s="481" t="str">
        <f>IF(OR(G44&gt;=0.3,G44&lt;=-0.3),"超过30%","")</f>
        <v/>
      </c>
      <c r="I44" s="480">
        <f>IF(I37&lt;E37,E37/I37-1,I37/E37-1)</f>
        <v>3.2592592592592506E-2</v>
      </c>
      <c r="J44" s="481" t="str">
        <f>IF(OR(I44&gt;=0.3,I44&lt;=-0.3),"超过30%","")</f>
        <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2522</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2523</v>
      </c>
      <c r="B48" s="487"/>
      <c r="C48" s="1675" t="str">
        <f>YEAR(C7)&amp;"-"&amp;MONTH(C7)</f>
        <v>2018-12</v>
      </c>
      <c r="D48" s="1676">
        <f>EDATE(C48,-1)</f>
        <v>43405</v>
      </c>
      <c r="E48" s="1676">
        <f t="shared" ref="E48:O48" si="16">EDATE(D48,-1)</f>
        <v>43374</v>
      </c>
      <c r="F48" s="1676">
        <f t="shared" si="16"/>
        <v>43344</v>
      </c>
      <c r="G48" s="1676">
        <f t="shared" si="16"/>
        <v>43313</v>
      </c>
      <c r="H48" s="1676">
        <f t="shared" si="16"/>
        <v>43282</v>
      </c>
      <c r="I48" s="1676">
        <f t="shared" si="16"/>
        <v>43252</v>
      </c>
      <c r="J48" s="1676">
        <f t="shared" si="16"/>
        <v>43221</v>
      </c>
      <c r="K48" s="1676">
        <f t="shared" si="16"/>
        <v>43191</v>
      </c>
      <c r="L48" s="1676">
        <f t="shared" si="16"/>
        <v>43160</v>
      </c>
      <c r="M48" s="1676">
        <f t="shared" si="16"/>
        <v>43132</v>
      </c>
      <c r="N48" s="1676">
        <f t="shared" si="16"/>
        <v>43101</v>
      </c>
      <c r="O48" s="1676">
        <f t="shared" si="16"/>
        <v>43070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t="str">
        <f>C9</f>
        <v>车库</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2">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98</v>
      </c>
      <c r="E64" s="527">
        <f>D64-$K14</f>
        <v>96</v>
      </c>
      <c r="F64" s="527">
        <f>E64-$K14</f>
        <v>94</v>
      </c>
      <c r="G64" s="527">
        <f>F64-$K14</f>
        <v>92</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98</v>
      </c>
      <c r="E66" s="527">
        <f>D66-$K16</f>
        <v>96</v>
      </c>
      <c r="F66" s="527">
        <f>E66-$K16</f>
        <v>94</v>
      </c>
      <c r="G66" s="527">
        <f>F66-$K16</f>
        <v>92</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4"/>
      <c r="N67" s="520"/>
      <c r="O67" s="520"/>
      <c r="P67" s="22"/>
      <c r="Q67" s="485"/>
    </row>
    <row r="68" spans="1:17" ht="15.75" thickBot="1">
      <c r="A68" s="516"/>
      <c r="B68" s="529"/>
      <c r="C68" s="527">
        <v>100</v>
      </c>
      <c r="D68" s="527">
        <f>C68-$K18</f>
        <v>98</v>
      </c>
      <c r="E68" s="527">
        <f>D68-$K18</f>
        <v>96</v>
      </c>
      <c r="F68" s="527">
        <f>E68-$K18</f>
        <v>94</v>
      </c>
      <c r="G68" s="527">
        <f>F68-$K18</f>
        <v>92</v>
      </c>
      <c r="H68" s="642"/>
      <c r="I68" s="642"/>
      <c r="J68" s="642"/>
      <c r="K68" s="642"/>
      <c r="L68" s="642"/>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98</v>
      </c>
      <c r="E70" s="527">
        <f>D70-$K20</f>
        <v>96</v>
      </c>
      <c r="F70" s="527">
        <f>E70-$K20</f>
        <v>94</v>
      </c>
      <c r="G70" s="527">
        <f>F70-$K20</f>
        <v>92</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t="str">
        <f>C26</f>
        <v>办公车位</v>
      </c>
      <c r="D79" s="2761" t="s">
        <v>3247</v>
      </c>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98</v>
      </c>
      <c r="E80" s="527">
        <f t="shared" si="17"/>
        <v>96</v>
      </c>
      <c r="F80" s="527">
        <f t="shared" si="17"/>
        <v>94</v>
      </c>
      <c r="G80" s="527">
        <f t="shared" si="17"/>
        <v>92</v>
      </c>
      <c r="H80" s="527">
        <f t="shared" si="17"/>
        <v>90</v>
      </c>
      <c r="I80" s="527">
        <f t="shared" si="17"/>
        <v>88</v>
      </c>
      <c r="J80" s="527">
        <f t="shared" si="17"/>
        <v>86</v>
      </c>
      <c r="K80" s="527">
        <f t="shared" si="17"/>
        <v>84</v>
      </c>
      <c r="L80" s="527">
        <f t="shared" si="17"/>
        <v>82</v>
      </c>
      <c r="M80" s="528">
        <f t="shared" si="17"/>
        <v>80</v>
      </c>
      <c r="N80" s="520"/>
      <c r="O80" s="520"/>
      <c r="P80" s="22"/>
      <c r="Q80" s="485"/>
    </row>
    <row r="81" spans="1:17" ht="15.75" thickTop="1">
      <c r="A81" s="516"/>
      <c r="B81" s="521" t="s">
        <v>2526</v>
      </c>
      <c r="C81" s="643"/>
      <c r="D81" s="643"/>
      <c r="E81" s="643"/>
      <c r="F81" s="643"/>
      <c r="G81" s="643"/>
      <c r="H81" s="643"/>
      <c r="I81" s="643"/>
      <c r="J81" s="643"/>
      <c r="K81" s="644"/>
      <c r="L81" s="645"/>
      <c r="M81" s="646"/>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0(含)-30</v>
      </c>
      <c r="D90" s="562" t="str">
        <f t="shared" ref="D90:L90" si="21">D91&amp;"(含)"&amp;"-"&amp;E91</f>
        <v>30(含)-40</v>
      </c>
      <c r="E90" s="562" t="str">
        <f t="shared" si="21"/>
        <v>40(含)-50</v>
      </c>
      <c r="F90" s="562" t="str">
        <f t="shared" si="21"/>
        <v>50(含)-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v>0</v>
      </c>
      <c r="D91" s="579">
        <v>30</v>
      </c>
      <c r="E91" s="579">
        <v>40</v>
      </c>
      <c r="F91" s="579">
        <v>50</v>
      </c>
      <c r="G91" s="579"/>
      <c r="H91" s="579"/>
      <c r="I91" s="579"/>
      <c r="J91" s="580"/>
      <c r="K91" s="580"/>
      <c r="L91" s="581"/>
      <c r="M91" s="582"/>
      <c r="N91" s="541"/>
      <c r="O91" s="541"/>
      <c r="P91" s="542"/>
      <c r="Q91" s="543"/>
    </row>
    <row r="92" spans="1:17" s="452" customFormat="1" ht="15.75" thickBot="1">
      <c r="A92" s="536"/>
      <c r="B92" s="526"/>
      <c r="C92" s="544">
        <v>100</v>
      </c>
      <c r="D92" s="518">
        <v>101</v>
      </c>
      <c r="E92" s="518">
        <v>102</v>
      </c>
      <c r="F92" s="518">
        <v>103</v>
      </c>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132" priority="14" stopIfTrue="1" operator="containsText" text="超过">
      <formula>NOT(ISERROR(SEARCH("超过",F42)))</formula>
    </cfRule>
  </conditionalFormatting>
  <conditionalFormatting sqref="J44">
    <cfRule type="containsText" dxfId="131" priority="13" stopIfTrue="1" operator="containsText" text="超过">
      <formula>NOT(ISERROR(SEARCH("超过",J44)))</formula>
    </cfRule>
  </conditionalFormatting>
  <conditionalFormatting sqref="H44">
    <cfRule type="containsText" dxfId="130" priority="12" stopIfTrue="1" operator="containsText" text="超过">
      <formula>NOT(ISERROR(SEARCH("超过",H44)))</formula>
    </cfRule>
  </conditionalFormatting>
  <conditionalFormatting sqref="F44">
    <cfRule type="containsText" dxfId="129" priority="11" stopIfTrue="1" operator="containsText" text="超过">
      <formula>NOT(ISERROR(SEARCH("超过",F44)))</formula>
    </cfRule>
  </conditionalFormatting>
  <conditionalFormatting sqref="F43 H43 J43">
    <cfRule type="containsText" dxfId="128" priority="10" stopIfTrue="1" operator="containsText" text="超过">
      <formula>NOT(ISERROR(SEARCH("超过",F43)))</formula>
    </cfRule>
  </conditionalFormatting>
  <conditionalFormatting sqref="E42">
    <cfRule type="expression" dxfId="127" priority="9" stopIfTrue="1">
      <formula>$F$42="超过30%"</formula>
    </cfRule>
  </conditionalFormatting>
  <conditionalFormatting sqref="G44">
    <cfRule type="expression" dxfId="126" priority="8" stopIfTrue="1">
      <formula>$H$54+$H$44="超过30%"</formula>
    </cfRule>
  </conditionalFormatting>
  <conditionalFormatting sqref="E43">
    <cfRule type="expression" dxfId="125" priority="7" stopIfTrue="1">
      <formula>$F$43="超过20%"</formula>
    </cfRule>
  </conditionalFormatting>
  <conditionalFormatting sqref="E44">
    <cfRule type="expression" dxfId="124" priority="6" stopIfTrue="1">
      <formula>$F$44="超过30%"</formula>
    </cfRule>
  </conditionalFormatting>
  <conditionalFormatting sqref="G42">
    <cfRule type="expression" dxfId="123" priority="5" stopIfTrue="1">
      <formula>$H$52+$H$42="超过30%"</formula>
    </cfRule>
  </conditionalFormatting>
  <conditionalFormatting sqref="G43">
    <cfRule type="expression" dxfId="122" priority="4" stopIfTrue="1">
      <formula>$H$43="超过20%"</formula>
    </cfRule>
  </conditionalFormatting>
  <conditionalFormatting sqref="I42">
    <cfRule type="expression" dxfId="121" priority="3" stopIfTrue="1">
      <formula>$J$52+$J$42="超过30%"</formula>
    </cfRule>
  </conditionalFormatting>
  <conditionalFormatting sqref="I43">
    <cfRule type="expression" dxfId="120" priority="2" stopIfTrue="1">
      <formula>$J$53+$J$43="超过20%"</formula>
    </cfRule>
  </conditionalFormatting>
  <conditionalFormatting sqref="I44">
    <cfRule type="expression" dxfId="11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946</v>
      </c>
      <c r="B8" s="1183" t="s">
        <v>945</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946</v>
      </c>
      <c r="B11" s="1183" t="s">
        <v>947</v>
      </c>
      <c r="C11" s="1040"/>
    </row>
    <row r="12" spans="1:7">
      <c r="A12" s="1181"/>
      <c r="B12" s="1904">
        <f>项目基本情况!B4</f>
        <v>0</v>
      </c>
      <c r="C12" s="1040"/>
    </row>
    <row r="13" spans="1:7">
      <c r="A13" s="1181"/>
      <c r="B13" s="1074"/>
      <c r="C13" s="1040"/>
    </row>
    <row r="14" spans="1:7">
      <c r="A14" s="1184" t="s">
        <v>946</v>
      </c>
      <c r="B14" s="1183" t="s">
        <v>948</v>
      </c>
      <c r="C14" s="1040"/>
    </row>
    <row r="15" spans="1:7">
      <c r="A15" s="1181"/>
      <c r="B15" s="1904" t="s">
        <v>777</v>
      </c>
      <c r="C15" s="1040"/>
    </row>
    <row r="16" spans="1:7">
      <c r="A16" s="1181"/>
      <c r="B16" s="1074"/>
      <c r="C16" s="1040"/>
    </row>
    <row r="17" spans="1:5">
      <c r="A17" s="1184" t="s">
        <v>946</v>
      </c>
      <c r="B17" s="1183" t="s">
        <v>949</v>
      </c>
      <c r="C17" s="1040"/>
    </row>
    <row r="18" spans="1:5" s="1044" customFormat="1">
      <c r="A18" s="1182"/>
      <c r="B18" s="1904" t="str">
        <f>CONCATENATE(项目基本情况!B3,"（注册号:",项目基本情况!C3,"）、",项目基本情况!D3,"（注册号:",项目基本情况!E3,")")</f>
        <v>注册房地产估价师（注册号:0）、注册房地产估价师（注册号:0)</v>
      </c>
      <c r="C18" s="1043"/>
      <c r="E18" s="1043"/>
    </row>
    <row r="19" spans="1:5">
      <c r="A19" s="1181"/>
      <c r="B19" s="1074"/>
      <c r="C19" s="1040"/>
    </row>
    <row r="20" spans="1:5">
      <c r="A20" s="1184" t="s">
        <v>946</v>
      </c>
      <c r="B20" s="1183" t="s">
        <v>950</v>
      </c>
      <c r="C20" s="1040"/>
    </row>
    <row r="21" spans="1:5">
      <c r="A21" s="1181"/>
      <c r="B21" s="1904" t="str">
        <f>"康正预评字"&amp;项目基本情况!G1&amp;"号"</f>
        <v>康正预评字号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D13" sqref="D1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2096</v>
      </c>
      <c r="B1" s="306"/>
      <c r="C1" s="729"/>
      <c r="D1" s="2702" t="s">
        <v>3133</v>
      </c>
      <c r="E1" s="2703" t="s">
        <v>1251</v>
      </c>
      <c r="F1" s="2704"/>
      <c r="G1" s="2705"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2006</v>
      </c>
      <c r="B2" s="764">
        <f ca="1">IF(C2="元",IF('数据-取费表'!B28="租赁期内按合同租金",C40+L47+J29,C40+L47),ROUND(IF('数据-取费表'!B28="租赁期内按合同租金",(C40+L47+J29)/10000,(C40+L47)/10000),0))</f>
        <v>18</v>
      </c>
      <c r="C2" s="2334" t="str">
        <f>'数据-取费表'!B3</f>
        <v>万元</v>
      </c>
      <c r="D2" s="1211"/>
      <c r="E2" s="1212"/>
      <c r="F2" s="1212"/>
      <c r="G2" s="1237"/>
      <c r="H2" s="728"/>
      <c r="I2" s="1213"/>
      <c r="J2" s="1213"/>
      <c r="K2" s="1214"/>
      <c r="L2" s="1213"/>
      <c r="M2" s="1213"/>
    </row>
    <row r="3" spans="1:37" ht="18" customHeight="1" thickBot="1">
      <c r="A3" s="310" t="s">
        <v>2007</v>
      </c>
      <c r="B3" s="765">
        <f ca="1">ROUND(IF('数据-取费表'!B28="租赁期内按合同租金",(C40+L47+J29)/F43,(C40+L47)/F43),0)</f>
        <v>3707</v>
      </c>
      <c r="C3" s="2334" t="s">
        <v>2097</v>
      </c>
      <c r="D3" s="1211"/>
      <c r="E3" s="1212"/>
      <c r="F3" s="1212"/>
      <c r="G3" s="1237"/>
      <c r="H3" s="311" t="s">
        <v>2098</v>
      </c>
      <c r="I3" s="1213"/>
      <c r="J3" s="1213"/>
      <c r="K3" s="1214"/>
      <c r="L3" s="1213"/>
      <c r="M3" s="1213"/>
    </row>
    <row r="4" spans="1:37" ht="18" customHeight="1">
      <c r="A4" s="312" t="s">
        <v>2099</v>
      </c>
      <c r="B4" s="313" t="s">
        <v>2100</v>
      </c>
      <c r="C4" s="313" t="s">
        <v>2101</v>
      </c>
      <c r="D4" s="313" t="s">
        <v>2102</v>
      </c>
      <c r="E4" s="314" t="s">
        <v>2103</v>
      </c>
      <c r="F4" s="315"/>
      <c r="G4" s="1235"/>
      <c r="H4" s="312" t="s">
        <v>2099</v>
      </c>
      <c r="I4" s="313" t="s">
        <v>2100</v>
      </c>
      <c r="J4" s="313" t="s">
        <v>2101</v>
      </c>
      <c r="K4" s="313" t="s">
        <v>2102</v>
      </c>
      <c r="L4" s="314" t="s">
        <v>2103</v>
      </c>
      <c r="M4" s="315"/>
    </row>
    <row r="5" spans="1:37" ht="18" customHeight="1">
      <c r="A5" s="316">
        <v>1</v>
      </c>
      <c r="B5" s="317" t="s">
        <v>2104</v>
      </c>
      <c r="C5" s="318">
        <f ca="1">C6+C10+C12</f>
        <v>12960</v>
      </c>
      <c r="D5" s="2335" t="s">
        <v>2105</v>
      </c>
      <c r="E5" s="1211"/>
      <c r="F5" s="1380"/>
      <c r="G5" s="1235"/>
      <c r="H5" s="316">
        <v>1</v>
      </c>
      <c r="I5" s="317" t="s">
        <v>2104</v>
      </c>
      <c r="J5" s="318">
        <f ca="1">J6+J10+J12</f>
        <v>0</v>
      </c>
      <c r="K5" s="2335" t="s">
        <v>2105</v>
      </c>
      <c r="L5" s="1211"/>
      <c r="M5" s="1380"/>
    </row>
    <row r="6" spans="1:37" ht="18" customHeight="1">
      <c r="A6" s="1381" t="s">
        <v>2106</v>
      </c>
      <c r="B6" s="2021" t="s">
        <v>2107</v>
      </c>
      <c r="C6" s="318">
        <f>ROUND(F6*F8*F7*(1-F9),0)</f>
        <v>12960</v>
      </c>
      <c r="D6" s="80" t="s">
        <v>2800</v>
      </c>
      <c r="E6" s="319" t="s">
        <v>2108</v>
      </c>
      <c r="F6" s="320">
        <f>'数据-取费表'!B29</f>
        <v>1200</v>
      </c>
      <c r="G6" s="1235"/>
      <c r="H6" s="1381" t="s">
        <v>2106</v>
      </c>
      <c r="I6" s="2021" t="s">
        <v>2107</v>
      </c>
      <c r="J6" s="318">
        <f>ROUND(M6*M8*M7*(1-M9),0)</f>
        <v>0</v>
      </c>
      <c r="K6" s="80" t="s">
        <v>2800</v>
      </c>
      <c r="L6" s="319" t="s">
        <v>2108</v>
      </c>
      <c r="M6" s="320">
        <f>'数据-取费表'!B36</f>
        <v>0</v>
      </c>
    </row>
    <row r="7" spans="1:37" ht="18" customHeight="1">
      <c r="A7" s="1444"/>
      <c r="B7" s="322"/>
      <c r="C7" s="323"/>
      <c r="D7" s="324"/>
      <c r="E7" s="319" t="s">
        <v>2109</v>
      </c>
      <c r="F7" s="320">
        <f>IF('数据-取费表'!B41="",IF(D1="仅计算典型户型",'数据-取费表'!E5,'数据-取费表'!B5),'数据-取费表'!B41)</f>
        <v>1</v>
      </c>
      <c r="G7" s="1235"/>
      <c r="H7" s="321"/>
      <c r="I7" s="322"/>
      <c r="J7" s="323"/>
      <c r="K7" s="324"/>
      <c r="L7" s="319" t="s">
        <v>2109</v>
      </c>
      <c r="M7" s="320">
        <f>IF('数据-取费表'!B41="",IF(D1="仅计算典型户型",'数据-取费表'!E5,'数据-取费表'!B5),'数据-取费表'!B41)</f>
        <v>1</v>
      </c>
    </row>
    <row r="8" spans="1:37" ht="18" customHeight="1">
      <c r="A8" s="1444"/>
      <c r="B8" s="322"/>
      <c r="C8" s="323"/>
      <c r="D8" s="324"/>
      <c r="E8" s="319" t="s">
        <v>2110</v>
      </c>
      <c r="F8" s="320">
        <f>'数据-取费表'!B42</f>
        <v>12</v>
      </c>
      <c r="G8" s="1235"/>
      <c r="H8" s="321"/>
      <c r="I8" s="322"/>
      <c r="J8" s="323"/>
      <c r="K8" s="324"/>
      <c r="L8" s="319" t="s">
        <v>2111</v>
      </c>
      <c r="M8" s="320">
        <f>'数据-取费表'!B42</f>
        <v>12</v>
      </c>
    </row>
    <row r="9" spans="1:37" ht="18" customHeight="1">
      <c r="A9" s="1444"/>
      <c r="B9" s="322"/>
      <c r="C9" s="323"/>
      <c r="D9" s="328"/>
      <c r="E9" s="319" t="s">
        <v>2112</v>
      </c>
      <c r="F9" s="329">
        <f>'数据-取费表'!B32</f>
        <v>0.1</v>
      </c>
      <c r="G9" s="1235"/>
      <c r="H9" s="321"/>
      <c r="I9" s="322"/>
      <c r="J9" s="1383"/>
      <c r="K9" s="95"/>
      <c r="L9" s="330" t="s">
        <v>2112</v>
      </c>
      <c r="M9" s="329">
        <f>'数据-取费表'!B38</f>
        <v>0</v>
      </c>
    </row>
    <row r="10" spans="1:37" ht="18" customHeight="1">
      <c r="A10" s="1381" t="s">
        <v>2113</v>
      </c>
      <c r="B10" s="2336" t="s">
        <v>2114</v>
      </c>
      <c r="C10" s="1382">
        <f ca="1">ROUND(IF(F10="押一",C6/12*F11,IF(F10="押二",C6/12*2*F11,IF(F10="押三",C6/12*3*F11,C11*F11))),0)</f>
        <v>0</v>
      </c>
      <c r="D10" s="2337" t="s">
        <v>2808</v>
      </c>
      <c r="E10" s="330" t="s">
        <v>2115</v>
      </c>
      <c r="F10" s="2338" t="s">
        <v>3135</v>
      </c>
      <c r="G10" s="1235"/>
      <c r="H10" s="1381" t="s">
        <v>2113</v>
      </c>
      <c r="I10" s="2336" t="s">
        <v>2114</v>
      </c>
      <c r="J10" s="1382">
        <f ca="1">ROUND(IF(M10="押一",J6/12*M11,IF(M10="押二",J6/12*2*M11,IF(M10="押三",J6/12*3*M11,J11*M11))),0)</f>
        <v>0</v>
      </c>
      <c r="K10" s="80" t="s">
        <v>2808</v>
      </c>
      <c r="L10" s="330" t="s">
        <v>2115</v>
      </c>
      <c r="M10" s="2338"/>
    </row>
    <row r="11" spans="1:37" s="341" customFormat="1" ht="18" customHeight="1">
      <c r="A11" s="348"/>
      <c r="B11" s="2339" t="s">
        <v>2116</v>
      </c>
      <c r="C11" s="1415"/>
      <c r="D11" s="324"/>
      <c r="E11" s="330" t="s">
        <v>2117</v>
      </c>
      <c r="F11" s="331">
        <f ca="1">'数据-取费表'!B30</f>
        <v>1.4999999999999999E-2</v>
      </c>
      <c r="G11" s="1236"/>
      <c r="H11" s="325"/>
      <c r="I11" s="2339" t="s">
        <v>2118</v>
      </c>
      <c r="J11" s="1415"/>
      <c r="K11" s="324"/>
      <c r="L11" s="330" t="s">
        <v>2117</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2119</v>
      </c>
      <c r="B12" s="2340" t="s">
        <v>2120</v>
      </c>
      <c r="C12" s="1422"/>
      <c r="D12" s="2341"/>
      <c r="E12" s="1428"/>
      <c r="F12" s="1423"/>
      <c r="G12" s="1235"/>
      <c r="H12" s="1421" t="s">
        <v>2119</v>
      </c>
      <c r="I12" s="2340" t="s">
        <v>2120</v>
      </c>
      <c r="J12" s="1422"/>
      <c r="K12" s="1438"/>
      <c r="L12" s="1428"/>
      <c r="M12" s="1439"/>
    </row>
    <row r="13" spans="1:37" s="341" customFormat="1" ht="18" customHeight="1" thickTop="1">
      <c r="A13" s="1417">
        <v>2</v>
      </c>
      <c r="B13" s="1418" t="s">
        <v>2121</v>
      </c>
      <c r="C13" s="327">
        <f ca="1">ROUND(C29*F13,0)</f>
        <v>117110</v>
      </c>
      <c r="D13" s="1419" t="s">
        <v>2122</v>
      </c>
      <c r="E13" s="1419" t="s">
        <v>2123</v>
      </c>
      <c r="F13" s="1420">
        <f>'数据-取费表'!E20</f>
        <v>0.77</v>
      </c>
      <c r="G13" s="1236"/>
      <c r="H13" s="1417">
        <v>2</v>
      </c>
      <c r="I13" s="1418" t="s">
        <v>2121</v>
      </c>
      <c r="J13" s="1383">
        <f ca="1">ROUND(J14*J15,0)</f>
        <v>0</v>
      </c>
      <c r="K13" s="1424" t="s">
        <v>2122</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2124</v>
      </c>
      <c r="B14" s="319" t="s">
        <v>2125</v>
      </c>
      <c r="C14" s="338">
        <f>IF(D1="仅计算典型户型",'数据-取费表'!F18,'数据-取费表'!E18)</f>
        <v>105666</v>
      </c>
      <c r="D14" s="1884" t="s">
        <v>2126</v>
      </c>
      <c r="E14" s="1885"/>
      <c r="F14" s="977"/>
      <c r="G14" s="1236"/>
      <c r="H14" s="337" t="s">
        <v>2106</v>
      </c>
      <c r="I14" s="319" t="s">
        <v>2127</v>
      </c>
      <c r="J14" s="14">
        <f ca="1">C29</f>
        <v>152091</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2128</v>
      </c>
      <c r="B15" s="319" t="s">
        <v>2129</v>
      </c>
      <c r="C15" s="14">
        <f>ROUND(C14*F15,0)</f>
        <v>3170</v>
      </c>
      <c r="D15" s="339" t="s">
        <v>2130</v>
      </c>
      <c r="E15" s="339" t="s">
        <v>2131</v>
      </c>
      <c r="F15" s="340">
        <f>'数据-取费表'!E21</f>
        <v>0.03</v>
      </c>
      <c r="G15" s="1235"/>
      <c r="H15" s="1427" t="s">
        <v>2132</v>
      </c>
      <c r="I15" s="1428" t="s">
        <v>2133</v>
      </c>
      <c r="J15" s="1440">
        <f>'数据-取费表'!B39</f>
        <v>0</v>
      </c>
      <c r="K15" s="1441"/>
      <c r="L15" s="1442"/>
      <c r="M15" s="1443"/>
    </row>
    <row r="16" spans="1:37" s="341" customFormat="1" ht="18" customHeight="1" thickTop="1">
      <c r="A16" s="337" t="s">
        <v>2134</v>
      </c>
      <c r="B16" s="319" t="s">
        <v>2135</v>
      </c>
      <c r="C16" s="14">
        <f>ROUND(C14*F16,0)</f>
        <v>0</v>
      </c>
      <c r="D16" s="319" t="s">
        <v>2130</v>
      </c>
      <c r="E16" s="319" t="s">
        <v>2131</v>
      </c>
      <c r="F16" s="342">
        <f>IF('数据-取费表'!B10="住宅",'数据-取费表'!E22,0)</f>
        <v>0</v>
      </c>
      <c r="G16" s="1236"/>
      <c r="H16" s="1417" t="s">
        <v>14</v>
      </c>
      <c r="I16" s="1418" t="s">
        <v>2136</v>
      </c>
      <c r="J16" s="327">
        <f ca="1">ROUND(J17+J22+J23+J24,0)</f>
        <v>3661</v>
      </c>
      <c r="K16" s="1424" t="s">
        <v>2137</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2138</v>
      </c>
      <c r="B17" s="319" t="s">
        <v>2139</v>
      </c>
      <c r="C17" s="14">
        <f>ROUND(F17*IF(D1="仅计算典型户型",'数据-取费表'!E5,'数据-取费表'!B5),0)</f>
        <v>9606</v>
      </c>
      <c r="D17" s="319" t="s">
        <v>2140</v>
      </c>
      <c r="E17" s="319" t="s">
        <v>2141</v>
      </c>
      <c r="F17" s="16">
        <f>'数据-取费表'!E23</f>
        <v>200</v>
      </c>
      <c r="G17" s="1236"/>
      <c r="H17" s="337" t="s">
        <v>2142</v>
      </c>
      <c r="I17" s="319" t="s">
        <v>2143</v>
      </c>
      <c r="J17" s="14">
        <f ca="1">ROUND(IF(项目基本情况!B7="自然人",J5*M17,J18+J19+J20),0)</f>
        <v>1380</v>
      </c>
      <c r="K17" s="1884" t="s">
        <v>2144</v>
      </c>
      <c r="L17" s="1889" t="s">
        <v>2145</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2146</v>
      </c>
      <c r="B18" s="319" t="s">
        <v>2147</v>
      </c>
      <c r="C18" s="14">
        <f>ROUND(C14*F18,0)</f>
        <v>1585</v>
      </c>
      <c r="D18" s="319" t="s">
        <v>2130</v>
      </c>
      <c r="E18" s="319" t="s">
        <v>2131</v>
      </c>
      <c r="F18" s="342">
        <f>'数据-取费表'!E24</f>
        <v>1.4999999999999999E-2</v>
      </c>
      <c r="G18" s="1235"/>
      <c r="H18" s="337" t="s">
        <v>2148</v>
      </c>
      <c r="I18" s="319" t="s">
        <v>2149</v>
      </c>
      <c r="J18" s="14">
        <f ca="1">IF(项目基本情况!B7="自然人","——",ROUND(J5*M18/(1+'数据-取费表'!F30),0))</f>
        <v>0</v>
      </c>
      <c r="K18" s="1889" t="s">
        <v>2150</v>
      </c>
      <c r="L18" s="319" t="s">
        <v>2131</v>
      </c>
      <c r="M18" s="342">
        <f>'数据-取费表'!E29</f>
        <v>5.6000000000000001E-2</v>
      </c>
    </row>
    <row r="19" spans="1:37" s="341" customFormat="1" ht="18" customHeight="1">
      <c r="A19" s="337" t="s">
        <v>2142</v>
      </c>
      <c r="B19" s="319" t="s">
        <v>2151</v>
      </c>
      <c r="C19" s="14">
        <f>SUM(C14:C18)</f>
        <v>120027</v>
      </c>
      <c r="D19" s="56" t="s">
        <v>2152</v>
      </c>
      <c r="E19" s="1894"/>
      <c r="F19" s="16"/>
      <c r="G19" s="1236"/>
      <c r="H19" s="337" t="s">
        <v>2128</v>
      </c>
      <c r="I19" s="319" t="s">
        <v>2153</v>
      </c>
      <c r="J19" s="14">
        <f ca="1">IF(项目基本情况!B7="自然人","——",IF(K19="按租金收入计税",ROUND(J5*M19,1),ROUND(C29*M19*0.7,1)))</f>
        <v>1277.5999999999999</v>
      </c>
      <c r="K19" s="2010" t="s">
        <v>2154</v>
      </c>
      <c r="L19" s="319" t="s">
        <v>2131</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2113</v>
      </c>
      <c r="B20" s="319" t="s">
        <v>2155</v>
      </c>
      <c r="C20" s="14">
        <f>ROUND(C19*F20,0)</f>
        <v>2401</v>
      </c>
      <c r="D20" s="344" t="s">
        <v>2156</v>
      </c>
      <c r="E20" s="319" t="s">
        <v>2157</v>
      </c>
      <c r="F20" s="342">
        <f>'数据-取费表'!E25</f>
        <v>0.02</v>
      </c>
      <c r="G20" s="1236"/>
      <c r="H20" s="337" t="s">
        <v>2134</v>
      </c>
      <c r="I20" s="80" t="s">
        <v>2158</v>
      </c>
      <c r="J20" s="15">
        <f>IF(项目基本情况!B7="自然人","——",ROUND(M20*M21,0))</f>
        <v>102</v>
      </c>
      <c r="K20" s="346" t="s">
        <v>2159</v>
      </c>
      <c r="L20" s="319" t="s">
        <v>2160</v>
      </c>
      <c r="M20" s="347">
        <f>'数据-取费表'!E40</f>
        <v>30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2161</v>
      </c>
      <c r="B21" s="319" t="s">
        <v>2162</v>
      </c>
      <c r="C21" s="702">
        <f>F21</f>
        <v>0.02</v>
      </c>
      <c r="D21" s="344" t="s">
        <v>2163</v>
      </c>
      <c r="E21" s="319" t="s">
        <v>2164</v>
      </c>
      <c r="F21" s="342">
        <f>'数据-取费表'!E26</f>
        <v>0.02</v>
      </c>
      <c r="G21" s="1235"/>
      <c r="H21" s="348"/>
      <c r="I21" s="328"/>
      <c r="J21" s="19"/>
      <c r="K21" s="349"/>
      <c r="L21" s="319" t="s">
        <v>2165</v>
      </c>
      <c r="M21" s="320">
        <f>IF(D1="仅计算典型户型",'数据-取费表'!E6,'数据-取费表'!B6)</f>
        <v>3.41</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4"/>
      <c r="F22" s="16"/>
      <c r="G22" s="1235"/>
      <c r="H22" s="337" t="s">
        <v>2132</v>
      </c>
      <c r="I22" s="319" t="s">
        <v>2168</v>
      </c>
      <c r="J22" s="14">
        <f ca="1">ROUND(J14*M22,0)</f>
        <v>2281</v>
      </c>
      <c r="K22" s="1889"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5815</v>
      </c>
      <c r="D23" s="2004" t="str">
        <f>IF(F23&lt;=1,"(建造成本+管理费用)×利率×(建设周期÷2)","(建造成本+管理费用)×((1+利率)^(建设周期÷2)-1)")</f>
        <v>(建造成本+管理费用)×((1+利率)^(建设周期÷2)-1)</v>
      </c>
      <c r="E23" s="319" t="s">
        <v>2171</v>
      </c>
      <c r="F23" s="347">
        <f>'数据-取费表'!B21</f>
        <v>2</v>
      </c>
      <c r="G23" s="1235"/>
      <c r="H23" s="337" t="s">
        <v>2161</v>
      </c>
      <c r="I23" s="319" t="s">
        <v>2172</v>
      </c>
      <c r="J23" s="14">
        <f ca="1">ROUND(J13*M23,0)</f>
        <v>0</v>
      </c>
      <c r="K23" s="1889"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4" t="str">
        <f>IF(F23&lt;=1,"销售费用×利率×(建设周期÷2)","销售费用×((1+利率)^(建设周期÷2)-1)")</f>
        <v>销售费用×((1+利率)^(建设周期÷2)-1)</v>
      </c>
      <c r="E24" s="319" t="s">
        <v>2177</v>
      </c>
      <c r="F24" s="352">
        <f ca="1">'数据-取费表'!E27</f>
        <v>4.7500000000000001E-2</v>
      </c>
      <c r="G24" s="1236"/>
      <c r="H24" s="1427" t="s">
        <v>2166</v>
      </c>
      <c r="I24" s="1428" t="s">
        <v>2155</v>
      </c>
      <c r="J24" s="1429">
        <f ca="1">ROUND(J5*M24,0)</f>
        <v>0</v>
      </c>
      <c r="K24" s="1430" t="s">
        <v>2178</v>
      </c>
      <c r="L24" s="1428" t="s">
        <v>2174</v>
      </c>
      <c r="M24" s="1423">
        <f>'数据-取费表'!B46</f>
        <v>0.02</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2179</v>
      </c>
      <c r="B25" s="319" t="s">
        <v>2180</v>
      </c>
      <c r="C25" s="14"/>
      <c r="D25" s="56" t="s">
        <v>2181</v>
      </c>
      <c r="E25" s="1894"/>
      <c r="F25" s="16"/>
      <c r="G25" s="1236"/>
      <c r="H25" s="1417" t="s">
        <v>22</v>
      </c>
      <c r="I25" s="1432" t="s">
        <v>2182</v>
      </c>
      <c r="J25" s="327">
        <f ca="1">J5-J16</f>
        <v>-3661</v>
      </c>
      <c r="K25" s="1433" t="s">
        <v>2183</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2124</v>
      </c>
      <c r="B26" s="319" t="s">
        <v>2184</v>
      </c>
      <c r="C26" s="14">
        <f>ROUND((C19+C20)*F26,0)</f>
        <v>12243</v>
      </c>
      <c r="D26" s="344" t="s">
        <v>2185</v>
      </c>
      <c r="E26" s="330" t="s">
        <v>2186</v>
      </c>
      <c r="F26" s="329">
        <f>'数据-取费表'!E28</f>
        <v>0.1</v>
      </c>
      <c r="G26" s="790"/>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2E-3</v>
      </c>
      <c r="D27" s="344" t="s">
        <v>2192</v>
      </c>
      <c r="E27" s="339"/>
      <c r="F27" s="340"/>
      <c r="G27" s="790"/>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0"/>
      <c r="H28" s="325"/>
      <c r="I28" s="326"/>
      <c r="J28" s="327"/>
      <c r="K28" s="349"/>
      <c r="L28" s="319" t="s">
        <v>2198</v>
      </c>
      <c r="M28" s="329">
        <f>'数据-取费表'!B37</f>
        <v>0</v>
      </c>
    </row>
    <row r="29" spans="1:37" ht="18" customHeight="1" thickBot="1">
      <c r="A29" s="1427" t="s">
        <v>2199</v>
      </c>
      <c r="B29" s="1428" t="s">
        <v>2200</v>
      </c>
      <c r="C29" s="1429">
        <f ca="1">ROUND((C19+C20+C23+C26)/(1-F21-C24-C27-C28),0)</f>
        <v>152091</v>
      </c>
      <c r="D29" s="1430"/>
      <c r="E29" s="1428"/>
      <c r="F29" s="1431"/>
      <c r="G29" s="790"/>
      <c r="H29" s="356" t="s">
        <v>24</v>
      </c>
      <c r="I29" s="357" t="s">
        <v>2201</v>
      </c>
      <c r="J29" s="358">
        <f ca="1">ROUND(J26/(1+F40)^F41,0)</f>
        <v>0</v>
      </c>
      <c r="K29" s="359" t="s">
        <v>2202</v>
      </c>
      <c r="L29" s="360"/>
      <c r="M29" s="361">
        <f>IF(D1="仅计算典型户型",'数据-取费表'!E5,'数据-取费表'!B5)</f>
        <v>48.03</v>
      </c>
    </row>
    <row r="30" spans="1:37" ht="18" customHeight="1" thickTop="1">
      <c r="A30" s="1417" t="s">
        <v>14</v>
      </c>
      <c r="B30" s="1418" t="s">
        <v>2203</v>
      </c>
      <c r="C30" s="327">
        <f ca="1">ROUND(C31+C36+C37+C38,0)</f>
        <v>5064</v>
      </c>
      <c r="D30" s="1424" t="s">
        <v>2204</v>
      </c>
      <c r="E30" s="1425"/>
      <c r="F30" s="1426"/>
      <c r="G30" s="790"/>
      <c r="H30" s="1215"/>
      <c r="I30" s="1216"/>
      <c r="J30" s="1217"/>
      <c r="K30" s="1218"/>
      <c r="L30" s="1219"/>
      <c r="M30" s="1220"/>
    </row>
    <row r="31" spans="1:37" ht="18" customHeight="1">
      <c r="A31" s="337" t="s">
        <v>2106</v>
      </c>
      <c r="B31" s="319" t="s">
        <v>2143</v>
      </c>
      <c r="C31" s="14">
        <f ca="1">ROUND(IF(项目基本情况!B7="自然人",C5*F31,C32+C33+C34),1)</f>
        <v>2348.1999999999998</v>
      </c>
      <c r="D31" s="1884" t="s">
        <v>2205</v>
      </c>
      <c r="E31" s="1889" t="s">
        <v>2206</v>
      </c>
      <c r="F31" s="343" t="str">
        <f>IF(项目基本情况!B7="企业","",IF('数据-取费表'!B10="住宅",5%,IF(F6*F7*F8/12/(1+'数据-取费表'!F30)&gt;20000,12%,7%)))</f>
        <v/>
      </c>
      <c r="G31" s="790"/>
      <c r="H31" s="1215"/>
      <c r="I31" s="1216"/>
      <c r="J31" s="1217"/>
      <c r="K31" s="1218"/>
      <c r="L31" s="1219"/>
      <c r="M31" s="1220"/>
    </row>
    <row r="32" spans="1:37" ht="18" customHeight="1">
      <c r="A32" s="337" t="s">
        <v>2124</v>
      </c>
      <c r="B32" s="319" t="s">
        <v>2207</v>
      </c>
      <c r="C32" s="14">
        <f ca="1">IF(项目基本情况!B7="自然人","——",ROUND(C5*F32/(1+'数据-取费表'!F30),0))</f>
        <v>691</v>
      </c>
      <c r="D32" s="1889" t="s">
        <v>2208</v>
      </c>
      <c r="E32" s="319" t="s">
        <v>2157</v>
      </c>
      <c r="F32" s="352">
        <f>'数据-取费表'!E29</f>
        <v>5.6000000000000001E-2</v>
      </c>
      <c r="G32" s="790"/>
      <c r="H32" s="1221"/>
      <c r="I32" s="1222"/>
      <c r="J32" s="1223"/>
      <c r="K32" s="1224"/>
      <c r="L32" s="1225"/>
      <c r="M32" s="1226"/>
    </row>
    <row r="33" spans="1:18" ht="18" customHeight="1">
      <c r="A33" s="337" t="s">
        <v>2128</v>
      </c>
      <c r="B33" s="319" t="s">
        <v>2153</v>
      </c>
      <c r="C33" s="14">
        <f ca="1">IF(项目基本情况!B7="自然人","——",IF(D33="按租金收入计税",ROUND(C5*F33,1),IF(D33="按房产原值计税",ROUND(C29*F33*0.7,1),'数据-取费表'!B43)))</f>
        <v>1555.2</v>
      </c>
      <c r="D33" s="2010" t="s">
        <v>3134</v>
      </c>
      <c r="E33" s="319" t="s">
        <v>2131</v>
      </c>
      <c r="F33" s="342">
        <f>IF(D33="按票据","——",IF(D33="按租金收入计税",'数据-取费表'!E39,'数据-取费表'!E38))</f>
        <v>0.12</v>
      </c>
      <c r="G33" s="790"/>
      <c r="H33" s="1227"/>
      <c r="I33" s="363" t="s">
        <v>2209</v>
      </c>
      <c r="J33" s="364"/>
      <c r="K33" s="1228"/>
      <c r="L33" s="1227"/>
      <c r="M33" s="1227"/>
    </row>
    <row r="34" spans="1:18" ht="18" customHeight="1">
      <c r="A34" s="1381" t="s">
        <v>2134</v>
      </c>
      <c r="B34" s="80" t="s">
        <v>2158</v>
      </c>
      <c r="C34" s="15">
        <f>IF(项目基本情况!B7="自然人","——",ROUND(F34*F35,0))</f>
        <v>102</v>
      </c>
      <c r="D34" s="346" t="s">
        <v>2159</v>
      </c>
      <c r="E34" s="319" t="s">
        <v>2160</v>
      </c>
      <c r="F34" s="347">
        <f>'数据-取费表'!E40</f>
        <v>30</v>
      </c>
      <c r="G34" s="790"/>
      <c r="H34" s="1215"/>
      <c r="I34" s="365" t="s">
        <v>2210</v>
      </c>
      <c r="J34" s="366">
        <f ca="1">ROUND(C13*J35,0)</f>
        <v>9369</v>
      </c>
      <c r="K34" s="1229"/>
      <c r="L34" s="1230"/>
      <c r="M34" s="1230"/>
    </row>
    <row r="35" spans="1:18" ht="24.6" customHeight="1">
      <c r="A35" s="1385"/>
      <c r="B35" s="328"/>
      <c r="C35" s="19"/>
      <c r="D35" s="349"/>
      <c r="E35" s="319" t="s">
        <v>2165</v>
      </c>
      <c r="F35" s="320">
        <f>IF(D1="仅计算典型户型",'数据-取费表'!E6,'数据-取费表'!B6)</f>
        <v>3.41</v>
      </c>
      <c r="G35" s="790"/>
      <c r="H35" s="1215"/>
      <c r="I35" s="367" t="s">
        <v>2211</v>
      </c>
      <c r="J35" s="368">
        <f>'数据-取费表'!B17</f>
        <v>0.08</v>
      </c>
      <c r="K35" s="1228"/>
      <c r="L35" s="1227"/>
      <c r="M35" s="1227"/>
    </row>
    <row r="36" spans="1:18" ht="18" customHeight="1">
      <c r="A36" s="1384" t="s">
        <v>2113</v>
      </c>
      <c r="B36" s="319" t="s">
        <v>2212</v>
      </c>
      <c r="C36" s="14">
        <f ca="1">ROUND(C29*F36,0)</f>
        <v>2281</v>
      </c>
      <c r="D36" s="1889" t="s">
        <v>2213</v>
      </c>
      <c r="E36" s="319" t="s">
        <v>2157</v>
      </c>
      <c r="F36" s="350">
        <f>'数据-取费表'!B44</f>
        <v>1.4999999999999999E-2</v>
      </c>
      <c r="G36" s="790"/>
      <c r="H36" s="1227"/>
      <c r="I36" s="369" t="s">
        <v>2214</v>
      </c>
      <c r="J36" s="370"/>
      <c r="K36" s="1231"/>
      <c r="L36" s="1227"/>
      <c r="M36" s="1227"/>
    </row>
    <row r="37" spans="1:18" ht="18" customHeight="1">
      <c r="A37" s="337" t="s">
        <v>2161</v>
      </c>
      <c r="B37" s="319" t="s">
        <v>2172</v>
      </c>
      <c r="C37" s="14">
        <f ca="1">ROUND(C13*F37,0)</f>
        <v>176</v>
      </c>
      <c r="D37" s="1889" t="s">
        <v>2173</v>
      </c>
      <c r="E37" s="319" t="s">
        <v>2174</v>
      </c>
      <c r="F37" s="351">
        <f>'数据-取费表'!B45</f>
        <v>1.5E-3</v>
      </c>
      <c r="G37" s="790"/>
      <c r="H37" s="1227"/>
      <c r="I37" s="216" t="s">
        <v>2215</v>
      </c>
      <c r="J37" s="371"/>
      <c r="K37" s="1231"/>
      <c r="L37" s="1227"/>
      <c r="M37" s="1227"/>
    </row>
    <row r="38" spans="1:18" ht="18" customHeight="1" thickBot="1">
      <c r="A38" s="1427" t="s">
        <v>2166</v>
      </c>
      <c r="B38" s="1428" t="s">
        <v>2155</v>
      </c>
      <c r="C38" s="1429">
        <f ca="1">ROUND(C5*F38,0)</f>
        <v>259</v>
      </c>
      <c r="D38" s="1430" t="s">
        <v>2178</v>
      </c>
      <c r="E38" s="1428" t="s">
        <v>2174</v>
      </c>
      <c r="F38" s="1423">
        <f>'数据-取费表'!B46</f>
        <v>0.02</v>
      </c>
      <c r="G38" s="790"/>
      <c r="H38" s="1227"/>
      <c r="I38" s="365" t="s">
        <v>2216</v>
      </c>
      <c r="J38" s="220">
        <f ca="1">ROUND(J34/C39,3)</f>
        <v>1.1870000000000001</v>
      </c>
      <c r="K38" s="1232"/>
      <c r="L38" s="1227"/>
      <c r="M38" s="1227"/>
    </row>
    <row r="39" spans="1:18" ht="18" customHeight="1" thickTop="1">
      <c r="A39" s="1417" t="s">
        <v>22</v>
      </c>
      <c r="B39" s="1432" t="s">
        <v>2217</v>
      </c>
      <c r="C39" s="327">
        <f ca="1">C5-C30</f>
        <v>7896</v>
      </c>
      <c r="D39" s="1433" t="s">
        <v>2218</v>
      </c>
      <c r="E39" s="1434"/>
      <c r="F39" s="1435"/>
      <c r="G39" s="790"/>
      <c r="H39" s="1227"/>
      <c r="I39" s="365" t="s">
        <v>2219</v>
      </c>
      <c r="J39" s="220">
        <f ca="1">1-J38</f>
        <v>-0.18700000000000006</v>
      </c>
      <c r="K39" s="1232"/>
      <c r="L39" s="1227"/>
      <c r="M39" s="1227"/>
    </row>
    <row r="40" spans="1:18" s="790" customFormat="1" ht="18" customHeight="1">
      <c r="A40" s="316" t="s">
        <v>23</v>
      </c>
      <c r="B40" s="317" t="s">
        <v>2220</v>
      </c>
      <c r="C40" s="318">
        <f ca="1">ROUND(C39*(1-((1+F42)/(1+F40))^F41)/(F40-F42),0)</f>
        <v>178060</v>
      </c>
      <c r="D40" s="346" t="s">
        <v>2188</v>
      </c>
      <c r="E40" s="319" t="s">
        <v>2189</v>
      </c>
      <c r="F40" s="329">
        <f>'数据-取费表'!B16</f>
        <v>4.4999999999999998E-2</v>
      </c>
      <c r="H40" s="1233"/>
      <c r="I40" s="216" t="s">
        <v>2221</v>
      </c>
      <c r="J40" s="217"/>
      <c r="K40" s="1232"/>
      <c r="L40" s="1233"/>
      <c r="M40" s="1233"/>
      <c r="Q40" s="794"/>
    </row>
    <row r="41" spans="1:18" s="790" customFormat="1" ht="18" customHeight="1">
      <c r="A41" s="321"/>
      <c r="B41" s="322"/>
      <c r="C41" s="323"/>
      <c r="D41" s="354" t="s">
        <v>2222</v>
      </c>
      <c r="E41" s="1822" t="s">
        <v>2811</v>
      </c>
      <c r="F41" s="355">
        <f>IF('数据-取费表'!B28="租赁期内按合同租金",'数据-取费表'!B34,IF(E41="收益年期(n)",'数据-取费表'!B33,'数据-取费表'!B13))</f>
        <v>34.26</v>
      </c>
      <c r="H41" s="1234"/>
      <c r="I41" s="219" t="s">
        <v>2094</v>
      </c>
      <c r="J41" s="220">
        <f ca="1">ROUND(C13/C40,3)</f>
        <v>0.65800000000000003</v>
      </c>
      <c r="K41" s="1231"/>
      <c r="L41" s="1234"/>
      <c r="M41" s="1234"/>
      <c r="Q41" s="794"/>
    </row>
    <row r="42" spans="1:18" s="790" customFormat="1" ht="18" customHeight="1">
      <c r="A42" s="325"/>
      <c r="B42" s="326"/>
      <c r="C42" s="327"/>
      <c r="D42" s="349"/>
      <c r="E42" s="319" t="s">
        <v>2198</v>
      </c>
      <c r="F42" s="329">
        <f>'数据-取费表'!B31</f>
        <v>0.02</v>
      </c>
      <c r="H42" s="1234"/>
      <c r="I42" s="219" t="s">
        <v>2095</v>
      </c>
      <c r="J42" s="221">
        <f ca="1">1-J41</f>
        <v>0.34199999999999997</v>
      </c>
      <c r="K42" s="1231"/>
      <c r="L42" s="1234"/>
      <c r="M42" s="1234"/>
      <c r="Q42" s="794"/>
    </row>
    <row r="43" spans="1:18" s="790" customFormat="1" ht="18" customHeight="1" thickBot="1">
      <c r="A43" s="356" t="s">
        <v>24</v>
      </c>
      <c r="B43" s="357" t="s">
        <v>2223</v>
      </c>
      <c r="C43" s="358">
        <f ca="1">ROUND(C40/F43,0)</f>
        <v>3707</v>
      </c>
      <c r="D43" s="359" t="s">
        <v>2224</v>
      </c>
      <c r="E43" s="360" t="s">
        <v>2225</v>
      </c>
      <c r="F43" s="361">
        <f>IF(D1="仅计算典型户型",'数据-取费表'!E5,'数据-取费表'!B5)</f>
        <v>48.03</v>
      </c>
      <c r="G43" s="792"/>
      <c r="H43" s="1234"/>
      <c r="I43" s="1234"/>
      <c r="J43" s="1234"/>
      <c r="K43" s="1231"/>
      <c r="L43" s="1234"/>
      <c r="M43" s="1234"/>
      <c r="O43" s="1358" t="s">
        <v>2226</v>
      </c>
      <c r="P43" s="1359"/>
      <c r="Q43" s="1355"/>
      <c r="R43" s="1359"/>
    </row>
    <row r="44" spans="1:18" s="790" customFormat="1" ht="18" customHeight="1" thickBot="1">
      <c r="A44" s="775"/>
      <c r="B44" s="775"/>
      <c r="C44" s="789"/>
      <c r="D44" s="775"/>
      <c r="E44" s="775"/>
      <c r="F44" s="775"/>
      <c r="G44" s="792"/>
      <c r="K44" s="791"/>
      <c r="O44" s="1360" t="s">
        <v>2227</v>
      </c>
      <c r="P44" s="1361" t="s">
        <v>2228</v>
      </c>
      <c r="Q44" s="1362" t="s">
        <v>2229</v>
      </c>
      <c r="R44" s="1363" t="s">
        <v>2230</v>
      </c>
    </row>
    <row r="45" spans="1:18" s="790" customFormat="1" ht="18" customHeight="1" thickBot="1">
      <c r="A45" s="775"/>
      <c r="B45" s="775"/>
      <c r="C45" s="789"/>
      <c r="D45" s="775"/>
      <c r="E45" s="775"/>
      <c r="F45" s="775"/>
      <c r="G45" s="793"/>
      <c r="K45" s="791"/>
      <c r="O45" s="1364" t="s">
        <v>955</v>
      </c>
      <c r="P45" s="1365" t="s">
        <v>2231</v>
      </c>
      <c r="Q45" s="1366">
        <f ca="1">C40+J29</f>
        <v>178060</v>
      </c>
      <c r="R45" s="1367" t="s">
        <v>2232</v>
      </c>
    </row>
    <row r="46" spans="1:18" s="790" customFormat="1" ht="18" customHeight="1" thickBot="1">
      <c r="A46" s="775"/>
      <c r="D46" s="775"/>
      <c r="E46" s="775"/>
      <c r="F46" s="775"/>
      <c r="K46" s="791"/>
      <c r="O46" s="1364" t="s">
        <v>956</v>
      </c>
      <c r="P46" s="1365" t="s">
        <v>2233</v>
      </c>
      <c r="Q46" s="1366" t="str">
        <f>J61</f>
        <v>0</v>
      </c>
      <c r="R46" s="1367" t="s">
        <v>2234</v>
      </c>
    </row>
    <row r="47" spans="1:18" s="790" customFormat="1" ht="21.75" thickBot="1">
      <c r="A47" s="2342" t="s">
        <v>2235</v>
      </c>
      <c r="C47" s="1300">
        <f ca="1">IF(C2="元",C69-C40,ROUND((C69-C40)/10000,0))</f>
        <v>-44</v>
      </c>
      <c r="D47" s="2343" t="str">
        <f>C2</f>
        <v>万元</v>
      </c>
      <c r="E47" s="775"/>
      <c r="F47" s="775"/>
      <c r="I47" s="2344" t="s">
        <v>2236</v>
      </c>
      <c r="J47" s="1340"/>
      <c r="K47" s="1341"/>
      <c r="L47" s="1354" t="str">
        <f>IF(M48="住宅",0,IF(L49&gt;J52,L61,J61))</f>
        <v>0</v>
      </c>
      <c r="O47" s="1368" t="s">
        <v>957</v>
      </c>
      <c r="P47" s="1365" t="s">
        <v>2237</v>
      </c>
      <c r="Q47" s="1366">
        <f ca="1">C29</f>
        <v>152091</v>
      </c>
      <c r="R47" s="1367" t="s">
        <v>2232</v>
      </c>
    </row>
    <row r="48" spans="1:18" s="790" customFormat="1" ht="15.75" thickBot="1">
      <c r="A48" s="312" t="s">
        <v>2238</v>
      </c>
      <c r="B48" s="313" t="s">
        <v>2239</v>
      </c>
      <c r="C48" s="313" t="s">
        <v>2240</v>
      </c>
      <c r="D48" s="313" t="s">
        <v>2241</v>
      </c>
      <c r="E48" s="1294" t="s">
        <v>2242</v>
      </c>
      <c r="F48" s="1295"/>
      <c r="I48" s="2345" t="s">
        <v>2243</v>
      </c>
      <c r="J48" s="2346" t="s">
        <v>3136</v>
      </c>
      <c r="K48" s="2347" t="s">
        <v>2244</v>
      </c>
      <c r="L48" s="1342">
        <f>'数据-取费表'!B11</f>
        <v>50</v>
      </c>
      <c r="M48" s="1355" t="str">
        <f>IF('数据-取费表'!B10="住宅","住宅","非住宅")</f>
        <v>非住宅</v>
      </c>
      <c r="O48" s="1368" t="s">
        <v>958</v>
      </c>
      <c r="P48" s="1365" t="s">
        <v>2245</v>
      </c>
      <c r="Q48" s="1369" t="e">
        <f>J59</f>
        <v>#VALUE!</v>
      </c>
      <c r="R48" s="1367"/>
    </row>
    <row r="49" spans="1:18" s="790" customFormat="1" ht="15.75" thickBot="1">
      <c r="A49" s="1454" t="s">
        <v>1028</v>
      </c>
      <c r="B49" s="317" t="s">
        <v>2246</v>
      </c>
      <c r="C49" s="1455">
        <f ca="1">C50+C54+C56</f>
        <v>0</v>
      </c>
      <c r="D49" s="1456"/>
      <c r="E49" s="101"/>
      <c r="F49" s="16"/>
      <c r="I49" s="2348" t="s">
        <v>2247</v>
      </c>
      <c r="J49" s="2349" t="s">
        <v>3137</v>
      </c>
      <c r="K49" s="2350" t="s">
        <v>2248</v>
      </c>
      <c r="L49" s="1125">
        <f>'数据-取费表'!B13</f>
        <v>34.26</v>
      </c>
      <c r="O49" s="1368" t="s">
        <v>959</v>
      </c>
      <c r="P49" s="1365" t="s">
        <v>2249</v>
      </c>
      <c r="Q49" s="1369">
        <f>J53</f>
        <v>8.5000000000000006E-2</v>
      </c>
      <c r="R49" s="1367"/>
    </row>
    <row r="50" spans="1:18" s="790" customFormat="1" ht="15.75" thickBot="1">
      <c r="A50" s="345" t="s">
        <v>2106</v>
      </c>
      <c r="B50" s="2021" t="s">
        <v>2250</v>
      </c>
      <c r="C50" s="318">
        <f>ROUND(F50*F52*F51*(1-F53),0)</f>
        <v>0</v>
      </c>
      <c r="D50" s="93" t="s">
        <v>2801</v>
      </c>
      <c r="E50" s="2351" t="s">
        <v>2251</v>
      </c>
      <c r="F50" s="1296"/>
      <c r="I50" s="2348" t="s">
        <v>2252</v>
      </c>
      <c r="J50" s="1125">
        <f>'数据-取费表'!B26</f>
        <v>2005</v>
      </c>
      <c r="K50" s="2352" t="s">
        <v>2253</v>
      </c>
      <c r="L50" s="1343"/>
      <c r="O50" s="1368" t="s">
        <v>960</v>
      </c>
      <c r="P50" s="1365" t="s">
        <v>2254</v>
      </c>
      <c r="Q50" s="1366">
        <f>J54</f>
        <v>34.26</v>
      </c>
      <c r="R50" s="1367" t="s">
        <v>2255</v>
      </c>
    </row>
    <row r="51" spans="1:18" s="790" customFormat="1" ht="15.75" thickBot="1">
      <c r="A51" s="321"/>
      <c r="B51" s="322"/>
      <c r="C51" s="323"/>
      <c r="D51" s="324"/>
      <c r="E51" s="339" t="s">
        <v>2109</v>
      </c>
      <c r="F51" s="1293">
        <f>F7</f>
        <v>1</v>
      </c>
      <c r="I51" s="2348" t="s">
        <v>2256</v>
      </c>
      <c r="J51" s="1344">
        <f>SUMPRODUCT((I64:I66=J48)*(J63:L63=J49)*(J64:L66))</f>
        <v>60</v>
      </c>
      <c r="K51" s="2352" t="s">
        <v>2257</v>
      </c>
      <c r="L51" s="1343"/>
      <c r="O51" s="1364" t="s">
        <v>961</v>
      </c>
      <c r="P51" s="1365" t="str">
        <f>IF(C2="元","收益价值(元)","收益价值(万元)")</f>
        <v>收益价值(万元)</v>
      </c>
      <c r="Q51" s="1366">
        <f ca="1">ROUND(IF(C2="元",Q45+Q46,(Q45+Q46)/10000),0)</f>
        <v>18</v>
      </c>
      <c r="R51" s="1367" t="s">
        <v>962</v>
      </c>
    </row>
    <row r="52" spans="1:18" s="790" customFormat="1" ht="16.5" thickBot="1">
      <c r="A52" s="321"/>
      <c r="B52" s="322"/>
      <c r="C52" s="323"/>
      <c r="D52" s="324"/>
      <c r="E52" s="319" t="s">
        <v>2111</v>
      </c>
      <c r="F52" s="320">
        <f>F8</f>
        <v>12</v>
      </c>
      <c r="I52" s="2353" t="s">
        <v>2258</v>
      </c>
      <c r="J52" s="1345">
        <f>IF(J50="",J51,J50+J51-YEAR('数据-取费表'!B2))</f>
        <v>47</v>
      </c>
      <c r="K52" s="2354" t="s">
        <v>2259</v>
      </c>
      <c r="L52" s="1346">
        <f ca="1">ROUND(-PV('数据-取费表'!B15,L49,(C40-C13*J35)),0)</f>
        <v>3117084</v>
      </c>
      <c r="O52" s="1358" t="s">
        <v>2260</v>
      </c>
      <c r="P52" s="1359"/>
      <c r="Q52" s="1355"/>
      <c r="R52" s="1359"/>
    </row>
    <row r="53" spans="1:18" s="790" customFormat="1" ht="15.75" thickBot="1">
      <c r="A53" s="325"/>
      <c r="B53" s="326"/>
      <c r="C53" s="327"/>
      <c r="D53" s="328"/>
      <c r="E53" s="319" t="s">
        <v>2112</v>
      </c>
      <c r="F53" s="1353"/>
      <c r="I53" s="2355" t="s">
        <v>2261</v>
      </c>
      <c r="J53" s="1347">
        <v>8.5000000000000006E-2</v>
      </c>
      <c r="K53" s="2355" t="s">
        <v>2262</v>
      </c>
      <c r="L53" s="1347"/>
      <c r="O53" s="1360" t="s">
        <v>2227</v>
      </c>
      <c r="P53" s="1361" t="s">
        <v>2228</v>
      </c>
      <c r="Q53" s="1362" t="s">
        <v>2229</v>
      </c>
      <c r="R53" s="1363" t="s">
        <v>2230</v>
      </c>
    </row>
    <row r="54" spans="1:18" s="790" customFormat="1" ht="29.25" customHeight="1" thickBot="1">
      <c r="A54" s="1381" t="s">
        <v>2113</v>
      </c>
      <c r="B54" s="2336" t="s">
        <v>2114</v>
      </c>
      <c r="C54" s="1382">
        <f ca="1">ROUND(IF(F54="押一",C50/12*F11,IF(F54="押二",C50/12*2*F11,IF(F54="押三",C50/12*3*F11,C55*F11))),0)</f>
        <v>0</v>
      </c>
      <c r="D54" s="2337" t="s">
        <v>2809</v>
      </c>
      <c r="E54" s="330" t="s">
        <v>2115</v>
      </c>
      <c r="F54" s="2338"/>
      <c r="I54" s="2725" t="s">
        <v>2812</v>
      </c>
      <c r="J54" s="1348">
        <f>IF(M48="住宅",IF(E1="——",MAX(J52,L49),IF(E1="在建（套用方法）",MAX(J52,L49-'数据-取费表'!B25),MAX(J52,L49-'数据-取费表'!B21))),IF(E1="——",MIN(J52,L49),IF(E1="在建（套用方法）",MIN(J52,L49-'数据-取费表'!B25),IF(E1="土地（套用方法）",MIN(J52,L49-'数据-取费表'!B21)))))</f>
        <v>34.26</v>
      </c>
      <c r="K54" s="3037" t="s">
        <v>2799</v>
      </c>
      <c r="L54" s="3038"/>
      <c r="O54" s="1364" t="s">
        <v>955</v>
      </c>
      <c r="P54" s="1365" t="s">
        <v>2231</v>
      </c>
      <c r="Q54" s="1366">
        <f ca="1">C40+J29</f>
        <v>178060</v>
      </c>
      <c r="R54" s="1367" t="s">
        <v>2232</v>
      </c>
    </row>
    <row r="55" spans="1:18" s="790" customFormat="1" ht="20.25" thickBot="1">
      <c r="A55" s="1381"/>
      <c r="B55" s="2356" t="s">
        <v>2118</v>
      </c>
      <c r="C55" s="1415"/>
      <c r="D55" s="93"/>
      <c r="E55" s="235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4" t="s">
        <v>956</v>
      </c>
      <c r="P55" s="1365" t="s">
        <v>2263</v>
      </c>
      <c r="Q55" s="1366">
        <f>L61</f>
        <v>0</v>
      </c>
      <c r="R55" s="1367" t="s">
        <v>2264</v>
      </c>
    </row>
    <row r="56" spans="1:18" s="790" customFormat="1" ht="20.25" thickBot="1">
      <c r="A56" s="1421" t="s">
        <v>2119</v>
      </c>
      <c r="B56" s="2340" t="s">
        <v>2120</v>
      </c>
      <c r="C56" s="1422"/>
      <c r="D56" s="1438"/>
      <c r="E56" s="2359"/>
      <c r="F56" s="1498"/>
      <c r="I56" s="2360" t="s">
        <v>2265</v>
      </c>
      <c r="J56" s="1868" t="e">
        <f>ROUND(IF(J48="钢混",J58/J51,1-(1-2%)*(J51-J58)/J51),3)</f>
        <v>#VALUE!</v>
      </c>
      <c r="K56" s="2361" t="s">
        <v>2266</v>
      </c>
      <c r="L56" s="1349"/>
      <c r="O56" s="1368" t="s">
        <v>957</v>
      </c>
      <c r="P56" s="1365" t="s">
        <v>2267</v>
      </c>
      <c r="Q56" s="1366">
        <f>IF(L56="比较法",L50,IF(L56="基准地价",L51,0))</f>
        <v>0</v>
      </c>
      <c r="R56" s="1367" t="s">
        <v>2232</v>
      </c>
    </row>
    <row r="57" spans="1:18" s="790" customFormat="1" ht="44.25" thickTop="1" thickBot="1">
      <c r="A57" s="1417">
        <v>2</v>
      </c>
      <c r="B57" s="1418" t="s">
        <v>2121</v>
      </c>
      <c r="C57" s="1497">
        <f ca="1">C13</f>
        <v>117110</v>
      </c>
      <c r="D57" s="1291"/>
      <c r="E57" s="1292"/>
      <c r="F57" s="1299"/>
      <c r="I57" s="2362" t="s">
        <v>2268</v>
      </c>
      <c r="J57" s="1352" t="s">
        <v>3132</v>
      </c>
      <c r="K57" s="2348" t="s">
        <v>2269</v>
      </c>
      <c r="L57" s="1125" t="str">
        <f>IF(L49&lt;J52,"——",L49-J52)</f>
        <v>——</v>
      </c>
      <c r="O57" s="1368" t="s">
        <v>958</v>
      </c>
      <c r="P57" s="1365" t="s">
        <v>2270</v>
      </c>
      <c r="Q57" s="1369">
        <f>L53</f>
        <v>0</v>
      </c>
      <c r="R57" s="1367"/>
    </row>
    <row r="58" spans="1:18" s="790" customFormat="1" ht="29.25" thickBot="1">
      <c r="A58" s="1298"/>
      <c r="B58" s="319" t="s">
        <v>2200</v>
      </c>
      <c r="C58" s="188">
        <f ca="1">C29</f>
        <v>152091</v>
      </c>
      <c r="D58" s="1291"/>
      <c r="E58" s="1292"/>
      <c r="F58" s="1299"/>
      <c r="I58" s="2363" t="s">
        <v>2271</v>
      </c>
      <c r="J58" s="1351" t="str">
        <f>IF(OR(M48="住宅",J52&lt;L49,J57="是"),"——",J52-L49)</f>
        <v>——</v>
      </c>
      <c r="K58" s="2348" t="s">
        <v>2272</v>
      </c>
      <c r="L58" s="1125" t="str">
        <f>IF(L49&lt;J52,"——",IF(L56="比较法",L50,IF(L56="基准地价",L51,L52)))</f>
        <v>——</v>
      </c>
      <c r="O58" s="1368" t="s">
        <v>959</v>
      </c>
      <c r="P58" s="1365" t="s">
        <v>2273</v>
      </c>
      <c r="Q58" s="1366" t="e">
        <f>L59</f>
        <v>#DIV/0!</v>
      </c>
      <c r="R58" s="1367" t="s">
        <v>2274</v>
      </c>
    </row>
    <row r="59" spans="1:18" s="790" customFormat="1" ht="29.25" thickBot="1">
      <c r="A59" s="332" t="s">
        <v>14</v>
      </c>
      <c r="B59" s="333" t="s">
        <v>2203</v>
      </c>
      <c r="C59" s="334">
        <f ca="1">ROUND(C60+C65+C66+C67,0)</f>
        <v>15335</v>
      </c>
      <c r="D59" s="12" t="s">
        <v>2204</v>
      </c>
      <c r="E59" s="1894"/>
      <c r="F59" s="16"/>
      <c r="I59" s="2363" t="s">
        <v>2275</v>
      </c>
      <c r="J59" s="1867" t="e">
        <f>IF(J56&lt;0.4,0.4,J56)</f>
        <v>#VALUE!</v>
      </c>
      <c r="K59" s="2354" t="s">
        <v>2276</v>
      </c>
      <c r="L59" s="1125" t="e">
        <f>ROUND(POWER(1+L53,L48-L49)*(POWER(1+L53,L49)-1)/(POWER(1+L53,L48)-1),4)</f>
        <v>#DIV/0!</v>
      </c>
      <c r="O59" s="1368" t="s">
        <v>960</v>
      </c>
      <c r="P59" s="1365" t="str">
        <f>K60</f>
        <v>建筑物剩余耐用年限下的土地年期修正系数Kn</v>
      </c>
      <c r="Q59" s="1366" t="e">
        <f>L60</f>
        <v>#DIV/0!</v>
      </c>
      <c r="R59" s="1367" t="s">
        <v>2277</v>
      </c>
    </row>
    <row r="60" spans="1:18" s="790" customFormat="1" ht="29.25" thickBot="1">
      <c r="A60" s="337" t="s">
        <v>15</v>
      </c>
      <c r="B60" s="319" t="s">
        <v>2143</v>
      </c>
      <c r="C60" s="14">
        <f ca="1">ROUND(IF(项目基本情况!B7="自然人",C49*F60,C61+C62+C63),1)</f>
        <v>12877.6</v>
      </c>
      <c r="D60" s="1884" t="s">
        <v>2205</v>
      </c>
      <c r="E60" s="1889" t="s">
        <v>2206</v>
      </c>
      <c r="F60" s="343" t="str">
        <f>IF(项目基本情况!B7="企业","",IF('数据-取费表'!B10="住宅",5%,IF(F50*F51*F52/12/(1+'数据-取费表'!F30)&gt;20000,12%,7%)))</f>
        <v/>
      </c>
      <c r="I60" s="2363" t="s">
        <v>2278</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收益价值(万元)</v>
      </c>
      <c r="Q60" s="1366">
        <f ca="1">ROUND(IF(C2="元",Q54+Q55,(Q54+Q55)/10000),0)</f>
        <v>18</v>
      </c>
      <c r="R60" s="1367" t="s">
        <v>962</v>
      </c>
    </row>
    <row r="61" spans="1:18" s="790" customFormat="1" ht="16.5" thickBot="1">
      <c r="A61" s="337" t="s">
        <v>16</v>
      </c>
      <c r="B61" s="319" t="s">
        <v>2207</v>
      </c>
      <c r="C61" s="14">
        <f ca="1">IF(项目基本情况!B7="自然人","——",ROUND(C49*F61/(1+'数据-取费表'!F30),0))</f>
        <v>0</v>
      </c>
      <c r="D61" s="1889" t="s">
        <v>2208</v>
      </c>
      <c r="E61" s="319" t="s">
        <v>2157</v>
      </c>
      <c r="F61" s="352">
        <f t="shared" ref="F61:F67" si="0">F32</f>
        <v>5.6000000000000001E-2</v>
      </c>
      <c r="I61" s="2364" t="s">
        <v>2279</v>
      </c>
      <c r="J61" s="1350" t="str">
        <f>IF(OR(M48="住宅",J52&lt;L49,J57="是"),"0",ROUND(J60/(1+J53)^J54,0))</f>
        <v>0</v>
      </c>
      <c r="K61" s="2365" t="s">
        <v>2280</v>
      </c>
      <c r="L61" s="1350">
        <f>IF(OR(M48="住宅",L49&lt;J52),0,ROUND(L58*(L59/L60-1),0))</f>
        <v>0</v>
      </c>
      <c r="O61" s="1358" t="s">
        <v>2281</v>
      </c>
      <c r="P61" s="1359"/>
      <c r="Q61" s="1355"/>
      <c r="R61" s="1359"/>
    </row>
    <row r="62" spans="1:18" s="790" customFormat="1" ht="15.75" thickBot="1">
      <c r="A62" s="337" t="s">
        <v>17</v>
      </c>
      <c r="B62" s="319" t="s">
        <v>2282</v>
      </c>
      <c r="C62" s="14">
        <f ca="1">IF(项目基本情况!B7="自然人","——",IF(D62="按租金收入计税",ROUND(C49*F62,1),IF(D62="按房产原值计税",ROUND(C58*F62*0.7,1),'数据-取费表'!B43)))</f>
        <v>12775.6</v>
      </c>
      <c r="D62" s="2010" t="s">
        <v>2154</v>
      </c>
      <c r="E62" s="319" t="s">
        <v>2157</v>
      </c>
      <c r="F62" s="342">
        <f t="shared" si="0"/>
        <v>0.12</v>
      </c>
      <c r="O62" s="1360" t="s">
        <v>2227</v>
      </c>
      <c r="P62" s="1361" t="s">
        <v>2228</v>
      </c>
      <c r="Q62" s="1362" t="s">
        <v>2229</v>
      </c>
      <c r="R62" s="1363" t="s">
        <v>2230</v>
      </c>
    </row>
    <row r="63" spans="1:18" s="790" customFormat="1" ht="15.75" thickBot="1">
      <c r="A63" s="345" t="s">
        <v>18</v>
      </c>
      <c r="B63" s="80" t="s">
        <v>2283</v>
      </c>
      <c r="C63" s="15">
        <f>IF(项目基本情况!B7="自然人","——",ROUND(F63*F64,0))</f>
        <v>102</v>
      </c>
      <c r="D63" s="346" t="s">
        <v>2284</v>
      </c>
      <c r="E63" s="319" t="s">
        <v>2285</v>
      </c>
      <c r="F63" s="347">
        <f t="shared" si="0"/>
        <v>30</v>
      </c>
      <c r="I63" s="2366" t="s">
        <v>2286</v>
      </c>
      <c r="J63" s="1871" t="s">
        <v>2287</v>
      </c>
      <c r="K63" s="1871" t="s">
        <v>2288</v>
      </c>
      <c r="L63" s="1871" t="s">
        <v>2289</v>
      </c>
      <c r="M63" s="1870" t="s">
        <v>2290</v>
      </c>
      <c r="O63" s="1364" t="s">
        <v>955</v>
      </c>
      <c r="P63" s="1365" t="s">
        <v>2231</v>
      </c>
      <c r="Q63" s="1366">
        <f ca="1">C40+J29</f>
        <v>178060</v>
      </c>
      <c r="R63" s="1367" t="s">
        <v>2232</v>
      </c>
    </row>
    <row r="64" spans="1:18" s="790" customFormat="1" ht="20.25" thickBot="1">
      <c r="A64" s="348"/>
      <c r="B64" s="328"/>
      <c r="C64" s="19"/>
      <c r="D64" s="349"/>
      <c r="E64" s="319" t="s">
        <v>2291</v>
      </c>
      <c r="F64" s="320">
        <f t="shared" si="0"/>
        <v>3.41</v>
      </c>
      <c r="I64" s="2366" t="s">
        <v>2292</v>
      </c>
      <c r="J64" s="1871">
        <v>70</v>
      </c>
      <c r="K64" s="1871">
        <v>50</v>
      </c>
      <c r="L64" s="1871">
        <v>80</v>
      </c>
      <c r="M64" s="1869">
        <v>0.02</v>
      </c>
      <c r="O64" s="1364" t="s">
        <v>956</v>
      </c>
      <c r="P64" s="1365" t="s">
        <v>2263</v>
      </c>
      <c r="Q64" s="1366">
        <f>L61</f>
        <v>0</v>
      </c>
      <c r="R64" s="1367" t="s">
        <v>2264</v>
      </c>
    </row>
    <row r="65" spans="1:18" s="790" customFormat="1" ht="23.25" thickBot="1">
      <c r="A65" s="337" t="s">
        <v>19</v>
      </c>
      <c r="B65" s="319" t="s">
        <v>2212</v>
      </c>
      <c r="C65" s="14">
        <f ca="1">ROUND(C58*F65,0)</f>
        <v>2281</v>
      </c>
      <c r="D65" s="1889" t="s">
        <v>2213</v>
      </c>
      <c r="E65" s="319" t="s">
        <v>2157</v>
      </c>
      <c r="F65" s="350">
        <f t="shared" si="0"/>
        <v>1.4999999999999999E-2</v>
      </c>
      <c r="I65" s="2366" t="s">
        <v>2293</v>
      </c>
      <c r="J65" s="1871">
        <v>50</v>
      </c>
      <c r="K65" s="1871">
        <v>35</v>
      </c>
      <c r="L65" s="1871">
        <v>60</v>
      </c>
      <c r="M65" s="1870">
        <v>0</v>
      </c>
      <c r="O65" s="1368" t="s">
        <v>957</v>
      </c>
      <c r="P65" s="1365" t="s">
        <v>2267</v>
      </c>
      <c r="Q65" s="1370">
        <f ca="1">L52</f>
        <v>3117084</v>
      </c>
      <c r="R65" s="1371" t="s">
        <v>2294</v>
      </c>
    </row>
    <row r="66" spans="1:18" s="790" customFormat="1" ht="20.25" thickBot="1">
      <c r="A66" s="337" t="s">
        <v>20</v>
      </c>
      <c r="B66" s="319" t="s">
        <v>2172</v>
      </c>
      <c r="C66" s="14">
        <f ca="1">ROUND(C57*F66,0)</f>
        <v>176</v>
      </c>
      <c r="D66" s="1889" t="s">
        <v>2173</v>
      </c>
      <c r="E66" s="319" t="s">
        <v>2174</v>
      </c>
      <c r="F66" s="351">
        <f t="shared" si="0"/>
        <v>1.5E-3</v>
      </c>
      <c r="I66" s="2366" t="s">
        <v>2295</v>
      </c>
      <c r="J66" s="1871">
        <v>40</v>
      </c>
      <c r="K66" s="1871">
        <v>30</v>
      </c>
      <c r="L66" s="1871">
        <v>50</v>
      </c>
      <c r="M66" s="1869">
        <v>0.02</v>
      </c>
      <c r="O66" s="1368" t="s">
        <v>958</v>
      </c>
      <c r="P66" s="1372" t="s">
        <v>2296</v>
      </c>
      <c r="Q66" s="1366">
        <f ca="1">ROUND(Q67-Q68*Q69,0)</f>
        <v>-1473</v>
      </c>
      <c r="R66" s="1367"/>
    </row>
    <row r="67" spans="1:18" s="790" customFormat="1" ht="15.75" thickBot="1">
      <c r="A67" s="337" t="s">
        <v>21</v>
      </c>
      <c r="B67" s="319" t="s">
        <v>2155</v>
      </c>
      <c r="C67" s="14">
        <f ca="1">ROUND(C49*F67,0)</f>
        <v>0</v>
      </c>
      <c r="D67" s="1889" t="s">
        <v>2178</v>
      </c>
      <c r="E67" s="319" t="s">
        <v>2174</v>
      </c>
      <c r="F67" s="329">
        <f t="shared" si="0"/>
        <v>0.02</v>
      </c>
      <c r="O67" s="1368" t="s">
        <v>963</v>
      </c>
      <c r="P67" s="1372" t="s">
        <v>2297</v>
      </c>
      <c r="Q67" s="1366">
        <f ca="1">C39</f>
        <v>7896</v>
      </c>
      <c r="R67" s="1367" t="s">
        <v>2232</v>
      </c>
    </row>
    <row r="68" spans="1:18" ht="15.75" thickBot="1">
      <c r="A68" s="332" t="s">
        <v>22</v>
      </c>
      <c r="B68" s="89" t="s">
        <v>2182</v>
      </c>
      <c r="C68" s="334">
        <f ca="1">C49-C59</f>
        <v>-15335</v>
      </c>
      <c r="D68" s="1884" t="s">
        <v>2183</v>
      </c>
      <c r="E68" s="1888"/>
      <c r="F68" s="353"/>
      <c r="H68" s="790"/>
      <c r="I68" s="790"/>
      <c r="J68" s="790"/>
      <c r="K68" s="790"/>
      <c r="L68" s="790"/>
      <c r="M68" s="790"/>
      <c r="O68" s="1368" t="s">
        <v>964</v>
      </c>
      <c r="P68" s="1372" t="s">
        <v>2298</v>
      </c>
      <c r="Q68" s="1366">
        <f ca="1">C13</f>
        <v>117110</v>
      </c>
      <c r="R68" s="1367" t="s">
        <v>2232</v>
      </c>
    </row>
    <row r="69" spans="1:18" ht="15.75" thickBot="1">
      <c r="A69" s="316" t="s">
        <v>23</v>
      </c>
      <c r="B69" s="317" t="s">
        <v>2220</v>
      </c>
      <c r="C69" s="318">
        <f ca="1">ROUND(C68*(1-((1+F71)/(1+F69))^F70)/(F69-F71),0)</f>
        <v>-265347</v>
      </c>
      <c r="D69" s="346" t="s">
        <v>2188</v>
      </c>
      <c r="E69" s="319" t="s">
        <v>2189</v>
      </c>
      <c r="F69" s="329">
        <f>F40</f>
        <v>4.4999999999999998E-2</v>
      </c>
      <c r="H69" s="790"/>
      <c r="I69" s="790"/>
      <c r="J69" s="790"/>
      <c r="K69" s="790"/>
      <c r="L69" s="790"/>
      <c r="M69" s="790"/>
      <c r="O69" s="1368" t="s">
        <v>965</v>
      </c>
      <c r="P69" s="1372" t="s">
        <v>2299</v>
      </c>
      <c r="Q69" s="1369">
        <f>J35</f>
        <v>0.08</v>
      </c>
      <c r="R69" s="1367"/>
    </row>
    <row r="70" spans="1:18" ht="15.75" thickBot="1">
      <c r="A70" s="321"/>
      <c r="B70" s="322"/>
      <c r="C70" s="323"/>
      <c r="D70" s="354" t="s">
        <v>2222</v>
      </c>
      <c r="E70" s="319" t="s">
        <v>2194</v>
      </c>
      <c r="F70" s="355">
        <f>F41</f>
        <v>34.26</v>
      </c>
      <c r="H70" s="790"/>
      <c r="I70" s="790"/>
      <c r="J70" s="790"/>
      <c r="K70" s="790"/>
      <c r="L70" s="790"/>
      <c r="M70" s="790"/>
      <c r="O70" s="1368" t="s">
        <v>959</v>
      </c>
      <c r="P70" s="1365" t="s">
        <v>2270</v>
      </c>
      <c r="Q70" s="1369">
        <f>L53</f>
        <v>0</v>
      </c>
      <c r="R70" s="1367"/>
    </row>
    <row r="71" spans="1:18" ht="20.25" thickBot="1">
      <c r="A71" s="325"/>
      <c r="B71" s="326"/>
      <c r="C71" s="327"/>
      <c r="D71" s="349"/>
      <c r="E71" s="319" t="s">
        <v>2198</v>
      </c>
      <c r="F71" s="1353"/>
      <c r="H71" s="790"/>
      <c r="M71" s="790"/>
      <c r="O71" s="1368" t="s">
        <v>960</v>
      </c>
      <c r="P71" s="1365" t="s">
        <v>2273</v>
      </c>
      <c r="Q71" s="1366" t="e">
        <f>L59</f>
        <v>#DIV/0!</v>
      </c>
      <c r="R71" s="1367" t="s">
        <v>2274</v>
      </c>
    </row>
    <row r="72" spans="1:18" ht="15.75" thickBot="1">
      <c r="A72" s="356" t="s">
        <v>24</v>
      </c>
      <c r="B72" s="357" t="s">
        <v>2223</v>
      </c>
      <c r="C72" s="358">
        <f ca="1">ROUND(C69/F72,0)</f>
        <v>-5525</v>
      </c>
      <c r="D72" s="359" t="s">
        <v>2224</v>
      </c>
      <c r="E72" s="360" t="s">
        <v>2225</v>
      </c>
      <c r="F72" s="361">
        <f>F43</f>
        <v>48.03</v>
      </c>
      <c r="O72" s="1368" t="s">
        <v>966</v>
      </c>
      <c r="P72" s="1365" t="str">
        <f>K60</f>
        <v>建筑物剩余耐用年限下的土地年期修正系数Kn</v>
      </c>
      <c r="Q72" s="1366" t="e">
        <f>L60</f>
        <v>#DIV/0!</v>
      </c>
      <c r="R72" s="1367" t="s">
        <v>2277</v>
      </c>
    </row>
    <row r="73" spans="1:18" ht="15.75" thickBot="1">
      <c r="A73" s="790"/>
      <c r="B73" s="794"/>
      <c r="C73" s="794"/>
      <c r="D73" s="790"/>
      <c r="E73" s="790"/>
      <c r="F73" s="790"/>
      <c r="O73" s="1364" t="s">
        <v>961</v>
      </c>
      <c r="P73" s="1365" t="str">
        <f>IF(C2="元","收益价值(元)","收益价值(万元)")</f>
        <v>收益价值(万元)</v>
      </c>
      <c r="Q73" s="1366">
        <f ca="1">ROUND(IF(C2="元",Q63+Q64,(Q63+Q64)/10000),0)</f>
        <v>18</v>
      </c>
      <c r="R73" s="1367"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9" t="s">
        <v>1022</v>
      </c>
      <c r="B1" s="3040"/>
      <c r="C1" s="3041"/>
      <c r="D1" s="3042">
        <f>SUM(I10,I15,I20,I21,I23)</f>
        <v>0</v>
      </c>
      <c r="E1" s="3042"/>
      <c r="F1" s="3042"/>
      <c r="G1" s="3042"/>
      <c r="H1" s="3042"/>
      <c r="I1" s="3043"/>
    </row>
    <row r="2" spans="1:9">
      <c r="A2" s="3044" t="s">
        <v>1023</v>
      </c>
      <c r="B2" s="3045" t="s">
        <v>972</v>
      </c>
      <c r="C2" s="3045"/>
      <c r="D2" s="1386" t="s">
        <v>973</v>
      </c>
      <c r="E2" s="1386" t="s">
        <v>974</v>
      </c>
      <c r="F2" s="1386" t="s">
        <v>975</v>
      </c>
      <c r="G2" s="1386" t="s">
        <v>976</v>
      </c>
      <c r="H2" s="1386" t="s">
        <v>977</v>
      </c>
      <c r="I2" s="1387" t="s">
        <v>978</v>
      </c>
    </row>
    <row r="3" spans="1:9">
      <c r="A3" s="3044"/>
      <c r="B3" s="3045" t="s">
        <v>979</v>
      </c>
      <c r="C3" s="3045"/>
      <c r="D3" s="1388"/>
      <c r="E3" s="1386"/>
      <c r="F3" s="1389"/>
      <c r="G3" s="1389"/>
      <c r="H3" s="1390"/>
      <c r="I3" s="1391">
        <f>ROUND(D3*E3*F3*G3*H3/10000,0)</f>
        <v>0</v>
      </c>
    </row>
    <row r="4" spans="1:9">
      <c r="A4" s="3044"/>
      <c r="B4" s="3045" t="s">
        <v>980</v>
      </c>
      <c r="C4" s="3045"/>
      <c r="D4" s="1388"/>
      <c r="E4" s="1386"/>
      <c r="F4" s="1389"/>
      <c r="G4" s="1389"/>
      <c r="H4" s="1390"/>
      <c r="I4" s="1391">
        <f t="shared" ref="I4:I9" si="0">ROUND(D4*E4*F4*G4*H4/10000,0)</f>
        <v>0</v>
      </c>
    </row>
    <row r="5" spans="1:9">
      <c r="A5" s="3044"/>
      <c r="B5" s="3045" t="s">
        <v>981</v>
      </c>
      <c r="C5" s="3045"/>
      <c r="D5" s="1388"/>
      <c r="E5" s="1386"/>
      <c r="F5" s="1389"/>
      <c r="G5" s="1389"/>
      <c r="H5" s="1390"/>
      <c r="I5" s="1391">
        <f t="shared" si="0"/>
        <v>0</v>
      </c>
    </row>
    <row r="6" spans="1:9">
      <c r="A6" s="3044"/>
      <c r="B6" s="3045" t="s">
        <v>982</v>
      </c>
      <c r="C6" s="3045"/>
      <c r="D6" s="1388"/>
      <c r="E6" s="1386"/>
      <c r="F6" s="1389"/>
      <c r="G6" s="1389"/>
      <c r="H6" s="1390"/>
      <c r="I6" s="1391">
        <f t="shared" si="0"/>
        <v>0</v>
      </c>
    </row>
    <row r="7" spans="1:9">
      <c r="A7" s="3044"/>
      <c r="B7" s="3045" t="s">
        <v>983</v>
      </c>
      <c r="C7" s="3045"/>
      <c r="D7" s="1388"/>
      <c r="E7" s="1386"/>
      <c r="F7" s="1389"/>
      <c r="G7" s="1389"/>
      <c r="H7" s="1390"/>
      <c r="I7" s="1391">
        <f t="shared" si="0"/>
        <v>0</v>
      </c>
    </row>
    <row r="8" spans="1:9">
      <c r="A8" s="3044"/>
      <c r="B8" s="3045" t="s">
        <v>984</v>
      </c>
      <c r="C8" s="3045"/>
      <c r="D8" s="1388"/>
      <c r="E8" s="1386"/>
      <c r="F8" s="1389"/>
      <c r="G8" s="1389"/>
      <c r="H8" s="1390"/>
      <c r="I8" s="1391">
        <f t="shared" si="0"/>
        <v>0</v>
      </c>
    </row>
    <row r="9" spans="1:9">
      <c r="A9" s="3044"/>
      <c r="B9" s="3045" t="s">
        <v>985</v>
      </c>
      <c r="C9" s="3045"/>
      <c r="D9" s="1388"/>
      <c r="E9" s="1386"/>
      <c r="F9" s="1389"/>
      <c r="G9" s="1389"/>
      <c r="H9" s="1390"/>
      <c r="I9" s="1391">
        <f t="shared" si="0"/>
        <v>0</v>
      </c>
    </row>
    <row r="10" spans="1:9">
      <c r="A10" s="3044"/>
      <c r="B10" s="3046" t="s">
        <v>986</v>
      </c>
      <c r="C10" s="3046"/>
      <c r="D10" s="1392">
        <v>527</v>
      </c>
      <c r="E10" s="1392" t="e">
        <f>ROUND(D1*10000/D10/H9,0)</f>
        <v>#DIV/0!</v>
      </c>
      <c r="F10" s="1393"/>
      <c r="G10" s="1393"/>
      <c r="H10" s="1394"/>
      <c r="I10" s="1395">
        <f>SUM(I3:I9)</f>
        <v>0</v>
      </c>
    </row>
    <row r="11" spans="1:9" ht="14.25">
      <c r="A11" s="3044" t="s">
        <v>1024</v>
      </c>
      <c r="B11" s="3045" t="s">
        <v>987</v>
      </c>
      <c r="C11" s="3045"/>
      <c r="D11" s="1388" t="s">
        <v>988</v>
      </c>
      <c r="E11" s="1388" t="s">
        <v>989</v>
      </c>
      <c r="F11" s="1389" t="s">
        <v>990</v>
      </c>
      <c r="G11" s="1389" t="s">
        <v>977</v>
      </c>
      <c r="H11" s="1396" t="s">
        <v>991</v>
      </c>
      <c r="I11" s="1387" t="s">
        <v>978</v>
      </c>
    </row>
    <row r="12" spans="1:9">
      <c r="A12" s="3044"/>
      <c r="B12" s="3045" t="s">
        <v>992</v>
      </c>
      <c r="C12" s="3045"/>
      <c r="D12" s="1388"/>
      <c r="E12" s="1388"/>
      <c r="F12" s="1389"/>
      <c r="G12" s="1390"/>
      <c r="H12" s="1397"/>
      <c r="I12" s="1387">
        <f>ROUND(D12*E12*F12*G12/10000,0)</f>
        <v>0</v>
      </c>
    </row>
    <row r="13" spans="1:9">
      <c r="A13" s="3044"/>
      <c r="B13" s="3045" t="s">
        <v>993</v>
      </c>
      <c r="C13" s="3045"/>
      <c r="D13" s="1388"/>
      <c r="E13" s="1388"/>
      <c r="F13" s="1389"/>
      <c r="G13" s="1390"/>
      <c r="H13" s="1397"/>
      <c r="I13" s="1387">
        <f>ROUND(D13*E13*F13*G13/10000,0)</f>
        <v>0</v>
      </c>
    </row>
    <row r="14" spans="1:9">
      <c r="A14" s="3044"/>
      <c r="B14" s="3045" t="s">
        <v>994</v>
      </c>
      <c r="C14" s="3045"/>
      <c r="D14" s="1388"/>
      <c r="E14" s="1388"/>
      <c r="F14" s="1389"/>
      <c r="G14" s="1390"/>
      <c r="H14" s="1397"/>
      <c r="I14" s="1387">
        <f>ROUND(D14*E14*F14*G14/10000,0)</f>
        <v>0</v>
      </c>
    </row>
    <row r="15" spans="1:9">
      <c r="A15" s="3044"/>
      <c r="B15" s="3046" t="s">
        <v>986</v>
      </c>
      <c r="C15" s="3046"/>
      <c r="D15" s="1392"/>
      <c r="E15" s="1392">
        <f>SUM(E12:E14)</f>
        <v>0</v>
      </c>
      <c r="F15" s="1393"/>
      <c r="G15" s="1390"/>
      <c r="H15" s="1397"/>
      <c r="I15" s="1398">
        <f>SUM(I12:I14)</f>
        <v>0</v>
      </c>
    </row>
    <row r="16" spans="1:9" ht="24">
      <c r="A16" s="3044" t="s">
        <v>1025</v>
      </c>
      <c r="B16" s="3045" t="s">
        <v>995</v>
      </c>
      <c r="C16" s="3045"/>
      <c r="D16" s="1388" t="s">
        <v>973</v>
      </c>
      <c r="E16" s="1399" t="s">
        <v>996</v>
      </c>
      <c r="F16" s="1389" t="s">
        <v>997</v>
      </c>
      <c r="G16" s="1390" t="s">
        <v>977</v>
      </c>
      <c r="H16" s="1396" t="s">
        <v>991</v>
      </c>
      <c r="I16" s="1387" t="s">
        <v>978</v>
      </c>
    </row>
    <row r="17" spans="1:9" ht="14.25">
      <c r="A17" s="3044"/>
      <c r="B17" s="3045" t="s">
        <v>998</v>
      </c>
      <c r="C17" s="3045"/>
      <c r="D17" s="1388"/>
      <c r="E17" s="1388"/>
      <c r="F17" s="1389"/>
      <c r="G17" s="1390"/>
      <c r="H17" s="1400"/>
      <c r="I17" s="1401">
        <f>ROUND(D17*E17*F17*G17/10000,0)</f>
        <v>0</v>
      </c>
    </row>
    <row r="18" spans="1:9" ht="14.25">
      <c r="A18" s="3044"/>
      <c r="B18" s="3045" t="s">
        <v>999</v>
      </c>
      <c r="C18" s="3045"/>
      <c r="D18" s="1388"/>
      <c r="E18" s="1388"/>
      <c r="F18" s="1389"/>
      <c r="G18" s="1390"/>
      <c r="H18" s="1400"/>
      <c r="I18" s="1401">
        <f>ROUND(D18*E18*F18*G18/10000,0)</f>
        <v>0</v>
      </c>
    </row>
    <row r="19" spans="1:9" ht="14.25">
      <c r="A19" s="3044"/>
      <c r="B19" s="3045" t="s">
        <v>1000</v>
      </c>
      <c r="C19" s="3045"/>
      <c r="D19" s="1388"/>
      <c r="E19" s="1388"/>
      <c r="F19" s="1389"/>
      <c r="G19" s="1390"/>
      <c r="H19" s="1400"/>
      <c r="I19" s="1401">
        <f>ROUND(D19*E19*F19*G19/10000,0)</f>
        <v>0</v>
      </c>
    </row>
    <row r="20" spans="1:9">
      <c r="A20" s="3044"/>
      <c r="B20" s="3046" t="s">
        <v>986</v>
      </c>
      <c r="C20" s="3046"/>
      <c r="D20" s="1392">
        <f>SUM(D17:D19)</f>
        <v>0</v>
      </c>
      <c r="E20" s="1392"/>
      <c r="F20" s="1393"/>
      <c r="G20" s="1390"/>
      <c r="H20" s="1397"/>
      <c r="I20" s="1398">
        <f>SUM(I17:I19)</f>
        <v>0</v>
      </c>
    </row>
    <row r="21" spans="1:9">
      <c r="A21" s="3044" t="s">
        <v>1026</v>
      </c>
      <c r="B21" s="3048"/>
      <c r="C21" s="3048"/>
      <c r="D21" s="3048"/>
      <c r="E21" s="3048"/>
      <c r="F21" s="3048"/>
      <c r="G21" s="3048"/>
      <c r="H21" s="1402">
        <v>0.1</v>
      </c>
      <c r="I21" s="1395">
        <f>ROUND(I10*H21,0)</f>
        <v>0</v>
      </c>
    </row>
    <row r="22" spans="1:9" ht="14.25">
      <c r="A22" s="3049" t="s">
        <v>1027</v>
      </c>
      <c r="B22" s="3050"/>
      <c r="C22" s="3051"/>
      <c r="D22" s="1403" t="s">
        <v>1001</v>
      </c>
      <c r="E22" s="1403" t="s">
        <v>1002</v>
      </c>
      <c r="F22" s="1404" t="s">
        <v>977</v>
      </c>
      <c r="G22" s="1404" t="s">
        <v>1003</v>
      </c>
      <c r="H22" s="1396" t="s">
        <v>991</v>
      </c>
      <c r="I22" s="1387" t="s">
        <v>978</v>
      </c>
    </row>
    <row r="23" spans="1:9" ht="14.25" thickBot="1">
      <c r="A23" s="3052"/>
      <c r="B23" s="3053"/>
      <c r="C23" s="3054"/>
      <c r="D23" s="1405"/>
      <c r="E23" s="1405"/>
      <c r="F23" s="1405"/>
      <c r="G23" s="1406"/>
      <c r="H23" s="1407"/>
      <c r="I23" s="1408">
        <f>ROUND(E23*D23*F23*(1-G23)/10000,0)</f>
        <v>0</v>
      </c>
    </row>
    <row r="26" spans="1:9">
      <c r="A26" s="1409" t="s">
        <v>1004</v>
      </c>
      <c r="B26" s="1409"/>
      <c r="C26" s="1409"/>
      <c r="D26" s="1409"/>
      <c r="E26" s="3055">
        <f>C27-C30-C31-C32</f>
        <v>0</v>
      </c>
      <c r="F26" s="3055"/>
      <c r="G26" s="3055"/>
      <c r="H26" s="1826" t="s">
        <v>1216</v>
      </c>
    </row>
    <row r="27" spans="1:9">
      <c r="A27" s="1410">
        <v>1</v>
      </c>
      <c r="B27" s="1411" t="s">
        <v>1005</v>
      </c>
      <c r="C27" s="1411">
        <f>C28+C29</f>
        <v>0</v>
      </c>
      <c r="D27" s="1411"/>
      <c r="E27" s="3056"/>
      <c r="F27" s="3056"/>
      <c r="G27" s="3056"/>
    </row>
    <row r="28" spans="1:9">
      <c r="A28" s="1412" t="s">
        <v>1006</v>
      </c>
      <c r="B28" s="1411" t="s">
        <v>1007</v>
      </c>
      <c r="C28" s="1411"/>
      <c r="D28" s="1411"/>
      <c r="E28" s="3056"/>
      <c r="F28" s="3056"/>
      <c r="G28" s="3056"/>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47"/>
      <c r="F32" s="3047"/>
      <c r="G32" s="3047"/>
    </row>
    <row r="33" spans="1:7" hidden="1">
      <c r="A33" s="3057" t="s">
        <v>1016</v>
      </c>
      <c r="B33" s="3058"/>
      <c r="C33" s="3058"/>
      <c r="D33" s="3059"/>
      <c r="E33" s="3055"/>
      <c r="F33" s="3055"/>
      <c r="G33" s="3055"/>
    </row>
    <row r="34" spans="1:7" hidden="1">
      <c r="A34" s="1414">
        <v>1</v>
      </c>
      <c r="B34" s="1411" t="s">
        <v>1017</v>
      </c>
      <c r="C34" s="1411"/>
      <c r="D34" s="1411"/>
      <c r="E34" s="3056"/>
      <c r="F34" s="3056"/>
      <c r="G34" s="3056"/>
    </row>
    <row r="35" spans="1:7" hidden="1">
      <c r="A35" s="1414">
        <v>2</v>
      </c>
      <c r="B35" s="1411" t="s">
        <v>1018</v>
      </c>
      <c r="C35" s="1411"/>
      <c r="D35" s="1411"/>
      <c r="E35" s="3056"/>
      <c r="F35" s="3056"/>
      <c r="G35" s="3056"/>
    </row>
    <row r="36" spans="1:7" hidden="1">
      <c r="A36" s="1414">
        <v>3</v>
      </c>
      <c r="B36" s="1411" t="s">
        <v>1019</v>
      </c>
      <c r="C36" s="1411"/>
      <c r="D36" s="1411"/>
      <c r="E36" s="3056"/>
      <c r="F36" s="3056"/>
      <c r="G36" s="3056"/>
    </row>
    <row r="37" spans="1:7" hidden="1">
      <c r="A37" s="1414">
        <v>4</v>
      </c>
      <c r="B37" s="1411" t="s">
        <v>1020</v>
      </c>
      <c r="C37" s="1411"/>
      <c r="D37" s="1411"/>
      <c r="E37" s="3056"/>
      <c r="F37" s="3056"/>
      <c r="G37" s="3056"/>
    </row>
    <row r="38" spans="1:7" hidden="1">
      <c r="A38" s="3057" t="s">
        <v>1021</v>
      </c>
      <c r="B38" s="3058"/>
      <c r="C38" s="3058"/>
      <c r="D38" s="3059"/>
      <c r="E38" s="3055"/>
      <c r="F38" s="3055"/>
      <c r="G38" s="305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0" zoomScaleNormal="90" zoomScaleSheetLayoutView="90" workbookViewId="0">
      <pane ySplit="27" topLeftCell="A139" activePane="bottomLeft" state="frozen"/>
      <selection activeCell="A11" sqref="A11:D11"/>
      <selection pane="bottomLeft" activeCell="C32" sqref="C3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2300</v>
      </c>
      <c r="B1" s="1141"/>
      <c r="C1" s="84"/>
      <c r="D1" s="84"/>
      <c r="E1" s="84"/>
      <c r="F1" s="84"/>
      <c r="G1" s="84"/>
      <c r="H1" s="84"/>
      <c r="I1" s="84"/>
      <c r="J1" s="84"/>
      <c r="K1" s="84"/>
      <c r="L1" s="84"/>
      <c r="M1" s="84"/>
      <c r="N1" s="84"/>
      <c r="O1" s="84"/>
      <c r="P1" s="84"/>
      <c r="Q1" s="84"/>
      <c r="R1" s="768"/>
      <c r="S1" s="54"/>
      <c r="T1" s="54"/>
      <c r="U1" s="1309"/>
      <c r="V1" s="1309"/>
      <c r="X1" s="1309"/>
      <c r="Y1" s="1309"/>
    </row>
    <row r="2" spans="1:44" ht="15.75">
      <c r="A2" s="165" t="s">
        <v>2301</v>
      </c>
      <c r="B2" s="334">
        <f ca="1">B23</f>
        <v>7809</v>
      </c>
      <c r="C2" s="1180" t="str">
        <f>C23</f>
        <v>万元</v>
      </c>
      <c r="D2" s="84"/>
      <c r="E2" s="84"/>
      <c r="F2" s="84"/>
      <c r="G2" s="84"/>
      <c r="H2" s="84"/>
      <c r="I2" s="84"/>
      <c r="J2" s="84"/>
      <c r="K2" s="84"/>
      <c r="L2" s="84"/>
      <c r="M2" s="84"/>
      <c r="N2" s="84"/>
      <c r="O2" s="84"/>
      <c r="P2" s="84"/>
      <c r="Q2" s="84"/>
      <c r="R2" s="768"/>
      <c r="S2" s="54"/>
      <c r="T2" s="54"/>
      <c r="U2" s="1309"/>
      <c r="V2" s="1309"/>
      <c r="X2" s="1309"/>
      <c r="Y2" s="1309"/>
    </row>
    <row r="3" spans="1:44" ht="15.75">
      <c r="A3" s="167" t="s">
        <v>2302</v>
      </c>
      <c r="B3" s="334">
        <f ca="1">B24</f>
        <v>5275</v>
      </c>
      <c r="C3" s="1180" t="s">
        <v>2303</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7" t="s">
        <v>2304</v>
      </c>
      <c r="C4" s="3063" t="s">
        <v>2305</v>
      </c>
      <c r="D4" s="3064"/>
      <c r="E4" s="3064"/>
      <c r="F4" s="3064"/>
      <c r="G4" s="3064"/>
      <c r="H4" s="3064"/>
      <c r="I4" s="3064"/>
      <c r="J4" s="3064"/>
      <c r="K4" s="3064"/>
      <c r="L4" s="3064"/>
      <c r="M4" s="3064"/>
      <c r="N4" s="3064"/>
      <c r="O4" s="3064"/>
      <c r="P4" s="3064"/>
      <c r="Q4" s="3064"/>
      <c r="R4" s="3064"/>
      <c r="S4" s="3065"/>
      <c r="T4" s="677" t="s">
        <v>2306</v>
      </c>
      <c r="U4" s="1309"/>
      <c r="V4" s="1309"/>
      <c r="X4" s="1309"/>
      <c r="Y4" s="1309"/>
    </row>
    <row r="5" spans="1:44" s="691" customFormat="1" ht="25.5">
      <c r="A5" s="1319"/>
      <c r="B5" s="686" t="s">
        <v>2307</v>
      </c>
      <c r="C5" s="687" t="str">
        <f t="shared" ref="C5:L5" si="0">C6&amp;"(含)"&amp;"-"&amp;D6</f>
        <v>0(含)-30</v>
      </c>
      <c r="D5" s="688" t="str">
        <f t="shared" si="0"/>
        <v>30(含)-40</v>
      </c>
      <c r="E5" s="688" t="str">
        <f t="shared" si="0"/>
        <v>40(含)-50</v>
      </c>
      <c r="F5" s="688" t="str">
        <f t="shared" si="0"/>
        <v>50(含)-60</v>
      </c>
      <c r="G5" s="688" t="str">
        <f t="shared" si="0"/>
        <v>60(含)-70</v>
      </c>
      <c r="H5" s="688" t="str">
        <f t="shared" si="0"/>
        <v>70(含)-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5" t="str">
        <f>S6&amp;"(含)"&amp;"-"</f>
        <v>(含)-</v>
      </c>
      <c r="T5" s="690"/>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c r="A6" s="1320"/>
      <c r="B6" s="692"/>
      <c r="C6" s="693">
        <v>0</v>
      </c>
      <c r="D6" s="694">
        <v>30</v>
      </c>
      <c r="E6" s="694">
        <v>40</v>
      </c>
      <c r="F6" s="694">
        <v>50</v>
      </c>
      <c r="G6" s="694">
        <v>60</v>
      </c>
      <c r="H6" s="694">
        <v>70</v>
      </c>
      <c r="I6" s="694"/>
      <c r="J6" s="695"/>
      <c r="K6" s="695"/>
      <c r="L6" s="696"/>
      <c r="M6" s="1143"/>
      <c r="N6" s="1145"/>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1"/>
      <c r="B7" s="1160"/>
      <c r="C7" s="1161">
        <v>100</v>
      </c>
      <c r="D7" s="1162">
        <v>101</v>
      </c>
      <c r="E7" s="1162">
        <v>102</v>
      </c>
      <c r="F7" s="1162">
        <v>103</v>
      </c>
      <c r="G7" s="1162">
        <v>104</v>
      </c>
      <c r="H7" s="1162">
        <v>105</v>
      </c>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c r="A8" s="1322"/>
      <c r="B8" s="1173" t="s">
        <v>2308</v>
      </c>
      <c r="C8" s="1165"/>
      <c r="D8" s="1166"/>
      <c r="E8" s="1166"/>
      <c r="F8" s="1166"/>
      <c r="G8" s="1166"/>
      <c r="H8" s="1166"/>
      <c r="I8" s="1166"/>
      <c r="J8" s="1166"/>
      <c r="K8" s="1166"/>
      <c r="L8" s="1167"/>
      <c r="M8" s="1168"/>
      <c r="N8" s="1168"/>
      <c r="O8" s="1166"/>
      <c r="P8" s="1166"/>
      <c r="Q8" s="1166"/>
      <c r="R8" s="1166"/>
      <c r="S8" s="1198"/>
      <c r="T8" s="1169"/>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c r="A10" s="1322"/>
      <c r="B10" s="1154" t="s">
        <v>2309</v>
      </c>
      <c r="C10" s="1150"/>
      <c r="D10" s="1151"/>
      <c r="E10" s="1151"/>
      <c r="F10" s="1151"/>
      <c r="G10" s="1151"/>
      <c r="H10" s="1151"/>
      <c r="I10" s="1151"/>
      <c r="J10" s="1151"/>
      <c r="K10" s="1151"/>
      <c r="L10" s="1151"/>
      <c r="M10" s="1153"/>
      <c r="N10" s="1144"/>
      <c r="O10" s="1146"/>
      <c r="P10" s="1147"/>
      <c r="Q10" s="1148"/>
      <c r="R10" s="1149"/>
      <c r="S10" s="1200"/>
      <c r="T10" s="699"/>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2"/>
      <c r="B12" s="1154" t="s">
        <v>2310</v>
      </c>
      <c r="C12" s="1150"/>
      <c r="D12" s="1151"/>
      <c r="E12" s="1151"/>
      <c r="F12" s="1151"/>
      <c r="G12" s="1151"/>
      <c r="H12" s="1151"/>
      <c r="I12" s="1151"/>
      <c r="J12" s="1151"/>
      <c r="K12" s="1151"/>
      <c r="L12" s="1152"/>
      <c r="M12" s="1153"/>
      <c r="N12" s="1144"/>
      <c r="O12" s="1146"/>
      <c r="P12" s="1147"/>
      <c r="Q12" s="1148"/>
      <c r="R12" s="1149"/>
      <c r="S12" s="1200"/>
      <c r="T12" s="699"/>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0"/>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2"/>
      <c r="B14" s="1173" t="s">
        <v>2311</v>
      </c>
      <c r="C14" s="1165"/>
      <c r="D14" s="1166"/>
      <c r="E14" s="1166"/>
      <c r="F14" s="1166"/>
      <c r="G14" s="1166"/>
      <c r="H14" s="1166"/>
      <c r="I14" s="1166"/>
      <c r="J14" s="1166"/>
      <c r="K14" s="1166"/>
      <c r="L14" s="1166"/>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2"/>
      <c r="B16" s="1173" t="s">
        <v>2312</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2"/>
      <c r="B18" s="1173" t="s">
        <v>2313</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7" t="s">
        <v>2314</v>
      </c>
      <c r="B20" s="2368" t="s">
        <v>2315</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9" t="s">
        <v>2316</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2317</v>
      </c>
      <c r="B23" s="308">
        <f ca="1">IF(F23="——",IF(C23="万元",T25,S25),IF(C23="万元",T25-H23,S25-H23))</f>
        <v>7809</v>
      </c>
      <c r="C23" s="2370" t="str">
        <f>'数据-取费表'!B3</f>
        <v>万元</v>
      </c>
      <c r="D23" s="84"/>
      <c r="E23" s="84"/>
      <c r="F23" s="2371" t="s">
        <v>1251</v>
      </c>
      <c r="G23" s="1876"/>
      <c r="H23" s="677" t="e">
        <f ca="1">SUMIF(INDIRECT("'"&amp;J23&amp;"'"&amp;"!A:A"),"承租人权益价值",INDIRECT("'"&amp;J23&amp;"'"&amp;"!c:c"))</f>
        <v>#REF!</v>
      </c>
      <c r="I23" s="677" t="str">
        <f>C2</f>
        <v>万元</v>
      </c>
      <c r="J23" s="2372"/>
      <c r="K23" s="84"/>
      <c r="L23" s="84"/>
      <c r="M23" s="84"/>
      <c r="N23" s="84"/>
      <c r="O23" s="84"/>
      <c r="P23" s="84"/>
      <c r="Q23" s="84"/>
      <c r="R23" s="768"/>
      <c r="S23" s="54"/>
      <c r="T23" s="54"/>
      <c r="V23" s="1310"/>
      <c r="W23" s="800"/>
      <c r="X23" s="36"/>
      <c r="Y23" s="36"/>
      <c r="Z23" s="800"/>
    </row>
    <row r="24" spans="1:45" ht="15.75">
      <c r="A24" s="2370" t="s">
        <v>2318</v>
      </c>
      <c r="B24" s="308">
        <f ca="1">R25</f>
        <v>5275</v>
      </c>
      <c r="C24" s="1141"/>
      <c r="D24" s="84"/>
      <c r="E24" s="84"/>
      <c r="F24" s="84"/>
      <c r="G24" s="84"/>
      <c r="H24" s="84"/>
      <c r="I24" s="84"/>
      <c r="J24" s="84"/>
      <c r="K24" s="84"/>
      <c r="L24" s="84"/>
      <c r="M24" s="84"/>
      <c r="N24" s="84"/>
      <c r="O24" s="84"/>
      <c r="P24" s="84"/>
      <c r="Q24" s="84"/>
      <c r="R24" s="768"/>
      <c r="S24" s="14" t="s">
        <v>2319</v>
      </c>
      <c r="T24" s="1893" t="s">
        <v>2320</v>
      </c>
      <c r="U24" s="2373" t="s">
        <v>2321</v>
      </c>
      <c r="V24" s="1339"/>
      <c r="W24" s="2374" t="s">
        <v>2322</v>
      </c>
      <c r="X24" s="2373" t="s">
        <v>2323</v>
      </c>
      <c r="Y24" s="1339"/>
      <c r="Z24" s="2375" t="s">
        <v>2322</v>
      </c>
    </row>
    <row r="25" spans="1:45">
      <c r="A25" s="334" t="s">
        <v>2324</v>
      </c>
      <c r="B25" s="14">
        <f>SUM(B27:B10000)</f>
        <v>14802.979999999996</v>
      </c>
      <c r="C25" s="3060" t="s">
        <v>45</v>
      </c>
      <c r="D25" s="3061"/>
      <c r="E25" s="3061"/>
      <c r="F25" s="3061"/>
      <c r="G25" s="3061"/>
      <c r="H25" s="3061"/>
      <c r="I25" s="3061"/>
      <c r="J25" s="3061"/>
      <c r="K25" s="3061"/>
      <c r="L25" s="3061"/>
      <c r="M25" s="3061"/>
      <c r="N25" s="3061"/>
      <c r="O25" s="3061"/>
      <c r="P25" s="3061"/>
      <c r="Q25" s="3062"/>
      <c r="R25" s="702">
        <f ca="1">IF(C23="万元",ROUND(T25*10000/B25,0),ROUND(S25/B25,0))</f>
        <v>5275</v>
      </c>
      <c r="S25" s="14">
        <f ca="1">SUM(S27:S10000)</f>
        <v>78233673</v>
      </c>
      <c r="T25" s="14">
        <f ca="1">SUM(T27:T10000)</f>
        <v>7809</v>
      </c>
      <c r="U25" s="19">
        <f>SUM(U27:U10000)</f>
        <v>0</v>
      </c>
      <c r="V25" s="19">
        <f>SUM(V27:V10000)</f>
        <v>0</v>
      </c>
      <c r="W25" s="14"/>
      <c r="X25" s="19">
        <f>SUM(X27:X10000)</f>
        <v>0</v>
      </c>
      <c r="Y25" s="19">
        <f>SUM(Y27:Y10000)</f>
        <v>0</v>
      </c>
      <c r="Z25" s="2376"/>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3" t="s">
        <v>2328</v>
      </c>
      <c r="S26" s="10" t="s">
        <v>2329</v>
      </c>
      <c r="T26" s="10" t="s">
        <v>2329</v>
      </c>
      <c r="U26" s="1879" t="s">
        <v>2330</v>
      </c>
      <c r="V26" s="2377" t="s">
        <v>2331</v>
      </c>
      <c r="W26" s="2378" t="s">
        <v>2332</v>
      </c>
      <c r="X26" s="1879" t="s">
        <v>2330</v>
      </c>
      <c r="Y26" s="2377" t="s">
        <v>2331</v>
      </c>
      <c r="Z26" s="2378" t="s">
        <v>2332</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tr">
        <f>Sheet1!A1</f>
        <v>B38</v>
      </c>
      <c r="B27" s="705">
        <f>'数据-取费表'!E5</f>
        <v>48.03</v>
      </c>
      <c r="C27" s="705">
        <v>1</v>
      </c>
      <c r="D27" s="706"/>
      <c r="E27" s="705">
        <v>1</v>
      </c>
      <c r="F27" s="706"/>
      <c r="G27" s="705">
        <v>1</v>
      </c>
      <c r="H27" s="706"/>
      <c r="I27" s="705">
        <v>1</v>
      </c>
      <c r="J27" s="706"/>
      <c r="K27" s="705">
        <v>1</v>
      </c>
      <c r="L27" s="706"/>
      <c r="M27" s="705">
        <v>1</v>
      </c>
      <c r="N27" s="706"/>
      <c r="O27" s="705">
        <v>1</v>
      </c>
      <c r="P27" s="706"/>
      <c r="Q27" s="705">
        <v>1</v>
      </c>
      <c r="R27" s="1189">
        <f ca="1">'结果表 (1修多)'!G20</f>
        <v>5262</v>
      </c>
      <c r="S27" s="705">
        <f ca="1">ROUND(R27*B27,0)</f>
        <v>252734</v>
      </c>
      <c r="T27" s="705">
        <f ca="1">ROUND(R27*B27/10000,0)</f>
        <v>25</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04" t="str">
        <f>Sheet1!A2</f>
        <v>B39</v>
      </c>
      <c r="B28" s="24">
        <f>Sheet1!B2</f>
        <v>48.03</v>
      </c>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5262</v>
      </c>
      <c r="S28" s="334">
        <f ca="1">ROUND(R28*B28,0)</f>
        <v>252734</v>
      </c>
      <c r="T28" s="1179">
        <f ca="1">ROUND(R28*B28/10000,0)</f>
        <v>25</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04" t="str">
        <f>Sheet1!A3</f>
        <v>B40</v>
      </c>
      <c r="B29" s="24">
        <f>Sheet1!B3</f>
        <v>48.03</v>
      </c>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ca="1" si="26">IF(B29="",0,ROUND($R$27*C29*E29*G29*I29*K29*M29*O29*Q29,0))</f>
        <v>5262</v>
      </c>
      <c r="S29" s="334">
        <f t="shared" ref="S29:S92" ca="1" si="27">ROUND(R29*B29,0)</f>
        <v>252734</v>
      </c>
      <c r="T29" s="1179">
        <f t="shared" ref="T29:T92" ca="1" si="28">ROUND(R29*B29/10000,0)</f>
        <v>25</v>
      </c>
      <c r="U29" s="1311">
        <f t="shared" si="22"/>
        <v>0</v>
      </c>
      <c r="V29" s="1311">
        <f t="shared" si="23"/>
        <v>0</v>
      </c>
      <c r="W29" s="1308"/>
      <c r="X29" s="1311">
        <f t="shared" si="24"/>
        <v>0</v>
      </c>
      <c r="Y29" s="1311">
        <f t="shared" si="25"/>
        <v>0</v>
      </c>
      <c r="Z29" s="1308"/>
    </row>
    <row r="30" spans="1:45">
      <c r="A30" s="704" t="str">
        <f>Sheet1!A4</f>
        <v>B41</v>
      </c>
      <c r="B30" s="24">
        <f>Sheet1!B4</f>
        <v>52.63</v>
      </c>
      <c r="C30" s="14">
        <f t="shared" si="14"/>
        <v>1.01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ca="1" si="26"/>
        <v>5315</v>
      </c>
      <c r="S30" s="334">
        <f t="shared" ca="1" si="27"/>
        <v>279728</v>
      </c>
      <c r="T30" s="1179">
        <f t="shared" ca="1" si="28"/>
        <v>28</v>
      </c>
      <c r="U30" s="1311">
        <f t="shared" si="22"/>
        <v>0</v>
      </c>
      <c r="V30" s="1311">
        <f t="shared" si="23"/>
        <v>0</v>
      </c>
      <c r="W30" s="1308"/>
      <c r="X30" s="1311">
        <f t="shared" si="24"/>
        <v>0</v>
      </c>
      <c r="Y30" s="1311">
        <f t="shared" si="25"/>
        <v>0</v>
      </c>
      <c r="Z30" s="1308"/>
    </row>
    <row r="31" spans="1:45">
      <c r="A31" s="704" t="str">
        <f>Sheet1!A5</f>
        <v>B42</v>
      </c>
      <c r="B31" s="24">
        <f>Sheet1!B5</f>
        <v>52.63</v>
      </c>
      <c r="C31" s="14">
        <f t="shared" si="14"/>
        <v>1.01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ca="1" si="26"/>
        <v>5315</v>
      </c>
      <c r="S31" s="334">
        <f t="shared" ca="1" si="27"/>
        <v>279728</v>
      </c>
      <c r="T31" s="1179">
        <f t="shared" ca="1" si="28"/>
        <v>28</v>
      </c>
      <c r="U31" s="1311">
        <f t="shared" si="22"/>
        <v>0</v>
      </c>
      <c r="V31" s="1311">
        <f t="shared" si="23"/>
        <v>0</v>
      </c>
      <c r="W31" s="1308"/>
      <c r="X31" s="1311">
        <f t="shared" si="24"/>
        <v>0</v>
      </c>
      <c r="Y31" s="1311">
        <f t="shared" si="25"/>
        <v>0</v>
      </c>
      <c r="Z31" s="1308"/>
    </row>
    <row r="32" spans="1:45">
      <c r="A32" s="704" t="str">
        <f>Sheet1!A6</f>
        <v>B43</v>
      </c>
      <c r="B32" s="24">
        <f>Sheet1!B6</f>
        <v>52.63</v>
      </c>
      <c r="C32" s="14">
        <f t="shared" si="14"/>
        <v>1.01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ca="1" si="26"/>
        <v>5315</v>
      </c>
      <c r="S32" s="334">
        <f t="shared" ca="1" si="27"/>
        <v>279728</v>
      </c>
      <c r="T32" s="1179">
        <f t="shared" ca="1" si="28"/>
        <v>28</v>
      </c>
      <c r="U32" s="1311">
        <f t="shared" si="22"/>
        <v>0</v>
      </c>
      <c r="V32" s="1311">
        <f t="shared" si="23"/>
        <v>0</v>
      </c>
      <c r="W32" s="1308"/>
      <c r="X32" s="1311">
        <f t="shared" si="24"/>
        <v>0</v>
      </c>
      <c r="Y32" s="1311">
        <f t="shared" si="25"/>
        <v>0</v>
      </c>
      <c r="Z32" s="1308"/>
    </row>
    <row r="33" spans="1:26">
      <c r="A33" s="704" t="str">
        <f>Sheet1!A7</f>
        <v>B44</v>
      </c>
      <c r="B33" s="24">
        <f>Sheet1!B7</f>
        <v>52.83</v>
      </c>
      <c r="C33" s="14">
        <f t="shared" si="14"/>
        <v>1.01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ca="1" si="26"/>
        <v>5315</v>
      </c>
      <c r="S33" s="334">
        <f t="shared" ca="1" si="27"/>
        <v>280791</v>
      </c>
      <c r="T33" s="1179">
        <f t="shared" ca="1" si="28"/>
        <v>28</v>
      </c>
      <c r="U33" s="1311">
        <f t="shared" si="22"/>
        <v>0</v>
      </c>
      <c r="V33" s="1311">
        <f t="shared" si="23"/>
        <v>0</v>
      </c>
      <c r="W33" s="1308"/>
      <c r="X33" s="1311">
        <f t="shared" si="24"/>
        <v>0</v>
      </c>
      <c r="Y33" s="1311">
        <f t="shared" si="25"/>
        <v>0</v>
      </c>
      <c r="Z33" s="1308"/>
    </row>
    <row r="34" spans="1:26">
      <c r="A34" s="704" t="str">
        <f>Sheet1!A8</f>
        <v>B45</v>
      </c>
      <c r="B34" s="24">
        <f>Sheet1!B8</f>
        <v>52.83</v>
      </c>
      <c r="C34" s="14">
        <f t="shared" si="14"/>
        <v>1.01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ca="1" si="26"/>
        <v>5315</v>
      </c>
      <c r="S34" s="334">
        <f t="shared" ca="1" si="27"/>
        <v>280791</v>
      </c>
      <c r="T34" s="1179">
        <f t="shared" ca="1" si="28"/>
        <v>28</v>
      </c>
      <c r="U34" s="1311">
        <f t="shared" si="22"/>
        <v>0</v>
      </c>
      <c r="V34" s="1311">
        <f t="shared" si="23"/>
        <v>0</v>
      </c>
      <c r="W34" s="1308"/>
      <c r="X34" s="1311">
        <f t="shared" si="24"/>
        <v>0</v>
      </c>
      <c r="Y34" s="1311">
        <f t="shared" si="25"/>
        <v>0</v>
      </c>
      <c r="Z34" s="1308"/>
    </row>
    <row r="35" spans="1:26">
      <c r="A35" s="704" t="str">
        <f>Sheet1!A9</f>
        <v>B46</v>
      </c>
      <c r="B35" s="24">
        <f>Sheet1!B9</f>
        <v>52.83</v>
      </c>
      <c r="C35" s="14">
        <f t="shared" si="14"/>
        <v>1.01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ca="1" si="26"/>
        <v>5315</v>
      </c>
      <c r="S35" s="334">
        <f t="shared" ca="1" si="27"/>
        <v>280791</v>
      </c>
      <c r="T35" s="1179">
        <f t="shared" ca="1" si="28"/>
        <v>28</v>
      </c>
      <c r="U35" s="1311">
        <f t="shared" si="22"/>
        <v>0</v>
      </c>
      <c r="V35" s="1311">
        <f t="shared" si="23"/>
        <v>0</v>
      </c>
      <c r="W35" s="1308"/>
      <c r="X35" s="1311">
        <f t="shared" si="24"/>
        <v>0</v>
      </c>
      <c r="Y35" s="1311">
        <f t="shared" si="25"/>
        <v>0</v>
      </c>
      <c r="Z35" s="1308"/>
    </row>
    <row r="36" spans="1:26">
      <c r="A36" s="704" t="str">
        <f>Sheet1!A10</f>
        <v>B47</v>
      </c>
      <c r="B36" s="24">
        <f>Sheet1!B10</f>
        <v>52.83</v>
      </c>
      <c r="C36" s="14">
        <f t="shared" si="14"/>
        <v>1.01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ca="1" si="26"/>
        <v>5315</v>
      </c>
      <c r="S36" s="334">
        <f t="shared" ca="1" si="27"/>
        <v>280791</v>
      </c>
      <c r="T36" s="1179">
        <f t="shared" ca="1" si="28"/>
        <v>28</v>
      </c>
      <c r="U36" s="1311">
        <f t="shared" si="22"/>
        <v>0</v>
      </c>
      <c r="V36" s="1311">
        <f t="shared" si="23"/>
        <v>0</v>
      </c>
      <c r="W36" s="1308"/>
      <c r="X36" s="1311">
        <f t="shared" si="24"/>
        <v>0</v>
      </c>
      <c r="Y36" s="1311">
        <f t="shared" si="25"/>
        <v>0</v>
      </c>
      <c r="Z36" s="1308"/>
    </row>
    <row r="37" spans="1:26">
      <c r="A37" s="704" t="str">
        <f>Sheet1!A11</f>
        <v>B48-1</v>
      </c>
      <c r="B37" s="24">
        <f>Sheet1!B11</f>
        <v>50.33</v>
      </c>
      <c r="C37" s="14">
        <f t="shared" si="14"/>
        <v>1.01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ca="1" si="26"/>
        <v>5315</v>
      </c>
      <c r="S37" s="334">
        <f t="shared" ca="1" si="27"/>
        <v>267504</v>
      </c>
      <c r="T37" s="1179">
        <f t="shared" ca="1" si="28"/>
        <v>27</v>
      </c>
      <c r="U37" s="1311">
        <f t="shared" si="22"/>
        <v>0</v>
      </c>
      <c r="V37" s="1311">
        <f t="shared" si="23"/>
        <v>0</v>
      </c>
      <c r="W37" s="1308"/>
      <c r="X37" s="1311">
        <f t="shared" si="24"/>
        <v>0</v>
      </c>
      <c r="Y37" s="1311">
        <f t="shared" si="25"/>
        <v>0</v>
      </c>
      <c r="Z37" s="1308"/>
    </row>
    <row r="38" spans="1:26">
      <c r="A38" s="704" t="str">
        <f>Sheet1!A12</f>
        <v>B48-2</v>
      </c>
      <c r="B38" s="24">
        <f>Sheet1!B12</f>
        <v>50.33</v>
      </c>
      <c r="C38" s="14">
        <f t="shared" si="14"/>
        <v>1.01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ca="1" si="26"/>
        <v>5315</v>
      </c>
      <c r="S38" s="334">
        <f t="shared" ca="1" si="27"/>
        <v>267504</v>
      </c>
      <c r="T38" s="1179">
        <f t="shared" ca="1" si="28"/>
        <v>27</v>
      </c>
      <c r="U38" s="1311">
        <f t="shared" si="22"/>
        <v>0</v>
      </c>
      <c r="V38" s="1311">
        <f t="shared" si="23"/>
        <v>0</v>
      </c>
      <c r="W38" s="1308"/>
      <c r="X38" s="1311">
        <f t="shared" si="24"/>
        <v>0</v>
      </c>
      <c r="Y38" s="1311">
        <f t="shared" si="25"/>
        <v>0</v>
      </c>
      <c r="Z38" s="1308"/>
    </row>
    <row r="39" spans="1:26">
      <c r="A39" s="704" t="str">
        <f>Sheet1!A13</f>
        <v>B49</v>
      </c>
      <c r="B39" s="24">
        <f>Sheet1!B13</f>
        <v>49.63</v>
      </c>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ca="1" si="26"/>
        <v>5262</v>
      </c>
      <c r="S39" s="334">
        <f t="shared" ca="1" si="27"/>
        <v>261153</v>
      </c>
      <c r="T39" s="1179">
        <f t="shared" ca="1" si="28"/>
        <v>26</v>
      </c>
      <c r="U39" s="1311">
        <f t="shared" si="22"/>
        <v>0</v>
      </c>
      <c r="V39" s="1311">
        <f t="shared" si="23"/>
        <v>0</v>
      </c>
      <c r="W39" s="1308"/>
      <c r="X39" s="1311">
        <f t="shared" si="24"/>
        <v>0</v>
      </c>
      <c r="Y39" s="1311">
        <f t="shared" si="25"/>
        <v>0</v>
      </c>
      <c r="Z39" s="1308"/>
    </row>
    <row r="40" spans="1:26">
      <c r="A40" s="704" t="str">
        <f>Sheet1!A14</f>
        <v>B50</v>
      </c>
      <c r="B40" s="24">
        <f>Sheet1!B14</f>
        <v>49.63</v>
      </c>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ca="1" si="26"/>
        <v>5262</v>
      </c>
      <c r="S40" s="334">
        <f t="shared" ca="1" si="27"/>
        <v>261153</v>
      </c>
      <c r="T40" s="1179">
        <f t="shared" ca="1" si="28"/>
        <v>26</v>
      </c>
      <c r="U40" s="1311">
        <f t="shared" si="22"/>
        <v>0</v>
      </c>
      <c r="V40" s="1311">
        <f t="shared" si="23"/>
        <v>0</v>
      </c>
      <c r="W40" s="1308"/>
      <c r="X40" s="1311">
        <f t="shared" si="24"/>
        <v>0</v>
      </c>
      <c r="Y40" s="1311">
        <f t="shared" si="25"/>
        <v>0</v>
      </c>
      <c r="Z40" s="1308"/>
    </row>
    <row r="41" spans="1:26">
      <c r="A41" s="704" t="str">
        <f>Sheet1!A15</f>
        <v>B51</v>
      </c>
      <c r="B41" s="24">
        <f>Sheet1!B15</f>
        <v>48.03</v>
      </c>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ca="1" si="26"/>
        <v>5262</v>
      </c>
      <c r="S41" s="334">
        <f t="shared" ca="1" si="27"/>
        <v>252734</v>
      </c>
      <c r="T41" s="1179">
        <f t="shared" ca="1" si="28"/>
        <v>25</v>
      </c>
      <c r="U41" s="1311">
        <f t="shared" si="22"/>
        <v>0</v>
      </c>
      <c r="V41" s="1311">
        <f t="shared" si="23"/>
        <v>0</v>
      </c>
      <c r="W41" s="1308"/>
      <c r="X41" s="1311">
        <f t="shared" si="24"/>
        <v>0</v>
      </c>
      <c r="Y41" s="1311">
        <f t="shared" si="25"/>
        <v>0</v>
      </c>
      <c r="Z41" s="1308"/>
    </row>
    <row r="42" spans="1:26">
      <c r="A42" s="704" t="str">
        <f>Sheet1!A16</f>
        <v>B52</v>
      </c>
      <c r="B42" s="24">
        <f>Sheet1!B16</f>
        <v>48.03</v>
      </c>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ca="1" si="26"/>
        <v>5262</v>
      </c>
      <c r="S42" s="334">
        <f t="shared" ca="1" si="27"/>
        <v>252734</v>
      </c>
      <c r="T42" s="1179">
        <f t="shared" ca="1" si="28"/>
        <v>25</v>
      </c>
      <c r="U42" s="1311">
        <f t="shared" si="22"/>
        <v>0</v>
      </c>
      <c r="V42" s="1311">
        <f t="shared" si="23"/>
        <v>0</v>
      </c>
      <c r="W42" s="1308"/>
      <c r="X42" s="1311">
        <f t="shared" si="24"/>
        <v>0</v>
      </c>
      <c r="Y42" s="1311">
        <f t="shared" si="25"/>
        <v>0</v>
      </c>
      <c r="Z42" s="1308"/>
    </row>
    <row r="43" spans="1:26">
      <c r="A43" s="704" t="str">
        <f>Sheet1!A17</f>
        <v>B53</v>
      </c>
      <c r="B43" s="24">
        <f>Sheet1!B17</f>
        <v>48.03</v>
      </c>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ca="1" si="26"/>
        <v>5262</v>
      </c>
      <c r="S43" s="334">
        <f t="shared" ca="1" si="27"/>
        <v>252734</v>
      </c>
      <c r="T43" s="1179">
        <f t="shared" ca="1" si="28"/>
        <v>25</v>
      </c>
      <c r="U43" s="1311">
        <f t="shared" si="22"/>
        <v>0</v>
      </c>
      <c r="V43" s="1311">
        <f t="shared" si="23"/>
        <v>0</v>
      </c>
      <c r="W43" s="1308"/>
      <c r="X43" s="1311">
        <f t="shared" si="24"/>
        <v>0</v>
      </c>
      <c r="Y43" s="1311">
        <f t="shared" si="25"/>
        <v>0</v>
      </c>
      <c r="Z43" s="1308"/>
    </row>
    <row r="44" spans="1:26">
      <c r="A44" s="704" t="str">
        <f>Sheet1!A18</f>
        <v>B54</v>
      </c>
      <c r="B44" s="24">
        <f>Sheet1!B18</f>
        <v>48.03</v>
      </c>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ca="1" si="26"/>
        <v>5262</v>
      </c>
      <c r="S44" s="334">
        <f t="shared" ca="1" si="27"/>
        <v>252734</v>
      </c>
      <c r="T44" s="1179">
        <f t="shared" ca="1" si="28"/>
        <v>25</v>
      </c>
      <c r="U44" s="1311">
        <f t="shared" si="22"/>
        <v>0</v>
      </c>
      <c r="V44" s="1311">
        <f t="shared" si="23"/>
        <v>0</v>
      </c>
      <c r="W44" s="1308"/>
      <c r="X44" s="1311">
        <f t="shared" si="24"/>
        <v>0</v>
      </c>
      <c r="Y44" s="1311">
        <f t="shared" si="25"/>
        <v>0</v>
      </c>
      <c r="Z44" s="1308"/>
    </row>
    <row r="45" spans="1:26">
      <c r="A45" s="704" t="str">
        <f>Sheet1!A19</f>
        <v>B55</v>
      </c>
      <c r="B45" s="24">
        <f>Sheet1!B19</f>
        <v>48.03</v>
      </c>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ca="1" si="26"/>
        <v>5262</v>
      </c>
      <c r="S45" s="334">
        <f t="shared" ca="1" si="27"/>
        <v>252734</v>
      </c>
      <c r="T45" s="1179">
        <f t="shared" ca="1" si="28"/>
        <v>25</v>
      </c>
      <c r="U45" s="1311">
        <f t="shared" si="22"/>
        <v>0</v>
      </c>
      <c r="V45" s="1311">
        <f t="shared" si="23"/>
        <v>0</v>
      </c>
      <c r="W45" s="1308"/>
      <c r="X45" s="1311">
        <f t="shared" si="24"/>
        <v>0</v>
      </c>
      <c r="Y45" s="1311">
        <f t="shared" si="25"/>
        <v>0</v>
      </c>
      <c r="Z45" s="1308"/>
    </row>
    <row r="46" spans="1:26">
      <c r="A46" s="704" t="str">
        <f>Sheet1!A20</f>
        <v>B56</v>
      </c>
      <c r="B46" s="24">
        <f>Sheet1!B20</f>
        <v>48.03</v>
      </c>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ca="1" si="26"/>
        <v>5262</v>
      </c>
      <c r="S46" s="334">
        <f t="shared" ca="1" si="27"/>
        <v>252734</v>
      </c>
      <c r="T46" s="1179">
        <f t="shared" ca="1" si="28"/>
        <v>25</v>
      </c>
      <c r="U46" s="1311">
        <f t="shared" si="22"/>
        <v>0</v>
      </c>
      <c r="V46" s="1311">
        <f t="shared" si="23"/>
        <v>0</v>
      </c>
      <c r="W46" s="1308"/>
      <c r="X46" s="1311">
        <f t="shared" si="24"/>
        <v>0</v>
      </c>
      <c r="Y46" s="1311">
        <f t="shared" si="25"/>
        <v>0</v>
      </c>
      <c r="Z46" s="1308"/>
    </row>
    <row r="47" spans="1:26">
      <c r="A47" s="704" t="str">
        <f>Sheet1!A21</f>
        <v>B57</v>
      </c>
      <c r="B47" s="24">
        <f>Sheet1!B21</f>
        <v>48.03</v>
      </c>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ca="1" si="26"/>
        <v>5262</v>
      </c>
      <c r="S47" s="334">
        <f t="shared" ca="1" si="27"/>
        <v>252734</v>
      </c>
      <c r="T47" s="1179">
        <f t="shared" ca="1" si="28"/>
        <v>25</v>
      </c>
      <c r="U47" s="1311">
        <f t="shared" si="22"/>
        <v>0</v>
      </c>
      <c r="V47" s="1311">
        <f t="shared" si="23"/>
        <v>0</v>
      </c>
      <c r="W47" s="1308"/>
      <c r="X47" s="1311">
        <f t="shared" si="24"/>
        <v>0</v>
      </c>
      <c r="Y47" s="1311">
        <f t="shared" si="25"/>
        <v>0</v>
      </c>
      <c r="Z47" s="1308"/>
    </row>
    <row r="48" spans="1:26">
      <c r="A48" s="704" t="str">
        <f>Sheet1!A22</f>
        <v>B58</v>
      </c>
      <c r="B48" s="24">
        <f>Sheet1!B22</f>
        <v>48.03</v>
      </c>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ca="1" si="26"/>
        <v>5262</v>
      </c>
      <c r="S48" s="334">
        <f t="shared" ca="1" si="27"/>
        <v>252734</v>
      </c>
      <c r="T48" s="1179">
        <f t="shared" ca="1" si="28"/>
        <v>25</v>
      </c>
      <c r="U48" s="1311">
        <f t="shared" si="22"/>
        <v>0</v>
      </c>
      <c r="V48" s="1311">
        <f t="shared" si="23"/>
        <v>0</v>
      </c>
      <c r="W48" s="1308"/>
      <c r="X48" s="1311">
        <f t="shared" si="24"/>
        <v>0</v>
      </c>
      <c r="Y48" s="1311">
        <f t="shared" si="25"/>
        <v>0</v>
      </c>
      <c r="Z48" s="1308"/>
    </row>
    <row r="49" spans="1:26">
      <c r="A49" s="704" t="str">
        <f>Sheet1!A23</f>
        <v>B59</v>
      </c>
      <c r="B49" s="24">
        <f>Sheet1!B23</f>
        <v>48.03</v>
      </c>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ca="1" si="26"/>
        <v>5262</v>
      </c>
      <c r="S49" s="334">
        <f t="shared" ca="1" si="27"/>
        <v>252734</v>
      </c>
      <c r="T49" s="1179">
        <f t="shared" ca="1" si="28"/>
        <v>25</v>
      </c>
      <c r="U49" s="1311">
        <f t="shared" si="22"/>
        <v>0</v>
      </c>
      <c r="V49" s="1311">
        <f t="shared" si="23"/>
        <v>0</v>
      </c>
      <c r="W49" s="1308"/>
      <c r="X49" s="1311">
        <f t="shared" si="24"/>
        <v>0</v>
      </c>
      <c r="Y49" s="1311">
        <f t="shared" si="25"/>
        <v>0</v>
      </c>
      <c r="Z49" s="1308"/>
    </row>
    <row r="50" spans="1:26">
      <c r="A50" s="704" t="str">
        <f>Sheet1!A24</f>
        <v>B60</v>
      </c>
      <c r="B50" s="24">
        <f>Sheet1!B24</f>
        <v>48.03</v>
      </c>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ca="1" si="26"/>
        <v>5262</v>
      </c>
      <c r="S50" s="334">
        <f t="shared" ca="1" si="27"/>
        <v>252734</v>
      </c>
      <c r="T50" s="1179">
        <f t="shared" ca="1" si="28"/>
        <v>25</v>
      </c>
      <c r="U50" s="1311">
        <f t="shared" si="22"/>
        <v>0</v>
      </c>
      <c r="V50" s="1311">
        <f t="shared" si="23"/>
        <v>0</v>
      </c>
      <c r="W50" s="1308"/>
      <c r="X50" s="1311">
        <f t="shared" si="24"/>
        <v>0</v>
      </c>
      <c r="Y50" s="1311">
        <f t="shared" si="25"/>
        <v>0</v>
      </c>
      <c r="Z50" s="1308"/>
    </row>
    <row r="51" spans="1:26">
      <c r="A51" s="704" t="str">
        <f>Sheet1!A25</f>
        <v>B61</v>
      </c>
      <c r="B51" s="24">
        <f>Sheet1!B25</f>
        <v>48.03</v>
      </c>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ca="1" si="26"/>
        <v>5262</v>
      </c>
      <c r="S51" s="334">
        <f t="shared" ca="1" si="27"/>
        <v>252734</v>
      </c>
      <c r="T51" s="1179">
        <f t="shared" ca="1" si="28"/>
        <v>25</v>
      </c>
      <c r="U51" s="1311">
        <f t="shared" si="22"/>
        <v>0</v>
      </c>
      <c r="V51" s="1311">
        <f t="shared" si="23"/>
        <v>0</v>
      </c>
      <c r="W51" s="1308"/>
      <c r="X51" s="1311">
        <f t="shared" si="24"/>
        <v>0</v>
      </c>
      <c r="Y51" s="1311">
        <f t="shared" si="25"/>
        <v>0</v>
      </c>
      <c r="Z51" s="1308"/>
    </row>
    <row r="52" spans="1:26">
      <c r="A52" s="704" t="str">
        <f>Sheet1!A26</f>
        <v>B62</v>
      </c>
      <c r="B52" s="24">
        <f>Sheet1!B26</f>
        <v>48.03</v>
      </c>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ca="1" si="26"/>
        <v>5262</v>
      </c>
      <c r="S52" s="334">
        <f t="shared" ca="1" si="27"/>
        <v>252734</v>
      </c>
      <c r="T52" s="1179">
        <f t="shared" ca="1" si="28"/>
        <v>25</v>
      </c>
      <c r="U52" s="1311">
        <f t="shared" si="22"/>
        <v>0</v>
      </c>
      <c r="V52" s="1311">
        <f t="shared" si="23"/>
        <v>0</v>
      </c>
      <c r="W52" s="1308"/>
      <c r="X52" s="1311">
        <f t="shared" si="24"/>
        <v>0</v>
      </c>
      <c r="Y52" s="1311">
        <f t="shared" si="25"/>
        <v>0</v>
      </c>
      <c r="Z52" s="1308"/>
    </row>
    <row r="53" spans="1:26">
      <c r="A53" s="704" t="str">
        <f>Sheet1!A27</f>
        <v>C01</v>
      </c>
      <c r="B53" s="24">
        <f>Sheet1!B27</f>
        <v>52.63</v>
      </c>
      <c r="C53" s="14">
        <f t="shared" si="14"/>
        <v>1.01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ca="1" si="26"/>
        <v>5315</v>
      </c>
      <c r="S53" s="334">
        <f t="shared" ca="1" si="27"/>
        <v>279728</v>
      </c>
      <c r="T53" s="1179">
        <f t="shared" ca="1" si="28"/>
        <v>28</v>
      </c>
      <c r="U53" s="1311">
        <f t="shared" si="22"/>
        <v>0</v>
      </c>
      <c r="V53" s="1311">
        <f t="shared" si="23"/>
        <v>0</v>
      </c>
      <c r="W53" s="1308"/>
      <c r="X53" s="1311">
        <f t="shared" si="24"/>
        <v>0</v>
      </c>
      <c r="Y53" s="1311">
        <f t="shared" si="25"/>
        <v>0</v>
      </c>
      <c r="Z53" s="1308"/>
    </row>
    <row r="54" spans="1:26">
      <c r="A54" s="704" t="str">
        <f>Sheet1!A28</f>
        <v>C02</v>
      </c>
      <c r="B54" s="24">
        <f>Sheet1!B28</f>
        <v>52.63</v>
      </c>
      <c r="C54" s="14">
        <f t="shared" si="14"/>
        <v>1.01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ca="1" si="26"/>
        <v>5315</v>
      </c>
      <c r="S54" s="334">
        <f t="shared" ca="1" si="27"/>
        <v>279728</v>
      </c>
      <c r="T54" s="1179">
        <f t="shared" ca="1" si="28"/>
        <v>28</v>
      </c>
      <c r="U54" s="1311">
        <f t="shared" si="22"/>
        <v>0</v>
      </c>
      <c r="V54" s="1311">
        <f t="shared" si="23"/>
        <v>0</v>
      </c>
      <c r="W54" s="1308"/>
      <c r="X54" s="1311">
        <f t="shared" si="24"/>
        <v>0</v>
      </c>
      <c r="Y54" s="1311">
        <f t="shared" si="25"/>
        <v>0</v>
      </c>
      <c r="Z54" s="1308"/>
    </row>
    <row r="55" spans="1:26">
      <c r="A55" s="704" t="str">
        <f>Sheet1!A29</f>
        <v>C03</v>
      </c>
      <c r="B55" s="24">
        <f>Sheet1!B29</f>
        <v>52.63</v>
      </c>
      <c r="C55" s="14">
        <f t="shared" si="14"/>
        <v>1.01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ca="1" si="26"/>
        <v>5315</v>
      </c>
      <c r="S55" s="334">
        <f t="shared" ca="1" si="27"/>
        <v>279728</v>
      </c>
      <c r="T55" s="1179">
        <f t="shared" ca="1" si="28"/>
        <v>28</v>
      </c>
      <c r="U55" s="1311">
        <f t="shared" si="22"/>
        <v>0</v>
      </c>
      <c r="V55" s="1311">
        <f t="shared" si="23"/>
        <v>0</v>
      </c>
      <c r="W55" s="1308"/>
      <c r="X55" s="1311">
        <f t="shared" si="24"/>
        <v>0</v>
      </c>
      <c r="Y55" s="1311">
        <f t="shared" si="25"/>
        <v>0</v>
      </c>
      <c r="Z55" s="1308"/>
    </row>
    <row r="56" spans="1:26">
      <c r="A56" s="704" t="str">
        <f>Sheet1!A30</f>
        <v>C04</v>
      </c>
      <c r="B56" s="24">
        <f>Sheet1!B30</f>
        <v>48.03</v>
      </c>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ca="1" si="26"/>
        <v>5262</v>
      </c>
      <c r="S56" s="334">
        <f t="shared" ca="1" si="27"/>
        <v>252734</v>
      </c>
      <c r="T56" s="1179">
        <f t="shared" ca="1" si="28"/>
        <v>25</v>
      </c>
      <c r="U56" s="1311">
        <f t="shared" si="22"/>
        <v>0</v>
      </c>
      <c r="V56" s="1311">
        <f t="shared" si="23"/>
        <v>0</v>
      </c>
      <c r="W56" s="1308"/>
      <c r="X56" s="1311">
        <f t="shared" si="24"/>
        <v>0</v>
      </c>
      <c r="Y56" s="1311">
        <f t="shared" si="25"/>
        <v>0</v>
      </c>
      <c r="Z56" s="1308"/>
    </row>
    <row r="57" spans="1:26">
      <c r="A57" s="704" t="str">
        <f>Sheet1!A31</f>
        <v>C05</v>
      </c>
      <c r="B57" s="24">
        <f>Sheet1!B31</f>
        <v>48.03</v>
      </c>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ca="1" si="26"/>
        <v>5262</v>
      </c>
      <c r="S57" s="334">
        <f t="shared" ca="1" si="27"/>
        <v>252734</v>
      </c>
      <c r="T57" s="1179">
        <f t="shared" ca="1" si="28"/>
        <v>25</v>
      </c>
      <c r="U57" s="1311">
        <f t="shared" si="22"/>
        <v>0</v>
      </c>
      <c r="V57" s="1311">
        <f t="shared" si="23"/>
        <v>0</v>
      </c>
      <c r="W57" s="1308"/>
      <c r="X57" s="1311">
        <f t="shared" si="24"/>
        <v>0</v>
      </c>
      <c r="Y57" s="1311">
        <f t="shared" si="25"/>
        <v>0</v>
      </c>
      <c r="Z57" s="1308"/>
    </row>
    <row r="58" spans="1:26">
      <c r="A58" s="704" t="str">
        <f>Sheet1!A32</f>
        <v>C06</v>
      </c>
      <c r="B58" s="24">
        <f>Sheet1!B32</f>
        <v>48.03</v>
      </c>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ca="1" si="26"/>
        <v>5262</v>
      </c>
      <c r="S58" s="334">
        <f t="shared" ca="1" si="27"/>
        <v>252734</v>
      </c>
      <c r="T58" s="1179">
        <f t="shared" ca="1" si="28"/>
        <v>25</v>
      </c>
      <c r="U58" s="1311">
        <f t="shared" si="22"/>
        <v>0</v>
      </c>
      <c r="V58" s="1311">
        <f t="shared" si="23"/>
        <v>0</v>
      </c>
      <c r="W58" s="1308"/>
      <c r="X58" s="1311">
        <f t="shared" si="24"/>
        <v>0</v>
      </c>
      <c r="Y58" s="1311">
        <f t="shared" si="25"/>
        <v>0</v>
      </c>
      <c r="Z58" s="1308"/>
    </row>
    <row r="59" spans="1:26">
      <c r="A59" s="704" t="str">
        <f>Sheet1!A33</f>
        <v>C31</v>
      </c>
      <c r="B59" s="24">
        <f>Sheet1!B33</f>
        <v>48.03</v>
      </c>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ca="1" si="26"/>
        <v>5262</v>
      </c>
      <c r="S59" s="334">
        <f t="shared" ca="1" si="27"/>
        <v>252734</v>
      </c>
      <c r="T59" s="1179">
        <f t="shared" ca="1" si="28"/>
        <v>25</v>
      </c>
      <c r="U59" s="1311">
        <f t="shared" si="22"/>
        <v>0</v>
      </c>
      <c r="V59" s="1311">
        <f t="shared" si="23"/>
        <v>0</v>
      </c>
      <c r="W59" s="1308"/>
      <c r="X59" s="1311">
        <f t="shared" si="24"/>
        <v>0</v>
      </c>
      <c r="Y59" s="1311">
        <f t="shared" si="25"/>
        <v>0</v>
      </c>
      <c r="Z59" s="1308"/>
    </row>
    <row r="60" spans="1:26">
      <c r="A60" s="704" t="str">
        <f>Sheet1!A34</f>
        <v>C32</v>
      </c>
      <c r="B60" s="24">
        <f>Sheet1!B34</f>
        <v>48.03</v>
      </c>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ca="1" si="26"/>
        <v>5262</v>
      </c>
      <c r="S60" s="334">
        <f t="shared" ca="1" si="27"/>
        <v>252734</v>
      </c>
      <c r="T60" s="1179">
        <f t="shared" ca="1" si="28"/>
        <v>25</v>
      </c>
      <c r="U60" s="1311">
        <f t="shared" si="22"/>
        <v>0</v>
      </c>
      <c r="V60" s="1311">
        <f t="shared" si="23"/>
        <v>0</v>
      </c>
      <c r="W60" s="1308"/>
      <c r="X60" s="1311">
        <f t="shared" si="24"/>
        <v>0</v>
      </c>
      <c r="Y60" s="1311">
        <f t="shared" si="25"/>
        <v>0</v>
      </c>
      <c r="Z60" s="1308"/>
    </row>
    <row r="61" spans="1:26">
      <c r="A61" s="704" t="str">
        <f>Sheet1!A35</f>
        <v>C33</v>
      </c>
      <c r="B61" s="24">
        <f>Sheet1!B35</f>
        <v>48.03</v>
      </c>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ca="1" si="26"/>
        <v>5262</v>
      </c>
      <c r="S61" s="334">
        <f t="shared" ca="1" si="27"/>
        <v>252734</v>
      </c>
      <c r="T61" s="1179">
        <f t="shared" ca="1" si="28"/>
        <v>25</v>
      </c>
      <c r="U61" s="1311">
        <f t="shared" si="22"/>
        <v>0</v>
      </c>
      <c r="V61" s="1311">
        <f t="shared" si="23"/>
        <v>0</v>
      </c>
      <c r="W61" s="1308"/>
      <c r="X61" s="1311">
        <f t="shared" si="24"/>
        <v>0</v>
      </c>
      <c r="Y61" s="1311">
        <f t="shared" si="25"/>
        <v>0</v>
      </c>
      <c r="Z61" s="1308"/>
    </row>
    <row r="62" spans="1:26">
      <c r="A62" s="704" t="str">
        <f>Sheet1!A36</f>
        <v>C34</v>
      </c>
      <c r="B62" s="24">
        <f>Sheet1!B36</f>
        <v>48.03</v>
      </c>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ca="1" si="26"/>
        <v>5262</v>
      </c>
      <c r="S62" s="334">
        <f t="shared" ca="1" si="27"/>
        <v>252734</v>
      </c>
      <c r="T62" s="1179">
        <f t="shared" ca="1" si="28"/>
        <v>25</v>
      </c>
      <c r="U62" s="1311">
        <f t="shared" si="22"/>
        <v>0</v>
      </c>
      <c r="V62" s="1311">
        <f t="shared" si="23"/>
        <v>0</v>
      </c>
      <c r="W62" s="1308"/>
      <c r="X62" s="1311">
        <f t="shared" si="24"/>
        <v>0</v>
      </c>
      <c r="Y62" s="1311">
        <f t="shared" si="25"/>
        <v>0</v>
      </c>
      <c r="Z62" s="1308"/>
    </row>
    <row r="63" spans="1:26">
      <c r="A63" s="704" t="str">
        <f>Sheet1!A37</f>
        <v>C35</v>
      </c>
      <c r="B63" s="24">
        <f>Sheet1!B37</f>
        <v>44.02</v>
      </c>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ca="1" si="26"/>
        <v>5262</v>
      </c>
      <c r="S63" s="334">
        <f t="shared" ca="1" si="27"/>
        <v>231633</v>
      </c>
      <c r="T63" s="1179">
        <f t="shared" ca="1" si="28"/>
        <v>23</v>
      </c>
      <c r="U63" s="1311">
        <f t="shared" si="22"/>
        <v>0</v>
      </c>
      <c r="V63" s="1311">
        <f t="shared" si="23"/>
        <v>0</v>
      </c>
      <c r="W63" s="1308"/>
      <c r="X63" s="1311">
        <f t="shared" si="24"/>
        <v>0</v>
      </c>
      <c r="Y63" s="1311">
        <f t="shared" si="25"/>
        <v>0</v>
      </c>
      <c r="Z63" s="1308"/>
    </row>
    <row r="64" spans="1:26">
      <c r="A64" s="704" t="str">
        <f>Sheet1!A38</f>
        <v>C36</v>
      </c>
      <c r="B64" s="24">
        <f>Sheet1!B38</f>
        <v>44.02</v>
      </c>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ca="1" si="26"/>
        <v>5262</v>
      </c>
      <c r="S64" s="334">
        <f t="shared" ca="1" si="27"/>
        <v>231633</v>
      </c>
      <c r="T64" s="1179">
        <f t="shared" ca="1" si="28"/>
        <v>23</v>
      </c>
      <c r="U64" s="1311">
        <f t="shared" si="22"/>
        <v>0</v>
      </c>
      <c r="V64" s="1311">
        <f t="shared" si="23"/>
        <v>0</v>
      </c>
      <c r="W64" s="1308"/>
      <c r="X64" s="1311">
        <f t="shared" si="24"/>
        <v>0</v>
      </c>
      <c r="Y64" s="1311">
        <f t="shared" si="25"/>
        <v>0</v>
      </c>
      <c r="Z64" s="1308"/>
    </row>
    <row r="65" spans="1:26">
      <c r="A65" s="704" t="str">
        <f>Sheet1!A39</f>
        <v>C37-1</v>
      </c>
      <c r="B65" s="24">
        <f>Sheet1!B39</f>
        <v>44.48</v>
      </c>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ca="1" si="26"/>
        <v>5262</v>
      </c>
      <c r="S65" s="334">
        <f t="shared" ca="1" si="27"/>
        <v>234054</v>
      </c>
      <c r="T65" s="1179">
        <f t="shared" ca="1" si="28"/>
        <v>23</v>
      </c>
      <c r="U65" s="1311">
        <f t="shared" si="22"/>
        <v>0</v>
      </c>
      <c r="V65" s="1311">
        <f t="shared" si="23"/>
        <v>0</v>
      </c>
      <c r="W65" s="1308"/>
      <c r="X65" s="1311">
        <f t="shared" si="24"/>
        <v>0</v>
      </c>
      <c r="Y65" s="1311">
        <f t="shared" si="25"/>
        <v>0</v>
      </c>
      <c r="Z65" s="1308"/>
    </row>
    <row r="66" spans="1:26">
      <c r="A66" s="704" t="str">
        <f>Sheet1!A40</f>
        <v>C37-2</v>
      </c>
      <c r="B66" s="24">
        <f>Sheet1!B40</f>
        <v>44.48</v>
      </c>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ca="1" si="26"/>
        <v>5262</v>
      </c>
      <c r="S66" s="334">
        <f t="shared" ca="1" si="27"/>
        <v>234054</v>
      </c>
      <c r="T66" s="1179">
        <f t="shared" ca="1" si="28"/>
        <v>23</v>
      </c>
      <c r="U66" s="1311">
        <f t="shared" si="22"/>
        <v>0</v>
      </c>
      <c r="V66" s="1311">
        <f t="shared" si="23"/>
        <v>0</v>
      </c>
      <c r="W66" s="1308"/>
      <c r="X66" s="1311">
        <f t="shared" si="24"/>
        <v>0</v>
      </c>
      <c r="Y66" s="1311">
        <f t="shared" si="25"/>
        <v>0</v>
      </c>
      <c r="Z66" s="1308"/>
    </row>
    <row r="67" spans="1:26">
      <c r="A67" s="704" t="str">
        <f>Sheet1!A41</f>
        <v>C52</v>
      </c>
      <c r="B67" s="24">
        <f>Sheet1!B41</f>
        <v>48.03</v>
      </c>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ca="1" si="26"/>
        <v>5262</v>
      </c>
      <c r="S67" s="334">
        <f t="shared" ca="1" si="27"/>
        <v>252734</v>
      </c>
      <c r="T67" s="1179">
        <f t="shared" ca="1" si="28"/>
        <v>25</v>
      </c>
      <c r="U67" s="1311">
        <f t="shared" si="22"/>
        <v>0</v>
      </c>
      <c r="V67" s="1311">
        <f t="shared" si="23"/>
        <v>0</v>
      </c>
      <c r="W67" s="1308"/>
      <c r="X67" s="1311">
        <f t="shared" si="24"/>
        <v>0</v>
      </c>
      <c r="Y67" s="1311">
        <f t="shared" si="25"/>
        <v>0</v>
      </c>
      <c r="Z67" s="1308"/>
    </row>
    <row r="68" spans="1:26">
      <c r="A68" s="704" t="str">
        <f>Sheet1!A42</f>
        <v>C53</v>
      </c>
      <c r="B68" s="24">
        <f>Sheet1!B42</f>
        <v>48.03</v>
      </c>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ca="1" si="26"/>
        <v>5262</v>
      </c>
      <c r="S68" s="334">
        <f t="shared" ca="1" si="27"/>
        <v>252734</v>
      </c>
      <c r="T68" s="1179">
        <f t="shared" ca="1" si="28"/>
        <v>25</v>
      </c>
      <c r="U68" s="1311">
        <f t="shared" si="22"/>
        <v>0</v>
      </c>
      <c r="V68" s="1311">
        <f t="shared" si="23"/>
        <v>0</v>
      </c>
      <c r="W68" s="1308"/>
      <c r="X68" s="1311">
        <f t="shared" si="24"/>
        <v>0</v>
      </c>
      <c r="Y68" s="1311">
        <f t="shared" si="25"/>
        <v>0</v>
      </c>
      <c r="Z68" s="1308"/>
    </row>
    <row r="69" spans="1:26">
      <c r="A69" s="704" t="str">
        <f>Sheet1!A43</f>
        <v>C54</v>
      </c>
      <c r="B69" s="24">
        <f>Sheet1!B43</f>
        <v>48.03</v>
      </c>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ca="1" si="26"/>
        <v>5262</v>
      </c>
      <c r="S69" s="334">
        <f t="shared" ca="1" si="27"/>
        <v>252734</v>
      </c>
      <c r="T69" s="1179">
        <f t="shared" ca="1" si="28"/>
        <v>25</v>
      </c>
      <c r="U69" s="1311">
        <f t="shared" si="22"/>
        <v>0</v>
      </c>
      <c r="V69" s="1311">
        <f t="shared" si="23"/>
        <v>0</v>
      </c>
      <c r="W69" s="1308"/>
      <c r="X69" s="1311">
        <f t="shared" si="24"/>
        <v>0</v>
      </c>
      <c r="Y69" s="1311">
        <f t="shared" si="25"/>
        <v>0</v>
      </c>
      <c r="Z69" s="1308"/>
    </row>
    <row r="70" spans="1:26">
      <c r="A70" s="704" t="str">
        <f>Sheet1!A44</f>
        <v>C55</v>
      </c>
      <c r="B70" s="24">
        <f>Sheet1!B44</f>
        <v>48.03</v>
      </c>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ca="1" si="26"/>
        <v>5262</v>
      </c>
      <c r="S70" s="334">
        <f t="shared" ca="1" si="27"/>
        <v>252734</v>
      </c>
      <c r="T70" s="1179">
        <f t="shared" ca="1" si="28"/>
        <v>25</v>
      </c>
      <c r="U70" s="1311">
        <f t="shared" si="22"/>
        <v>0</v>
      </c>
      <c r="V70" s="1311">
        <f t="shared" si="23"/>
        <v>0</v>
      </c>
      <c r="W70" s="1308"/>
      <c r="X70" s="1311">
        <f t="shared" si="24"/>
        <v>0</v>
      </c>
      <c r="Y70" s="1311">
        <f t="shared" si="25"/>
        <v>0</v>
      </c>
      <c r="Z70" s="1308"/>
    </row>
    <row r="71" spans="1:26">
      <c r="A71" s="704" t="str">
        <f>Sheet1!A45</f>
        <v>C56</v>
      </c>
      <c r="B71" s="24">
        <f>Sheet1!B45</f>
        <v>48.03</v>
      </c>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ca="1" si="26"/>
        <v>5262</v>
      </c>
      <c r="S71" s="334">
        <f t="shared" ca="1" si="27"/>
        <v>252734</v>
      </c>
      <c r="T71" s="1179">
        <f t="shared" ca="1" si="28"/>
        <v>25</v>
      </c>
      <c r="U71" s="1311">
        <f t="shared" si="22"/>
        <v>0</v>
      </c>
      <c r="V71" s="1311">
        <f t="shared" si="23"/>
        <v>0</v>
      </c>
      <c r="W71" s="1308"/>
      <c r="X71" s="1311">
        <f t="shared" si="24"/>
        <v>0</v>
      </c>
      <c r="Y71" s="1311">
        <f t="shared" si="25"/>
        <v>0</v>
      </c>
      <c r="Z71" s="1308"/>
    </row>
    <row r="72" spans="1:26">
      <c r="A72" s="704" t="str">
        <f>Sheet1!A46</f>
        <v>C57</v>
      </c>
      <c r="B72" s="24">
        <f>Sheet1!B46</f>
        <v>45.83</v>
      </c>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ca="1" si="26"/>
        <v>5262</v>
      </c>
      <c r="S72" s="334">
        <f t="shared" ca="1" si="27"/>
        <v>241157</v>
      </c>
      <c r="T72" s="1179">
        <f t="shared" ca="1" si="28"/>
        <v>24</v>
      </c>
      <c r="U72" s="1311">
        <f t="shared" si="22"/>
        <v>0</v>
      </c>
      <c r="V72" s="1311">
        <f t="shared" si="23"/>
        <v>0</v>
      </c>
      <c r="W72" s="1308"/>
      <c r="X72" s="1311">
        <f t="shared" si="24"/>
        <v>0</v>
      </c>
      <c r="Y72" s="1311">
        <f t="shared" si="25"/>
        <v>0</v>
      </c>
      <c r="Z72" s="1308"/>
    </row>
    <row r="73" spans="1:26">
      <c r="A73" s="704" t="str">
        <f>Sheet1!A47</f>
        <v>C58</v>
      </c>
      <c r="B73" s="24">
        <f>Sheet1!B47</f>
        <v>45.83</v>
      </c>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ca="1" si="26"/>
        <v>5262</v>
      </c>
      <c r="S73" s="334">
        <f t="shared" ca="1" si="27"/>
        <v>241157</v>
      </c>
      <c r="T73" s="1179">
        <f t="shared" ca="1" si="28"/>
        <v>24</v>
      </c>
      <c r="U73" s="1311">
        <f t="shared" si="22"/>
        <v>0</v>
      </c>
      <c r="V73" s="1311">
        <f t="shared" si="23"/>
        <v>0</v>
      </c>
      <c r="W73" s="1308"/>
      <c r="X73" s="1311">
        <f t="shared" si="24"/>
        <v>0</v>
      </c>
      <c r="Y73" s="1311">
        <f t="shared" si="25"/>
        <v>0</v>
      </c>
      <c r="Z73" s="1308"/>
    </row>
    <row r="74" spans="1:26">
      <c r="A74" s="704" t="str">
        <f>Sheet1!A48</f>
        <v>C59</v>
      </c>
      <c r="B74" s="24">
        <f>Sheet1!B48</f>
        <v>45.83</v>
      </c>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ca="1" si="26"/>
        <v>5262</v>
      </c>
      <c r="S74" s="334">
        <f t="shared" ca="1" si="27"/>
        <v>241157</v>
      </c>
      <c r="T74" s="1179">
        <f t="shared" ca="1" si="28"/>
        <v>24</v>
      </c>
      <c r="U74" s="1311">
        <f t="shared" si="22"/>
        <v>0</v>
      </c>
      <c r="V74" s="1311">
        <f t="shared" si="23"/>
        <v>0</v>
      </c>
      <c r="W74" s="1308"/>
      <c r="X74" s="1311">
        <f t="shared" si="24"/>
        <v>0</v>
      </c>
      <c r="Y74" s="1311">
        <f t="shared" si="25"/>
        <v>0</v>
      </c>
      <c r="Z74" s="1308"/>
    </row>
    <row r="75" spans="1:26">
      <c r="A75" s="704" t="str">
        <f>Sheet1!A49</f>
        <v>C60</v>
      </c>
      <c r="B75" s="24">
        <f>Sheet1!B49</f>
        <v>45.83</v>
      </c>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ca="1" si="26"/>
        <v>5262</v>
      </c>
      <c r="S75" s="334">
        <f t="shared" ca="1" si="27"/>
        <v>241157</v>
      </c>
      <c r="T75" s="1179">
        <f t="shared" ca="1" si="28"/>
        <v>24</v>
      </c>
      <c r="U75" s="1311">
        <f t="shared" si="22"/>
        <v>0</v>
      </c>
      <c r="V75" s="1311">
        <f t="shared" si="23"/>
        <v>0</v>
      </c>
      <c r="W75" s="1308"/>
      <c r="X75" s="1311">
        <f t="shared" si="24"/>
        <v>0</v>
      </c>
      <c r="Y75" s="1311">
        <f t="shared" si="25"/>
        <v>0</v>
      </c>
      <c r="Z75" s="1308"/>
    </row>
    <row r="76" spans="1:26">
      <c r="A76" s="704" t="str">
        <f>Sheet1!A50</f>
        <v>C61-1</v>
      </c>
      <c r="B76" s="24">
        <f>Sheet1!B50</f>
        <v>45.59</v>
      </c>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ca="1" si="26"/>
        <v>5262</v>
      </c>
      <c r="S76" s="334">
        <f t="shared" ca="1" si="27"/>
        <v>239895</v>
      </c>
      <c r="T76" s="1179">
        <f t="shared" ca="1" si="28"/>
        <v>24</v>
      </c>
      <c r="U76" s="1311">
        <f t="shared" si="22"/>
        <v>0</v>
      </c>
      <c r="V76" s="1311">
        <f t="shared" si="23"/>
        <v>0</v>
      </c>
      <c r="W76" s="1308"/>
      <c r="X76" s="1311">
        <f t="shared" si="24"/>
        <v>0</v>
      </c>
      <c r="Y76" s="1311">
        <f t="shared" si="25"/>
        <v>0</v>
      </c>
      <c r="Z76" s="1308"/>
    </row>
    <row r="77" spans="1:26">
      <c r="A77" s="704" t="str">
        <f>Sheet1!A51</f>
        <v>C61-2</v>
      </c>
      <c r="B77" s="24">
        <f>Sheet1!B51</f>
        <v>45.59</v>
      </c>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ca="1" si="26"/>
        <v>5262</v>
      </c>
      <c r="S77" s="334">
        <f t="shared" ca="1" si="27"/>
        <v>239895</v>
      </c>
      <c r="T77" s="1179">
        <f t="shared" ca="1" si="28"/>
        <v>24</v>
      </c>
      <c r="U77" s="1311">
        <f t="shared" si="22"/>
        <v>0</v>
      </c>
      <c r="V77" s="1311">
        <f t="shared" si="23"/>
        <v>0</v>
      </c>
      <c r="W77" s="1308"/>
      <c r="X77" s="1311">
        <f t="shared" si="24"/>
        <v>0</v>
      </c>
      <c r="Y77" s="1311">
        <f t="shared" si="25"/>
        <v>0</v>
      </c>
      <c r="Z77" s="1308"/>
    </row>
    <row r="78" spans="1:26">
      <c r="A78" s="704" t="str">
        <f>Sheet1!A52</f>
        <v>C62</v>
      </c>
      <c r="B78" s="24">
        <f>Sheet1!B52</f>
        <v>45.83</v>
      </c>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ca="1" si="26"/>
        <v>5262</v>
      </c>
      <c r="S78" s="334">
        <f t="shared" ca="1" si="27"/>
        <v>241157</v>
      </c>
      <c r="T78" s="1179">
        <f t="shared" ca="1" si="28"/>
        <v>24</v>
      </c>
      <c r="U78" s="1311">
        <f t="shared" si="22"/>
        <v>0</v>
      </c>
      <c r="V78" s="1311">
        <f t="shared" si="23"/>
        <v>0</v>
      </c>
      <c r="W78" s="1308"/>
      <c r="X78" s="1311">
        <f t="shared" si="24"/>
        <v>0</v>
      </c>
      <c r="Y78" s="1311">
        <f t="shared" si="25"/>
        <v>0</v>
      </c>
      <c r="Z78" s="1308"/>
    </row>
    <row r="79" spans="1:26">
      <c r="A79" s="704" t="str">
        <f>Sheet1!A53</f>
        <v>C63</v>
      </c>
      <c r="B79" s="24">
        <f>Sheet1!B53</f>
        <v>45.83</v>
      </c>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ca="1" si="26"/>
        <v>5262</v>
      </c>
      <c r="S79" s="334">
        <f t="shared" ca="1" si="27"/>
        <v>241157</v>
      </c>
      <c r="T79" s="1179">
        <f t="shared" ca="1" si="28"/>
        <v>24</v>
      </c>
      <c r="U79" s="1311">
        <f t="shared" si="22"/>
        <v>0</v>
      </c>
      <c r="V79" s="1311">
        <f t="shared" si="23"/>
        <v>0</v>
      </c>
      <c r="W79" s="1308"/>
      <c r="X79" s="1311">
        <f t="shared" si="24"/>
        <v>0</v>
      </c>
      <c r="Y79" s="1311">
        <f t="shared" si="25"/>
        <v>0</v>
      </c>
      <c r="Z79" s="1308"/>
    </row>
    <row r="80" spans="1:26">
      <c r="A80" s="704" t="str">
        <f>Sheet1!A54</f>
        <v>C64</v>
      </c>
      <c r="B80" s="24">
        <f>Sheet1!B54</f>
        <v>45.83</v>
      </c>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ca="1" si="26"/>
        <v>5262</v>
      </c>
      <c r="S80" s="334">
        <f t="shared" ca="1" si="27"/>
        <v>241157</v>
      </c>
      <c r="T80" s="1179">
        <f t="shared" ca="1" si="28"/>
        <v>24</v>
      </c>
      <c r="U80" s="1311">
        <f t="shared" si="22"/>
        <v>0</v>
      </c>
      <c r="V80" s="1311">
        <f t="shared" si="23"/>
        <v>0</v>
      </c>
      <c r="W80" s="1308"/>
      <c r="X80" s="1311">
        <f t="shared" si="24"/>
        <v>0</v>
      </c>
      <c r="Y80" s="1311">
        <f t="shared" si="25"/>
        <v>0</v>
      </c>
      <c r="Z80" s="1308"/>
    </row>
    <row r="81" spans="1:26">
      <c r="A81" s="704" t="str">
        <f>Sheet1!A55</f>
        <v>C65</v>
      </c>
      <c r="B81" s="24">
        <f>Sheet1!B55</f>
        <v>45.83</v>
      </c>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ca="1" si="26"/>
        <v>5262</v>
      </c>
      <c r="S81" s="334">
        <f t="shared" ca="1" si="27"/>
        <v>241157</v>
      </c>
      <c r="T81" s="1179">
        <f t="shared" ca="1" si="28"/>
        <v>24</v>
      </c>
      <c r="U81" s="1311">
        <f t="shared" si="22"/>
        <v>0</v>
      </c>
      <c r="V81" s="1311">
        <f t="shared" si="23"/>
        <v>0</v>
      </c>
      <c r="W81" s="1308"/>
      <c r="X81" s="1311">
        <f t="shared" si="24"/>
        <v>0</v>
      </c>
      <c r="Y81" s="1311">
        <f t="shared" si="25"/>
        <v>0</v>
      </c>
      <c r="Z81" s="1308"/>
    </row>
    <row r="82" spans="1:26">
      <c r="A82" s="704" t="str">
        <f>Sheet1!A56</f>
        <v>C66</v>
      </c>
      <c r="B82" s="24">
        <f>Sheet1!B56</f>
        <v>46.03</v>
      </c>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ca="1" si="26"/>
        <v>5262</v>
      </c>
      <c r="S82" s="334">
        <f t="shared" ca="1" si="27"/>
        <v>242210</v>
      </c>
      <c r="T82" s="1179">
        <f t="shared" ca="1" si="28"/>
        <v>24</v>
      </c>
      <c r="U82" s="1311">
        <f t="shared" si="22"/>
        <v>0</v>
      </c>
      <c r="V82" s="1311">
        <f t="shared" si="23"/>
        <v>0</v>
      </c>
      <c r="W82" s="1308"/>
      <c r="X82" s="1311">
        <f t="shared" si="24"/>
        <v>0</v>
      </c>
      <c r="Y82" s="1311">
        <f t="shared" si="25"/>
        <v>0</v>
      </c>
      <c r="Z82" s="1308"/>
    </row>
    <row r="83" spans="1:26">
      <c r="A83" s="704" t="str">
        <f>Sheet1!A57</f>
        <v>C67</v>
      </c>
      <c r="B83" s="24">
        <f>Sheet1!B57</f>
        <v>46.03</v>
      </c>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ca="1" si="26"/>
        <v>5262</v>
      </c>
      <c r="S83" s="334">
        <f t="shared" ca="1" si="27"/>
        <v>242210</v>
      </c>
      <c r="T83" s="1179">
        <f t="shared" ca="1" si="28"/>
        <v>24</v>
      </c>
      <c r="U83" s="1311">
        <f t="shared" si="22"/>
        <v>0</v>
      </c>
      <c r="V83" s="1311">
        <f t="shared" si="23"/>
        <v>0</v>
      </c>
      <c r="W83" s="1308"/>
      <c r="X83" s="1311">
        <f t="shared" si="24"/>
        <v>0</v>
      </c>
      <c r="Y83" s="1311">
        <f t="shared" si="25"/>
        <v>0</v>
      </c>
      <c r="Z83" s="1308"/>
    </row>
    <row r="84" spans="1:26">
      <c r="A84" s="704" t="str">
        <f>Sheet1!A58</f>
        <v>C68</v>
      </c>
      <c r="B84" s="24">
        <f>Sheet1!B58</f>
        <v>46.03</v>
      </c>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ca="1" si="26"/>
        <v>5262</v>
      </c>
      <c r="S84" s="334">
        <f t="shared" ca="1" si="27"/>
        <v>242210</v>
      </c>
      <c r="T84" s="1179">
        <f t="shared" ca="1" si="28"/>
        <v>24</v>
      </c>
      <c r="U84" s="1311">
        <f t="shared" si="22"/>
        <v>0</v>
      </c>
      <c r="V84" s="1311">
        <f t="shared" si="23"/>
        <v>0</v>
      </c>
      <c r="W84" s="1308"/>
      <c r="X84" s="1311">
        <f t="shared" si="24"/>
        <v>0</v>
      </c>
      <c r="Y84" s="1311">
        <f t="shared" si="25"/>
        <v>0</v>
      </c>
      <c r="Z84" s="1308"/>
    </row>
    <row r="85" spans="1:26">
      <c r="A85" s="704" t="str">
        <f>Sheet1!A59</f>
        <v>C69</v>
      </c>
      <c r="B85" s="24">
        <f>Sheet1!B59</f>
        <v>46.83</v>
      </c>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ca="1" si="26"/>
        <v>5262</v>
      </c>
      <c r="S85" s="334">
        <f t="shared" ca="1" si="27"/>
        <v>246419</v>
      </c>
      <c r="T85" s="1179">
        <f t="shared" ca="1" si="28"/>
        <v>25</v>
      </c>
      <c r="U85" s="1311">
        <f t="shared" si="22"/>
        <v>0</v>
      </c>
      <c r="V85" s="1311">
        <f t="shared" si="23"/>
        <v>0</v>
      </c>
      <c r="W85" s="1308"/>
      <c r="X85" s="1311">
        <f t="shared" si="24"/>
        <v>0</v>
      </c>
      <c r="Y85" s="1311">
        <f t="shared" si="25"/>
        <v>0</v>
      </c>
      <c r="Z85" s="1308"/>
    </row>
    <row r="86" spans="1:26">
      <c r="A86" s="704" t="str">
        <f>Sheet1!A60</f>
        <v>C70</v>
      </c>
      <c r="B86" s="24">
        <f>Sheet1!B60</f>
        <v>46.83</v>
      </c>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ca="1" si="26"/>
        <v>5262</v>
      </c>
      <c r="S86" s="334">
        <f t="shared" ca="1" si="27"/>
        <v>246419</v>
      </c>
      <c r="T86" s="1179">
        <f t="shared" ca="1" si="28"/>
        <v>25</v>
      </c>
      <c r="U86" s="1311">
        <f t="shared" si="22"/>
        <v>0</v>
      </c>
      <c r="V86" s="1311">
        <f t="shared" si="23"/>
        <v>0</v>
      </c>
      <c r="W86" s="1308"/>
      <c r="X86" s="1311">
        <f t="shared" si="24"/>
        <v>0</v>
      </c>
      <c r="Y86" s="1311">
        <f t="shared" si="25"/>
        <v>0</v>
      </c>
      <c r="Z86" s="1308"/>
    </row>
    <row r="87" spans="1:26">
      <c r="A87" s="704" t="str">
        <f>Sheet1!A61</f>
        <v>C71</v>
      </c>
      <c r="B87" s="24">
        <f>Sheet1!B61</f>
        <v>46.83</v>
      </c>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ca="1" si="26"/>
        <v>5262</v>
      </c>
      <c r="S87" s="334">
        <f t="shared" ca="1" si="27"/>
        <v>246419</v>
      </c>
      <c r="T87" s="1179">
        <f t="shared" ca="1" si="28"/>
        <v>25</v>
      </c>
      <c r="U87" s="1311">
        <f t="shared" si="22"/>
        <v>0</v>
      </c>
      <c r="V87" s="1311">
        <f t="shared" si="23"/>
        <v>0</v>
      </c>
      <c r="W87" s="1308"/>
      <c r="X87" s="1311">
        <f t="shared" si="24"/>
        <v>0</v>
      </c>
      <c r="Y87" s="1311">
        <f t="shared" si="25"/>
        <v>0</v>
      </c>
      <c r="Z87" s="1308"/>
    </row>
    <row r="88" spans="1:26">
      <c r="A88" s="704" t="str">
        <f>Sheet1!A62</f>
        <v>C72</v>
      </c>
      <c r="B88" s="24">
        <f>Sheet1!B62</f>
        <v>46.83</v>
      </c>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ca="1" si="26"/>
        <v>5262</v>
      </c>
      <c r="S88" s="334">
        <f t="shared" ca="1" si="27"/>
        <v>246419</v>
      </c>
      <c r="T88" s="1179">
        <f t="shared" ca="1" si="28"/>
        <v>25</v>
      </c>
      <c r="U88" s="1311">
        <f t="shared" si="22"/>
        <v>0</v>
      </c>
      <c r="V88" s="1311">
        <f t="shared" si="23"/>
        <v>0</v>
      </c>
      <c r="W88" s="1308"/>
      <c r="X88" s="1311">
        <f t="shared" si="24"/>
        <v>0</v>
      </c>
      <c r="Y88" s="1311">
        <f t="shared" si="25"/>
        <v>0</v>
      </c>
      <c r="Z88" s="1308"/>
    </row>
    <row r="89" spans="1:26">
      <c r="A89" s="704" t="str">
        <f>Sheet1!A63</f>
        <v>D01</v>
      </c>
      <c r="B89" s="24">
        <f>Sheet1!B63</f>
        <v>48.03</v>
      </c>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ca="1" si="26"/>
        <v>5262</v>
      </c>
      <c r="S89" s="334">
        <f t="shared" ca="1" si="27"/>
        <v>252734</v>
      </c>
      <c r="T89" s="1179">
        <f t="shared" ca="1" si="28"/>
        <v>25</v>
      </c>
      <c r="U89" s="1311">
        <f t="shared" si="22"/>
        <v>0</v>
      </c>
      <c r="V89" s="1311">
        <f t="shared" si="23"/>
        <v>0</v>
      </c>
      <c r="W89" s="1308"/>
      <c r="X89" s="1311">
        <f t="shared" si="24"/>
        <v>0</v>
      </c>
      <c r="Y89" s="1311">
        <f t="shared" si="25"/>
        <v>0</v>
      </c>
      <c r="Z89" s="1308"/>
    </row>
    <row r="90" spans="1:26">
      <c r="A90" s="704" t="str">
        <f>Sheet1!A64</f>
        <v>D02</v>
      </c>
      <c r="B90" s="24">
        <f>Sheet1!B64</f>
        <v>48.03</v>
      </c>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ca="1" si="26"/>
        <v>5262</v>
      </c>
      <c r="S90" s="334">
        <f t="shared" ca="1" si="27"/>
        <v>252734</v>
      </c>
      <c r="T90" s="1179">
        <f t="shared" ca="1" si="28"/>
        <v>25</v>
      </c>
      <c r="U90" s="1311">
        <f t="shared" si="22"/>
        <v>0</v>
      </c>
      <c r="V90" s="1311">
        <f t="shared" si="23"/>
        <v>0</v>
      </c>
      <c r="W90" s="1308"/>
      <c r="X90" s="1311">
        <f t="shared" si="24"/>
        <v>0</v>
      </c>
      <c r="Y90" s="1311">
        <f t="shared" si="25"/>
        <v>0</v>
      </c>
      <c r="Z90" s="1308"/>
    </row>
    <row r="91" spans="1:26">
      <c r="A91" s="704" t="str">
        <f>Sheet1!A65</f>
        <v>D03</v>
      </c>
      <c r="B91" s="24">
        <f>Sheet1!B65</f>
        <v>48.03</v>
      </c>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ca="1" si="26"/>
        <v>5262</v>
      </c>
      <c r="S91" s="334">
        <f t="shared" ca="1" si="27"/>
        <v>252734</v>
      </c>
      <c r="T91" s="1179">
        <f t="shared" ca="1" si="28"/>
        <v>25</v>
      </c>
      <c r="U91" s="1311">
        <f t="shared" si="22"/>
        <v>0</v>
      </c>
      <c r="V91" s="1311">
        <f t="shared" si="23"/>
        <v>0</v>
      </c>
      <c r="W91" s="1308"/>
      <c r="X91" s="1311">
        <f t="shared" si="24"/>
        <v>0</v>
      </c>
      <c r="Y91" s="1311">
        <f t="shared" si="25"/>
        <v>0</v>
      </c>
      <c r="Z91" s="1308"/>
    </row>
    <row r="92" spans="1:26">
      <c r="A92" s="704" t="str">
        <f>Sheet1!A66</f>
        <v>D04</v>
      </c>
      <c r="B92" s="24">
        <f>Sheet1!B66</f>
        <v>48.03</v>
      </c>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ca="1" si="26"/>
        <v>5262</v>
      </c>
      <c r="S92" s="334">
        <f t="shared" ca="1" si="27"/>
        <v>252734</v>
      </c>
      <c r="T92" s="1179">
        <f t="shared" ca="1" si="28"/>
        <v>25</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04" t="str">
        <f>Sheet1!A67</f>
        <v>D05</v>
      </c>
      <c r="B93" s="24">
        <f>Sheet1!B67</f>
        <v>48.03</v>
      </c>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ca="1" si="41">IF(B93="",0,ROUND($R$27*C93*E93*G93*I93*K93*M93*O93*Q93,0))</f>
        <v>5262</v>
      </c>
      <c r="S93" s="334">
        <f t="shared" ref="S93:S156" ca="1" si="42">ROUND(R93*B93,0)</f>
        <v>252734</v>
      </c>
      <c r="T93" s="1179">
        <f t="shared" ref="T93:T156" ca="1" si="43">ROUND(R93*B93/10000,0)</f>
        <v>25</v>
      </c>
      <c r="U93" s="1311">
        <f t="shared" si="37"/>
        <v>0</v>
      </c>
      <c r="V93" s="1311">
        <f t="shared" si="38"/>
        <v>0</v>
      </c>
      <c r="W93" s="1308"/>
      <c r="X93" s="1311">
        <f t="shared" si="39"/>
        <v>0</v>
      </c>
      <c r="Y93" s="1311">
        <f t="shared" si="40"/>
        <v>0</v>
      </c>
      <c r="Z93" s="1308"/>
    </row>
    <row r="94" spans="1:26">
      <c r="A94" s="704" t="str">
        <f>Sheet1!A68</f>
        <v>D06</v>
      </c>
      <c r="B94" s="24">
        <f>Sheet1!B68</f>
        <v>45.83</v>
      </c>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ca="1" si="41"/>
        <v>5262</v>
      </c>
      <c r="S94" s="334">
        <f t="shared" ca="1" si="42"/>
        <v>241157</v>
      </c>
      <c r="T94" s="1179">
        <f t="shared" ca="1" si="43"/>
        <v>24</v>
      </c>
      <c r="U94" s="1311">
        <f t="shared" si="37"/>
        <v>0</v>
      </c>
      <c r="V94" s="1311">
        <f t="shared" si="38"/>
        <v>0</v>
      </c>
      <c r="W94" s="1308"/>
      <c r="X94" s="1311">
        <f t="shared" si="39"/>
        <v>0</v>
      </c>
      <c r="Y94" s="1311">
        <f t="shared" si="40"/>
        <v>0</v>
      </c>
      <c r="Z94" s="1308"/>
    </row>
    <row r="95" spans="1:26">
      <c r="A95" s="704" t="str">
        <f>Sheet1!A69</f>
        <v>D07</v>
      </c>
      <c r="B95" s="24">
        <f>Sheet1!B69</f>
        <v>45.83</v>
      </c>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ca="1" si="41"/>
        <v>5262</v>
      </c>
      <c r="S95" s="334">
        <f t="shared" ca="1" si="42"/>
        <v>241157</v>
      </c>
      <c r="T95" s="1179">
        <f t="shared" ca="1" si="43"/>
        <v>24</v>
      </c>
      <c r="U95" s="1311">
        <f t="shared" si="37"/>
        <v>0</v>
      </c>
      <c r="V95" s="1311">
        <f t="shared" si="38"/>
        <v>0</v>
      </c>
      <c r="W95" s="1308"/>
      <c r="X95" s="1311">
        <f t="shared" si="39"/>
        <v>0</v>
      </c>
      <c r="Y95" s="1311">
        <f t="shared" si="40"/>
        <v>0</v>
      </c>
      <c r="Z95" s="1308"/>
    </row>
    <row r="96" spans="1:26">
      <c r="A96" s="704" t="str">
        <f>Sheet1!A70</f>
        <v>D08</v>
      </c>
      <c r="B96" s="24">
        <f>Sheet1!B70</f>
        <v>45.83</v>
      </c>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ca="1" si="41"/>
        <v>5262</v>
      </c>
      <c r="S96" s="334">
        <f t="shared" ca="1" si="42"/>
        <v>241157</v>
      </c>
      <c r="T96" s="1179">
        <f t="shared" ca="1" si="43"/>
        <v>24</v>
      </c>
      <c r="U96" s="1311">
        <f t="shared" si="37"/>
        <v>0</v>
      </c>
      <c r="V96" s="1311">
        <f t="shared" si="38"/>
        <v>0</v>
      </c>
      <c r="W96" s="1308"/>
      <c r="X96" s="1311">
        <f t="shared" si="39"/>
        <v>0</v>
      </c>
      <c r="Y96" s="1311">
        <f t="shared" si="40"/>
        <v>0</v>
      </c>
      <c r="Z96" s="1308"/>
    </row>
    <row r="97" spans="1:26">
      <c r="A97" s="704" t="str">
        <f>Sheet1!A71</f>
        <v>D09</v>
      </c>
      <c r="B97" s="24">
        <f>Sheet1!B71</f>
        <v>45.83</v>
      </c>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ca="1" si="41"/>
        <v>5262</v>
      </c>
      <c r="S97" s="334">
        <f t="shared" ca="1" si="42"/>
        <v>241157</v>
      </c>
      <c r="T97" s="1179">
        <f t="shared" ca="1" si="43"/>
        <v>24</v>
      </c>
      <c r="U97" s="1311">
        <f t="shared" si="37"/>
        <v>0</v>
      </c>
      <c r="V97" s="1311">
        <f t="shared" si="38"/>
        <v>0</v>
      </c>
      <c r="W97" s="1308"/>
      <c r="X97" s="1311">
        <f t="shared" si="39"/>
        <v>0</v>
      </c>
      <c r="Y97" s="1311">
        <f t="shared" si="40"/>
        <v>0</v>
      </c>
      <c r="Z97" s="1308"/>
    </row>
    <row r="98" spans="1:26">
      <c r="A98" s="704" t="str">
        <f>Sheet1!A72</f>
        <v>D10-1</v>
      </c>
      <c r="B98" s="24">
        <f>Sheet1!B72</f>
        <v>46.63</v>
      </c>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ca="1" si="41"/>
        <v>5262</v>
      </c>
      <c r="S98" s="334">
        <f t="shared" ca="1" si="42"/>
        <v>245367</v>
      </c>
      <c r="T98" s="1179">
        <f t="shared" ca="1" si="43"/>
        <v>25</v>
      </c>
      <c r="U98" s="1311">
        <f t="shared" si="37"/>
        <v>0</v>
      </c>
      <c r="V98" s="1311">
        <f t="shared" si="38"/>
        <v>0</v>
      </c>
      <c r="W98" s="1308"/>
      <c r="X98" s="1311">
        <f t="shared" si="39"/>
        <v>0</v>
      </c>
      <c r="Y98" s="1311">
        <f t="shared" si="40"/>
        <v>0</v>
      </c>
      <c r="Z98" s="1308"/>
    </row>
    <row r="99" spans="1:26">
      <c r="A99" s="704" t="str">
        <f>Sheet1!A73</f>
        <v>D10-2</v>
      </c>
      <c r="B99" s="24">
        <f>Sheet1!B73</f>
        <v>46.63</v>
      </c>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ca="1" si="41"/>
        <v>5262</v>
      </c>
      <c r="S99" s="334">
        <f t="shared" ca="1" si="42"/>
        <v>245367</v>
      </c>
      <c r="T99" s="1179">
        <f t="shared" ca="1" si="43"/>
        <v>25</v>
      </c>
      <c r="U99" s="1311">
        <f t="shared" si="37"/>
        <v>0</v>
      </c>
      <c r="V99" s="1311">
        <f t="shared" si="38"/>
        <v>0</v>
      </c>
      <c r="W99" s="1308"/>
      <c r="X99" s="1311">
        <f t="shared" si="39"/>
        <v>0</v>
      </c>
      <c r="Y99" s="1311">
        <f t="shared" si="40"/>
        <v>0</v>
      </c>
      <c r="Z99" s="1308"/>
    </row>
    <row r="100" spans="1:26">
      <c r="A100" s="704" t="str">
        <f>Sheet1!A74</f>
        <v>D11</v>
      </c>
      <c r="B100" s="24">
        <f>Sheet1!B74</f>
        <v>48.03</v>
      </c>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ca="1" si="41"/>
        <v>5262</v>
      </c>
      <c r="S100" s="334">
        <f t="shared" ca="1" si="42"/>
        <v>252734</v>
      </c>
      <c r="T100" s="1179">
        <f t="shared" ca="1" si="43"/>
        <v>25</v>
      </c>
      <c r="U100" s="1311">
        <f t="shared" si="37"/>
        <v>0</v>
      </c>
      <c r="V100" s="1311">
        <f t="shared" si="38"/>
        <v>0</v>
      </c>
      <c r="W100" s="1308"/>
      <c r="X100" s="1311">
        <f t="shared" si="39"/>
        <v>0</v>
      </c>
      <c r="Y100" s="1311">
        <f t="shared" si="40"/>
        <v>0</v>
      </c>
      <c r="Z100" s="1308"/>
    </row>
    <row r="101" spans="1:26">
      <c r="A101" s="704" t="str">
        <f>Sheet1!A75</f>
        <v>D12</v>
      </c>
      <c r="B101" s="24">
        <f>Sheet1!B75</f>
        <v>48.03</v>
      </c>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ca="1" si="41"/>
        <v>5262</v>
      </c>
      <c r="S101" s="334">
        <f t="shared" ca="1" si="42"/>
        <v>252734</v>
      </c>
      <c r="T101" s="1179">
        <f t="shared" ca="1" si="43"/>
        <v>25</v>
      </c>
      <c r="U101" s="1311">
        <f t="shared" si="37"/>
        <v>0</v>
      </c>
      <c r="V101" s="1311">
        <f t="shared" si="38"/>
        <v>0</v>
      </c>
      <c r="W101" s="1308"/>
      <c r="X101" s="1311">
        <f t="shared" si="39"/>
        <v>0</v>
      </c>
      <c r="Y101" s="1311">
        <f t="shared" si="40"/>
        <v>0</v>
      </c>
      <c r="Z101" s="1308"/>
    </row>
    <row r="102" spans="1:26">
      <c r="A102" s="704" t="str">
        <f>Sheet1!A76</f>
        <v>D13</v>
      </c>
      <c r="B102" s="24">
        <f>Sheet1!B76</f>
        <v>48.03</v>
      </c>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ca="1" si="41"/>
        <v>5262</v>
      </c>
      <c r="S102" s="334">
        <f t="shared" ca="1" si="42"/>
        <v>252734</v>
      </c>
      <c r="T102" s="1179">
        <f t="shared" ca="1" si="43"/>
        <v>25</v>
      </c>
      <c r="U102" s="1311">
        <f t="shared" si="37"/>
        <v>0</v>
      </c>
      <c r="V102" s="1311">
        <f t="shared" si="38"/>
        <v>0</v>
      </c>
      <c r="W102" s="1308"/>
      <c r="X102" s="1311">
        <f t="shared" si="39"/>
        <v>0</v>
      </c>
      <c r="Y102" s="1311">
        <f t="shared" si="40"/>
        <v>0</v>
      </c>
      <c r="Z102" s="1308"/>
    </row>
    <row r="103" spans="1:26">
      <c r="A103" s="704" t="str">
        <f>Sheet1!A77</f>
        <v>D14-1</v>
      </c>
      <c r="B103" s="24">
        <f>Sheet1!B77</f>
        <v>48.29</v>
      </c>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ca="1" si="41"/>
        <v>5262</v>
      </c>
      <c r="S103" s="334">
        <f t="shared" ca="1" si="42"/>
        <v>254102</v>
      </c>
      <c r="T103" s="1179">
        <f t="shared" ca="1" si="43"/>
        <v>25</v>
      </c>
      <c r="U103" s="1311">
        <f t="shared" si="37"/>
        <v>0</v>
      </c>
      <c r="V103" s="1311">
        <f t="shared" si="38"/>
        <v>0</v>
      </c>
      <c r="W103" s="1308"/>
      <c r="X103" s="1311">
        <f t="shared" si="39"/>
        <v>0</v>
      </c>
      <c r="Y103" s="1311">
        <f t="shared" si="40"/>
        <v>0</v>
      </c>
      <c r="Z103" s="1308"/>
    </row>
    <row r="104" spans="1:26">
      <c r="A104" s="704" t="str">
        <f>Sheet1!A78</f>
        <v>D14-2</v>
      </c>
      <c r="B104" s="24">
        <f>Sheet1!B78</f>
        <v>48.29</v>
      </c>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ca="1" si="41"/>
        <v>5262</v>
      </c>
      <c r="S104" s="334">
        <f t="shared" ca="1" si="42"/>
        <v>254102</v>
      </c>
      <c r="T104" s="1179">
        <f t="shared" ca="1" si="43"/>
        <v>25</v>
      </c>
      <c r="U104" s="1311">
        <f t="shared" si="37"/>
        <v>0</v>
      </c>
      <c r="V104" s="1311">
        <f t="shared" si="38"/>
        <v>0</v>
      </c>
      <c r="W104" s="1308"/>
      <c r="X104" s="1311">
        <f t="shared" si="39"/>
        <v>0</v>
      </c>
      <c r="Y104" s="1311">
        <f t="shared" si="40"/>
        <v>0</v>
      </c>
      <c r="Z104" s="1308"/>
    </row>
    <row r="105" spans="1:26">
      <c r="A105" s="704" t="str">
        <f>Sheet1!A79</f>
        <v>D15</v>
      </c>
      <c r="B105" s="24">
        <f>Sheet1!B79</f>
        <v>48.55</v>
      </c>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ca="1" si="41"/>
        <v>5262</v>
      </c>
      <c r="S105" s="334">
        <f t="shared" ca="1" si="42"/>
        <v>255470</v>
      </c>
      <c r="T105" s="1179">
        <f t="shared" ca="1" si="43"/>
        <v>26</v>
      </c>
      <c r="U105" s="1311">
        <f t="shared" si="37"/>
        <v>0</v>
      </c>
      <c r="V105" s="1311">
        <f t="shared" si="38"/>
        <v>0</v>
      </c>
      <c r="W105" s="1308"/>
      <c r="X105" s="1311">
        <f t="shared" si="39"/>
        <v>0</v>
      </c>
      <c r="Y105" s="1311">
        <f t="shared" si="40"/>
        <v>0</v>
      </c>
      <c r="Z105" s="1308"/>
    </row>
    <row r="106" spans="1:26">
      <c r="A106" s="704" t="str">
        <f>Sheet1!A80</f>
        <v>D16</v>
      </c>
      <c r="B106" s="24">
        <f>Sheet1!B80</f>
        <v>48.55</v>
      </c>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ca="1" si="41"/>
        <v>5262</v>
      </c>
      <c r="S106" s="334">
        <f t="shared" ca="1" si="42"/>
        <v>255470</v>
      </c>
      <c r="T106" s="1179">
        <f t="shared" ca="1" si="43"/>
        <v>26</v>
      </c>
      <c r="U106" s="1311">
        <f t="shared" si="37"/>
        <v>0</v>
      </c>
      <c r="V106" s="1311">
        <f t="shared" si="38"/>
        <v>0</v>
      </c>
      <c r="W106" s="1308"/>
      <c r="X106" s="1311">
        <f t="shared" si="39"/>
        <v>0</v>
      </c>
      <c r="Y106" s="1311">
        <f t="shared" si="40"/>
        <v>0</v>
      </c>
      <c r="Z106" s="1308"/>
    </row>
    <row r="107" spans="1:26">
      <c r="A107" s="704" t="str">
        <f>Sheet1!A81</f>
        <v>D20</v>
      </c>
      <c r="B107" s="24">
        <f>Sheet1!B81</f>
        <v>52.83</v>
      </c>
      <c r="C107" s="14">
        <f t="shared" si="29"/>
        <v>1.01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ca="1" si="41"/>
        <v>5315</v>
      </c>
      <c r="S107" s="334">
        <f t="shared" ca="1" si="42"/>
        <v>280791</v>
      </c>
      <c r="T107" s="1179">
        <f t="shared" ca="1" si="43"/>
        <v>28</v>
      </c>
      <c r="U107" s="1311">
        <f t="shared" si="37"/>
        <v>0</v>
      </c>
      <c r="V107" s="1311">
        <f t="shared" si="38"/>
        <v>0</v>
      </c>
      <c r="W107" s="1308"/>
      <c r="X107" s="1311">
        <f t="shared" si="39"/>
        <v>0</v>
      </c>
      <c r="Y107" s="1311">
        <f t="shared" si="40"/>
        <v>0</v>
      </c>
      <c r="Z107" s="1308"/>
    </row>
    <row r="108" spans="1:26">
      <c r="A108" s="704" t="str">
        <f>Sheet1!A82</f>
        <v>D21</v>
      </c>
      <c r="B108" s="24">
        <f>Sheet1!B82</f>
        <v>52.83</v>
      </c>
      <c r="C108" s="14">
        <f t="shared" si="29"/>
        <v>1.01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ca="1" si="41"/>
        <v>5315</v>
      </c>
      <c r="S108" s="334">
        <f t="shared" ca="1" si="42"/>
        <v>280791</v>
      </c>
      <c r="T108" s="1179">
        <f t="shared" ca="1" si="43"/>
        <v>28</v>
      </c>
      <c r="U108" s="1311">
        <f t="shared" si="37"/>
        <v>0</v>
      </c>
      <c r="V108" s="1311">
        <f t="shared" si="38"/>
        <v>0</v>
      </c>
      <c r="W108" s="1308"/>
      <c r="X108" s="1311">
        <f t="shared" si="39"/>
        <v>0</v>
      </c>
      <c r="Y108" s="1311">
        <f t="shared" si="40"/>
        <v>0</v>
      </c>
      <c r="Z108" s="1308"/>
    </row>
    <row r="109" spans="1:26">
      <c r="A109" s="704" t="str">
        <f>Sheet1!A83</f>
        <v>D22</v>
      </c>
      <c r="B109" s="24">
        <f>Sheet1!B83</f>
        <v>52.83</v>
      </c>
      <c r="C109" s="14">
        <f t="shared" si="29"/>
        <v>1.01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ca="1" si="41"/>
        <v>5315</v>
      </c>
      <c r="S109" s="334">
        <f t="shared" ca="1" si="42"/>
        <v>280791</v>
      </c>
      <c r="T109" s="1179">
        <f t="shared" ca="1" si="43"/>
        <v>28</v>
      </c>
      <c r="U109" s="1311">
        <f t="shared" si="37"/>
        <v>0</v>
      </c>
      <c r="V109" s="1311">
        <f t="shared" si="38"/>
        <v>0</v>
      </c>
      <c r="W109" s="1308"/>
      <c r="X109" s="1311">
        <f t="shared" si="39"/>
        <v>0</v>
      </c>
      <c r="Y109" s="1311">
        <f t="shared" si="40"/>
        <v>0</v>
      </c>
      <c r="Z109" s="1308"/>
    </row>
    <row r="110" spans="1:26">
      <c r="A110" s="704" t="str">
        <f>Sheet1!A84</f>
        <v>D23</v>
      </c>
      <c r="B110" s="24">
        <f>Sheet1!B84</f>
        <v>52.83</v>
      </c>
      <c r="C110" s="14">
        <f t="shared" si="29"/>
        <v>1.01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ca="1" si="41"/>
        <v>5315</v>
      </c>
      <c r="S110" s="334">
        <f t="shared" ca="1" si="42"/>
        <v>280791</v>
      </c>
      <c r="T110" s="1179">
        <f t="shared" ca="1" si="43"/>
        <v>28</v>
      </c>
      <c r="U110" s="1311">
        <f t="shared" si="37"/>
        <v>0</v>
      </c>
      <c r="V110" s="1311">
        <f t="shared" si="38"/>
        <v>0</v>
      </c>
      <c r="W110" s="1308"/>
      <c r="X110" s="1311">
        <f t="shared" si="39"/>
        <v>0</v>
      </c>
      <c r="Y110" s="1311">
        <f t="shared" si="40"/>
        <v>0</v>
      </c>
      <c r="Z110" s="1308"/>
    </row>
    <row r="111" spans="1:26">
      <c r="A111" s="704" t="str">
        <f>Sheet1!A85</f>
        <v>D24</v>
      </c>
      <c r="B111" s="24">
        <f>Sheet1!B85</f>
        <v>52.83</v>
      </c>
      <c r="C111" s="14">
        <f t="shared" si="29"/>
        <v>1.01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ca="1" si="41"/>
        <v>5315</v>
      </c>
      <c r="S111" s="334">
        <f t="shared" ca="1" si="42"/>
        <v>280791</v>
      </c>
      <c r="T111" s="1179">
        <f t="shared" ca="1" si="43"/>
        <v>28</v>
      </c>
      <c r="U111" s="1311">
        <f t="shared" si="37"/>
        <v>0</v>
      </c>
      <c r="V111" s="1311">
        <f t="shared" si="38"/>
        <v>0</v>
      </c>
      <c r="W111" s="1308"/>
      <c r="X111" s="1311">
        <f t="shared" si="39"/>
        <v>0</v>
      </c>
      <c r="Y111" s="1311">
        <f t="shared" si="40"/>
        <v>0</v>
      </c>
      <c r="Z111" s="1308"/>
    </row>
    <row r="112" spans="1:26">
      <c r="A112" s="704" t="str">
        <f>Sheet1!A86</f>
        <v>D25</v>
      </c>
      <c r="B112" s="24">
        <f>Sheet1!B86</f>
        <v>52.83</v>
      </c>
      <c r="C112" s="14">
        <f t="shared" si="29"/>
        <v>1.01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ca="1" si="41"/>
        <v>5315</v>
      </c>
      <c r="S112" s="334">
        <f t="shared" ca="1" si="42"/>
        <v>280791</v>
      </c>
      <c r="T112" s="1179">
        <f t="shared" ca="1" si="43"/>
        <v>28</v>
      </c>
      <c r="U112" s="1311">
        <f t="shared" si="37"/>
        <v>0</v>
      </c>
      <c r="V112" s="1311">
        <f t="shared" si="38"/>
        <v>0</v>
      </c>
      <c r="W112" s="1308"/>
      <c r="X112" s="1311">
        <f t="shared" si="39"/>
        <v>0</v>
      </c>
      <c r="Y112" s="1311">
        <f t="shared" si="40"/>
        <v>0</v>
      </c>
      <c r="Z112" s="1308"/>
    </row>
    <row r="113" spans="1:26">
      <c r="A113" s="704" t="str">
        <f>Sheet1!A87</f>
        <v>D26</v>
      </c>
      <c r="B113" s="24">
        <f>Sheet1!B87</f>
        <v>52.83</v>
      </c>
      <c r="C113" s="14">
        <f t="shared" si="29"/>
        <v>1.01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ca="1" si="41"/>
        <v>5315</v>
      </c>
      <c r="S113" s="334">
        <f t="shared" ca="1" si="42"/>
        <v>280791</v>
      </c>
      <c r="T113" s="1179">
        <f t="shared" ca="1" si="43"/>
        <v>28</v>
      </c>
      <c r="U113" s="1311">
        <f t="shared" si="37"/>
        <v>0</v>
      </c>
      <c r="V113" s="1311">
        <f t="shared" si="38"/>
        <v>0</v>
      </c>
      <c r="W113" s="1308"/>
      <c r="X113" s="1311">
        <f t="shared" si="39"/>
        <v>0</v>
      </c>
      <c r="Y113" s="1311">
        <f t="shared" si="40"/>
        <v>0</v>
      </c>
      <c r="Z113" s="1308"/>
    </row>
    <row r="114" spans="1:26">
      <c r="A114" s="704" t="str">
        <f>Sheet1!A88</f>
        <v>D27</v>
      </c>
      <c r="B114" s="24">
        <f>Sheet1!B88</f>
        <v>52.83</v>
      </c>
      <c r="C114" s="14">
        <f t="shared" si="29"/>
        <v>1.01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ca="1" si="41"/>
        <v>5315</v>
      </c>
      <c r="S114" s="334">
        <f t="shared" ca="1" si="42"/>
        <v>280791</v>
      </c>
      <c r="T114" s="1179">
        <f t="shared" ca="1" si="43"/>
        <v>28</v>
      </c>
      <c r="U114" s="1311">
        <f t="shared" si="37"/>
        <v>0</v>
      </c>
      <c r="V114" s="1311">
        <f t="shared" si="38"/>
        <v>0</v>
      </c>
      <c r="W114" s="1308"/>
      <c r="X114" s="1311">
        <f t="shared" si="39"/>
        <v>0</v>
      </c>
      <c r="Y114" s="1311">
        <f t="shared" si="40"/>
        <v>0</v>
      </c>
      <c r="Z114" s="1308"/>
    </row>
    <row r="115" spans="1:26">
      <c r="A115" s="704" t="str">
        <f>Sheet1!A89</f>
        <v>D28</v>
      </c>
      <c r="B115" s="24">
        <f>Sheet1!B89</f>
        <v>52.83</v>
      </c>
      <c r="C115" s="14">
        <f t="shared" si="29"/>
        <v>1.01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ca="1" si="41"/>
        <v>5315</v>
      </c>
      <c r="S115" s="334">
        <f t="shared" ca="1" si="42"/>
        <v>280791</v>
      </c>
      <c r="T115" s="1179">
        <f t="shared" ca="1" si="43"/>
        <v>28</v>
      </c>
      <c r="U115" s="1311">
        <f t="shared" si="37"/>
        <v>0</v>
      </c>
      <c r="V115" s="1311">
        <f t="shared" si="38"/>
        <v>0</v>
      </c>
      <c r="W115" s="1308"/>
      <c r="X115" s="1311">
        <f t="shared" si="39"/>
        <v>0</v>
      </c>
      <c r="Y115" s="1311">
        <f t="shared" si="40"/>
        <v>0</v>
      </c>
      <c r="Z115" s="1308"/>
    </row>
    <row r="116" spans="1:26">
      <c r="A116" s="704" t="str">
        <f>Sheet1!A90</f>
        <v>D29</v>
      </c>
      <c r="B116" s="24">
        <f>Sheet1!B90</f>
        <v>48.03</v>
      </c>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ca="1" si="41"/>
        <v>5262</v>
      </c>
      <c r="S116" s="334">
        <f t="shared" ca="1" si="42"/>
        <v>252734</v>
      </c>
      <c r="T116" s="1179">
        <f t="shared" ca="1" si="43"/>
        <v>25</v>
      </c>
      <c r="U116" s="1311">
        <f t="shared" si="37"/>
        <v>0</v>
      </c>
      <c r="V116" s="1311">
        <f t="shared" si="38"/>
        <v>0</v>
      </c>
      <c r="W116" s="1308"/>
      <c r="X116" s="1311">
        <f t="shared" si="39"/>
        <v>0</v>
      </c>
      <c r="Y116" s="1311">
        <f t="shared" si="40"/>
        <v>0</v>
      </c>
      <c r="Z116" s="1308"/>
    </row>
    <row r="117" spans="1:26">
      <c r="A117" s="704" t="str">
        <f>Sheet1!A91</f>
        <v>D30</v>
      </c>
      <c r="B117" s="24">
        <f>Sheet1!B91</f>
        <v>48.03</v>
      </c>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ca="1" si="41"/>
        <v>5262</v>
      </c>
      <c r="S117" s="334">
        <f t="shared" ca="1" si="42"/>
        <v>252734</v>
      </c>
      <c r="T117" s="1179">
        <f t="shared" ca="1" si="43"/>
        <v>25</v>
      </c>
      <c r="U117" s="1311">
        <f t="shared" si="37"/>
        <v>0</v>
      </c>
      <c r="V117" s="1311">
        <f t="shared" si="38"/>
        <v>0</v>
      </c>
      <c r="W117" s="1308"/>
      <c r="X117" s="1311">
        <f t="shared" si="39"/>
        <v>0</v>
      </c>
      <c r="Y117" s="1311">
        <f t="shared" si="40"/>
        <v>0</v>
      </c>
      <c r="Z117" s="1308"/>
    </row>
    <row r="118" spans="1:26">
      <c r="A118" s="704" t="str">
        <f>Sheet1!A92</f>
        <v>D31</v>
      </c>
      <c r="B118" s="24">
        <f>Sheet1!B92</f>
        <v>48.03</v>
      </c>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ca="1" si="41"/>
        <v>5262</v>
      </c>
      <c r="S118" s="334">
        <f t="shared" ca="1" si="42"/>
        <v>252734</v>
      </c>
      <c r="T118" s="1179">
        <f t="shared" ca="1" si="43"/>
        <v>25</v>
      </c>
      <c r="U118" s="1311">
        <f t="shared" si="37"/>
        <v>0</v>
      </c>
      <c r="V118" s="1311">
        <f t="shared" si="38"/>
        <v>0</v>
      </c>
      <c r="W118" s="1308"/>
      <c r="X118" s="1311">
        <f t="shared" si="39"/>
        <v>0</v>
      </c>
      <c r="Y118" s="1311">
        <f t="shared" si="40"/>
        <v>0</v>
      </c>
      <c r="Z118" s="1308"/>
    </row>
    <row r="119" spans="1:26">
      <c r="A119" s="704" t="str">
        <f>Sheet1!A93</f>
        <v>D32</v>
      </c>
      <c r="B119" s="24">
        <f>Sheet1!B93</f>
        <v>48.03</v>
      </c>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ca="1" si="41"/>
        <v>5262</v>
      </c>
      <c r="S119" s="334">
        <f t="shared" ca="1" si="42"/>
        <v>252734</v>
      </c>
      <c r="T119" s="1179">
        <f t="shared" ca="1" si="43"/>
        <v>25</v>
      </c>
      <c r="U119" s="1311">
        <f t="shared" si="37"/>
        <v>0</v>
      </c>
      <c r="V119" s="1311">
        <f t="shared" si="38"/>
        <v>0</v>
      </c>
      <c r="W119" s="1308"/>
      <c r="X119" s="1311">
        <f t="shared" si="39"/>
        <v>0</v>
      </c>
      <c r="Y119" s="1311">
        <f t="shared" si="40"/>
        <v>0</v>
      </c>
      <c r="Z119" s="1308"/>
    </row>
    <row r="120" spans="1:26">
      <c r="A120" s="704" t="str">
        <f>Sheet1!A94</f>
        <v>D33</v>
      </c>
      <c r="B120" s="24">
        <f>Sheet1!B94</f>
        <v>48.03</v>
      </c>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ca="1" si="41"/>
        <v>5262</v>
      </c>
      <c r="S120" s="334">
        <f t="shared" ca="1" si="42"/>
        <v>252734</v>
      </c>
      <c r="T120" s="1179">
        <f t="shared" ca="1" si="43"/>
        <v>25</v>
      </c>
      <c r="U120" s="1311">
        <f t="shared" si="37"/>
        <v>0</v>
      </c>
      <c r="V120" s="1311">
        <f t="shared" si="38"/>
        <v>0</v>
      </c>
      <c r="W120" s="1308"/>
      <c r="X120" s="1311">
        <f t="shared" si="39"/>
        <v>0</v>
      </c>
      <c r="Y120" s="1311">
        <f t="shared" si="40"/>
        <v>0</v>
      </c>
      <c r="Z120" s="1308"/>
    </row>
    <row r="121" spans="1:26">
      <c r="A121" s="704" t="str">
        <f>Sheet1!A95</f>
        <v>D34</v>
      </c>
      <c r="B121" s="24">
        <f>Sheet1!B95</f>
        <v>48.03</v>
      </c>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ca="1" si="41"/>
        <v>5262</v>
      </c>
      <c r="S121" s="334">
        <f t="shared" ca="1" si="42"/>
        <v>252734</v>
      </c>
      <c r="T121" s="1179">
        <f t="shared" ca="1" si="43"/>
        <v>25</v>
      </c>
      <c r="U121" s="1311">
        <f t="shared" si="37"/>
        <v>0</v>
      </c>
      <c r="V121" s="1311">
        <f t="shared" si="38"/>
        <v>0</v>
      </c>
      <c r="W121" s="1308"/>
      <c r="X121" s="1311">
        <f t="shared" si="39"/>
        <v>0</v>
      </c>
      <c r="Y121" s="1311">
        <f t="shared" si="40"/>
        <v>0</v>
      </c>
      <c r="Z121" s="1308"/>
    </row>
    <row r="122" spans="1:26">
      <c r="A122" s="704" t="str">
        <f>Sheet1!A96</f>
        <v>D35</v>
      </c>
      <c r="B122" s="24">
        <f>Sheet1!B96</f>
        <v>52.83</v>
      </c>
      <c r="C122" s="14">
        <f t="shared" si="29"/>
        <v>1.01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ca="1" si="41"/>
        <v>5315</v>
      </c>
      <c r="S122" s="334">
        <f t="shared" ca="1" si="42"/>
        <v>280791</v>
      </c>
      <c r="T122" s="1179">
        <f t="shared" ca="1" si="43"/>
        <v>28</v>
      </c>
      <c r="U122" s="1311">
        <f t="shared" si="37"/>
        <v>0</v>
      </c>
      <c r="V122" s="1311">
        <f t="shared" si="38"/>
        <v>0</v>
      </c>
      <c r="W122" s="1308"/>
      <c r="X122" s="1311">
        <f t="shared" si="39"/>
        <v>0</v>
      </c>
      <c r="Y122" s="1311">
        <f t="shared" si="40"/>
        <v>0</v>
      </c>
      <c r="Z122" s="1308"/>
    </row>
    <row r="123" spans="1:26">
      <c r="A123" s="704" t="str">
        <f>Sheet1!A97</f>
        <v>D36</v>
      </c>
      <c r="B123" s="24">
        <f>Sheet1!B97</f>
        <v>52.83</v>
      </c>
      <c r="C123" s="14">
        <f t="shared" si="29"/>
        <v>1.01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ca="1" si="41"/>
        <v>5315</v>
      </c>
      <c r="S123" s="334">
        <f t="shared" ca="1" si="42"/>
        <v>280791</v>
      </c>
      <c r="T123" s="1179">
        <f t="shared" ca="1" si="43"/>
        <v>28</v>
      </c>
      <c r="U123" s="1311">
        <f t="shared" si="37"/>
        <v>0</v>
      </c>
      <c r="V123" s="1311">
        <f t="shared" si="38"/>
        <v>0</v>
      </c>
      <c r="W123" s="1308"/>
      <c r="X123" s="1311">
        <f t="shared" si="39"/>
        <v>0</v>
      </c>
      <c r="Y123" s="1311">
        <f t="shared" si="40"/>
        <v>0</v>
      </c>
      <c r="Z123" s="1308"/>
    </row>
    <row r="124" spans="1:26">
      <c r="A124" s="704" t="str">
        <f>Sheet1!A98</f>
        <v>D37</v>
      </c>
      <c r="B124" s="24">
        <f>Sheet1!B98</f>
        <v>52.83</v>
      </c>
      <c r="C124" s="14">
        <f t="shared" si="29"/>
        <v>1.01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ca="1" si="41"/>
        <v>5315</v>
      </c>
      <c r="S124" s="334">
        <f t="shared" ca="1" si="42"/>
        <v>280791</v>
      </c>
      <c r="T124" s="1179">
        <f t="shared" ca="1" si="43"/>
        <v>28</v>
      </c>
      <c r="U124" s="1311">
        <f t="shared" si="37"/>
        <v>0</v>
      </c>
      <c r="V124" s="1311">
        <f t="shared" si="38"/>
        <v>0</v>
      </c>
      <c r="W124" s="1308"/>
      <c r="X124" s="1311">
        <f t="shared" si="39"/>
        <v>0</v>
      </c>
      <c r="Y124" s="1311">
        <f t="shared" si="40"/>
        <v>0</v>
      </c>
      <c r="Z124" s="1308"/>
    </row>
    <row r="125" spans="1:26">
      <c r="A125" s="704" t="str">
        <f>Sheet1!A99</f>
        <v>D38</v>
      </c>
      <c r="B125" s="24">
        <f>Sheet1!B99</f>
        <v>52.83</v>
      </c>
      <c r="C125" s="14">
        <f t="shared" si="29"/>
        <v>1.01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ca="1" si="41"/>
        <v>5315</v>
      </c>
      <c r="S125" s="334">
        <f t="shared" ca="1" si="42"/>
        <v>280791</v>
      </c>
      <c r="T125" s="1179">
        <f t="shared" ca="1" si="43"/>
        <v>28</v>
      </c>
      <c r="U125" s="1311">
        <f t="shared" si="37"/>
        <v>0</v>
      </c>
      <c r="V125" s="1311">
        <f t="shared" si="38"/>
        <v>0</v>
      </c>
      <c r="W125" s="1308"/>
      <c r="X125" s="1311">
        <f t="shared" si="39"/>
        <v>0</v>
      </c>
      <c r="Y125" s="1311">
        <f t="shared" si="40"/>
        <v>0</v>
      </c>
      <c r="Z125" s="1308"/>
    </row>
    <row r="126" spans="1:26">
      <c r="A126" s="704" t="str">
        <f>Sheet1!A100</f>
        <v>D39</v>
      </c>
      <c r="B126" s="24">
        <f>Sheet1!B100</f>
        <v>52.83</v>
      </c>
      <c r="C126" s="14">
        <f t="shared" si="29"/>
        <v>1.01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ca="1" si="41"/>
        <v>5315</v>
      </c>
      <c r="S126" s="334">
        <f t="shared" ca="1" si="42"/>
        <v>280791</v>
      </c>
      <c r="T126" s="1179">
        <f t="shared" ca="1" si="43"/>
        <v>28</v>
      </c>
      <c r="U126" s="1311">
        <f t="shared" si="37"/>
        <v>0</v>
      </c>
      <c r="V126" s="1311">
        <f t="shared" si="38"/>
        <v>0</v>
      </c>
      <c r="W126" s="1308"/>
      <c r="X126" s="1311">
        <f t="shared" si="39"/>
        <v>0</v>
      </c>
      <c r="Y126" s="1311">
        <f t="shared" si="40"/>
        <v>0</v>
      </c>
      <c r="Z126" s="1308"/>
    </row>
    <row r="127" spans="1:26">
      <c r="A127" s="704" t="str">
        <f>Sheet1!A101</f>
        <v>D40</v>
      </c>
      <c r="B127" s="24">
        <f>Sheet1!B101</f>
        <v>52.83</v>
      </c>
      <c r="C127" s="14">
        <f t="shared" si="29"/>
        <v>1.01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ca="1" si="41"/>
        <v>5315</v>
      </c>
      <c r="S127" s="334">
        <f t="shared" ca="1" si="42"/>
        <v>280791</v>
      </c>
      <c r="T127" s="1179">
        <f t="shared" ca="1" si="43"/>
        <v>28</v>
      </c>
      <c r="U127" s="1311">
        <f t="shared" si="37"/>
        <v>0</v>
      </c>
      <c r="V127" s="1311">
        <f t="shared" si="38"/>
        <v>0</v>
      </c>
      <c r="W127" s="1308"/>
      <c r="X127" s="1311">
        <f t="shared" si="39"/>
        <v>0</v>
      </c>
      <c r="Y127" s="1311">
        <f t="shared" si="40"/>
        <v>0</v>
      </c>
      <c r="Z127" s="1308"/>
    </row>
    <row r="128" spans="1:26">
      <c r="A128" s="704" t="str">
        <f>Sheet1!A102</f>
        <v>D41</v>
      </c>
      <c r="B128" s="24">
        <f>Sheet1!B102</f>
        <v>52.83</v>
      </c>
      <c r="C128" s="14">
        <f t="shared" si="29"/>
        <v>1.01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ca="1" si="41"/>
        <v>5315</v>
      </c>
      <c r="S128" s="334">
        <f t="shared" ca="1" si="42"/>
        <v>280791</v>
      </c>
      <c r="T128" s="1179">
        <f t="shared" ca="1" si="43"/>
        <v>28</v>
      </c>
      <c r="U128" s="1311">
        <f t="shared" si="37"/>
        <v>0</v>
      </c>
      <c r="V128" s="1311">
        <f t="shared" si="38"/>
        <v>0</v>
      </c>
      <c r="W128" s="1308"/>
      <c r="X128" s="1311">
        <f t="shared" si="39"/>
        <v>0</v>
      </c>
      <c r="Y128" s="1311">
        <f t="shared" si="40"/>
        <v>0</v>
      </c>
      <c r="Z128" s="1308"/>
    </row>
    <row r="129" spans="1:26">
      <c r="A129" s="704" t="str">
        <f>Sheet1!A103</f>
        <v>D42</v>
      </c>
      <c r="B129" s="24">
        <f>Sheet1!B103</f>
        <v>52.83</v>
      </c>
      <c r="C129" s="14">
        <f t="shared" si="29"/>
        <v>1.01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ca="1" si="41"/>
        <v>5315</v>
      </c>
      <c r="S129" s="334">
        <f t="shared" ca="1" si="42"/>
        <v>280791</v>
      </c>
      <c r="T129" s="1179">
        <f t="shared" ca="1" si="43"/>
        <v>28</v>
      </c>
      <c r="U129" s="1311">
        <f t="shared" si="37"/>
        <v>0</v>
      </c>
      <c r="V129" s="1311">
        <f t="shared" si="38"/>
        <v>0</v>
      </c>
      <c r="W129" s="1308"/>
      <c r="X129" s="1311">
        <f t="shared" si="39"/>
        <v>0</v>
      </c>
      <c r="Y129" s="1311">
        <f t="shared" si="40"/>
        <v>0</v>
      </c>
      <c r="Z129" s="1308"/>
    </row>
    <row r="130" spans="1:26">
      <c r="A130" s="704" t="str">
        <f>Sheet1!A104</f>
        <v>D43</v>
      </c>
      <c r="B130" s="24">
        <f>Sheet1!B104</f>
        <v>52.83</v>
      </c>
      <c r="C130" s="14">
        <f t="shared" si="29"/>
        <v>1.01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ca="1" si="41"/>
        <v>5315</v>
      </c>
      <c r="S130" s="334">
        <f t="shared" ca="1" si="42"/>
        <v>280791</v>
      </c>
      <c r="T130" s="1179">
        <f t="shared" ca="1" si="43"/>
        <v>28</v>
      </c>
      <c r="U130" s="1311">
        <f t="shared" si="37"/>
        <v>0</v>
      </c>
      <c r="V130" s="1311">
        <f t="shared" si="38"/>
        <v>0</v>
      </c>
      <c r="W130" s="1308"/>
      <c r="X130" s="1311">
        <f t="shared" si="39"/>
        <v>0</v>
      </c>
      <c r="Y130" s="1311">
        <f t="shared" si="40"/>
        <v>0</v>
      </c>
      <c r="Z130" s="1308"/>
    </row>
    <row r="131" spans="1:26">
      <c r="A131" s="704" t="str">
        <f>Sheet1!A105</f>
        <v>D44</v>
      </c>
      <c r="B131" s="24">
        <f>Sheet1!B105</f>
        <v>52.83</v>
      </c>
      <c r="C131" s="14">
        <f t="shared" si="29"/>
        <v>1.01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ca="1" si="41"/>
        <v>5315</v>
      </c>
      <c r="S131" s="334">
        <f t="shared" ca="1" si="42"/>
        <v>280791</v>
      </c>
      <c r="T131" s="1179">
        <f t="shared" ca="1" si="43"/>
        <v>28</v>
      </c>
      <c r="U131" s="1311">
        <f t="shared" si="37"/>
        <v>0</v>
      </c>
      <c r="V131" s="1311">
        <f t="shared" si="38"/>
        <v>0</v>
      </c>
      <c r="W131" s="1308"/>
      <c r="X131" s="1311">
        <f t="shared" si="39"/>
        <v>0</v>
      </c>
      <c r="Y131" s="1311">
        <f t="shared" si="40"/>
        <v>0</v>
      </c>
      <c r="Z131" s="1308"/>
    </row>
    <row r="132" spans="1:26">
      <c r="A132" s="704" t="str">
        <f>Sheet1!A106</f>
        <v>D45</v>
      </c>
      <c r="B132" s="24">
        <f>Sheet1!B106</f>
        <v>52.83</v>
      </c>
      <c r="C132" s="14">
        <f t="shared" si="29"/>
        <v>1.01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ca="1" si="41"/>
        <v>5315</v>
      </c>
      <c r="S132" s="334">
        <f t="shared" ca="1" si="42"/>
        <v>280791</v>
      </c>
      <c r="T132" s="1179">
        <f t="shared" ca="1" si="43"/>
        <v>28</v>
      </c>
      <c r="U132" s="1311">
        <f t="shared" si="37"/>
        <v>0</v>
      </c>
      <c r="V132" s="1311">
        <f t="shared" si="38"/>
        <v>0</v>
      </c>
      <c r="W132" s="1308"/>
      <c r="X132" s="1311">
        <f t="shared" si="39"/>
        <v>0</v>
      </c>
      <c r="Y132" s="1311">
        <f t="shared" si="40"/>
        <v>0</v>
      </c>
      <c r="Z132" s="1308"/>
    </row>
    <row r="133" spans="1:26">
      <c r="A133" s="704" t="str">
        <f>Sheet1!A107</f>
        <v>D46</v>
      </c>
      <c r="B133" s="24">
        <f>Sheet1!B107</f>
        <v>52.83</v>
      </c>
      <c r="C133" s="14">
        <f t="shared" si="29"/>
        <v>1.01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ca="1" si="41"/>
        <v>5315</v>
      </c>
      <c r="S133" s="334">
        <f t="shared" ca="1" si="42"/>
        <v>280791</v>
      </c>
      <c r="T133" s="1179">
        <f t="shared" ca="1" si="43"/>
        <v>28</v>
      </c>
      <c r="U133" s="1311">
        <f t="shared" si="37"/>
        <v>0</v>
      </c>
      <c r="V133" s="1311">
        <f t="shared" si="38"/>
        <v>0</v>
      </c>
      <c r="W133" s="1308"/>
      <c r="X133" s="1311">
        <f t="shared" si="39"/>
        <v>0</v>
      </c>
      <c r="Y133" s="1311">
        <f t="shared" si="40"/>
        <v>0</v>
      </c>
      <c r="Z133" s="1308"/>
    </row>
    <row r="134" spans="1:26">
      <c r="A134" s="704" t="str">
        <f>Sheet1!A108</f>
        <v>D47</v>
      </c>
      <c r="B134" s="24">
        <f>Sheet1!B108</f>
        <v>52.83</v>
      </c>
      <c r="C134" s="14">
        <f t="shared" si="29"/>
        <v>1.01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ca="1" si="41"/>
        <v>5315</v>
      </c>
      <c r="S134" s="334">
        <f t="shared" ca="1" si="42"/>
        <v>280791</v>
      </c>
      <c r="T134" s="1179">
        <f t="shared" ca="1" si="43"/>
        <v>28</v>
      </c>
      <c r="U134" s="1311">
        <f t="shared" si="37"/>
        <v>0</v>
      </c>
      <c r="V134" s="1311">
        <f t="shared" si="38"/>
        <v>0</v>
      </c>
      <c r="W134" s="1308"/>
      <c r="X134" s="1311">
        <f t="shared" si="39"/>
        <v>0</v>
      </c>
      <c r="Y134" s="1311">
        <f t="shared" si="40"/>
        <v>0</v>
      </c>
      <c r="Z134" s="1308"/>
    </row>
    <row r="135" spans="1:26">
      <c r="A135" s="704" t="str">
        <f>Sheet1!A109</f>
        <v>D48</v>
      </c>
      <c r="B135" s="24">
        <f>Sheet1!B109</f>
        <v>52.83</v>
      </c>
      <c r="C135" s="14">
        <f t="shared" si="29"/>
        <v>1.01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ca="1" si="41"/>
        <v>5315</v>
      </c>
      <c r="S135" s="334">
        <f t="shared" ca="1" si="42"/>
        <v>280791</v>
      </c>
      <c r="T135" s="1179">
        <f t="shared" ca="1" si="43"/>
        <v>28</v>
      </c>
      <c r="U135" s="1311">
        <f t="shared" si="37"/>
        <v>0</v>
      </c>
      <c r="V135" s="1311">
        <f t="shared" si="38"/>
        <v>0</v>
      </c>
      <c r="W135" s="1308"/>
      <c r="X135" s="1311">
        <f t="shared" si="39"/>
        <v>0</v>
      </c>
      <c r="Y135" s="1311">
        <f t="shared" si="40"/>
        <v>0</v>
      </c>
      <c r="Z135" s="1308"/>
    </row>
    <row r="136" spans="1:26">
      <c r="A136" s="704" t="str">
        <f>Sheet1!A110</f>
        <v>D49</v>
      </c>
      <c r="B136" s="24">
        <f>Sheet1!B110</f>
        <v>52.23</v>
      </c>
      <c r="C136" s="14">
        <f t="shared" si="29"/>
        <v>1.01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ca="1" si="41"/>
        <v>5315</v>
      </c>
      <c r="S136" s="334">
        <f t="shared" ca="1" si="42"/>
        <v>277602</v>
      </c>
      <c r="T136" s="1179">
        <f t="shared" ca="1" si="43"/>
        <v>28</v>
      </c>
      <c r="U136" s="1311">
        <f t="shared" si="37"/>
        <v>0</v>
      </c>
      <c r="V136" s="1311">
        <f t="shared" si="38"/>
        <v>0</v>
      </c>
      <c r="W136" s="1308"/>
      <c r="X136" s="1311">
        <f t="shared" si="39"/>
        <v>0</v>
      </c>
      <c r="Y136" s="1311">
        <f t="shared" si="40"/>
        <v>0</v>
      </c>
      <c r="Z136" s="1308"/>
    </row>
    <row r="137" spans="1:26">
      <c r="A137" s="704" t="str">
        <f>Sheet1!A111</f>
        <v>D50</v>
      </c>
      <c r="B137" s="24">
        <f>Sheet1!B111</f>
        <v>52.23</v>
      </c>
      <c r="C137" s="14">
        <f t="shared" si="29"/>
        <v>1.01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ca="1" si="41"/>
        <v>5315</v>
      </c>
      <c r="S137" s="334">
        <f t="shared" ca="1" si="42"/>
        <v>277602</v>
      </c>
      <c r="T137" s="1179">
        <f t="shared" ca="1" si="43"/>
        <v>28</v>
      </c>
      <c r="U137" s="1311">
        <f t="shared" si="37"/>
        <v>0</v>
      </c>
      <c r="V137" s="1311">
        <f t="shared" si="38"/>
        <v>0</v>
      </c>
      <c r="W137" s="1308"/>
      <c r="X137" s="1311">
        <f t="shared" si="39"/>
        <v>0</v>
      </c>
      <c r="Y137" s="1311">
        <f t="shared" si="40"/>
        <v>0</v>
      </c>
      <c r="Z137" s="1308"/>
    </row>
    <row r="138" spans="1:26">
      <c r="A138" s="704" t="str">
        <f>Sheet1!A112</f>
        <v>D51</v>
      </c>
      <c r="B138" s="24">
        <f>Sheet1!B112</f>
        <v>53.23</v>
      </c>
      <c r="C138" s="14">
        <f t="shared" si="29"/>
        <v>1.01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ca="1" si="41"/>
        <v>5315</v>
      </c>
      <c r="S138" s="334">
        <f t="shared" ca="1" si="42"/>
        <v>282917</v>
      </c>
      <c r="T138" s="1179">
        <f t="shared" ca="1" si="43"/>
        <v>28</v>
      </c>
      <c r="U138" s="1311">
        <f t="shared" si="37"/>
        <v>0</v>
      </c>
      <c r="V138" s="1311">
        <f t="shared" si="38"/>
        <v>0</v>
      </c>
      <c r="W138" s="1308"/>
      <c r="X138" s="1311">
        <f t="shared" si="39"/>
        <v>0</v>
      </c>
      <c r="Y138" s="1311">
        <f t="shared" si="40"/>
        <v>0</v>
      </c>
      <c r="Z138" s="1308"/>
    </row>
    <row r="139" spans="1:26">
      <c r="A139" s="704" t="str">
        <f>Sheet1!A113</f>
        <v>D52</v>
      </c>
      <c r="B139" s="24">
        <f>Sheet1!B113</f>
        <v>53.23</v>
      </c>
      <c r="C139" s="14">
        <f t="shared" si="29"/>
        <v>1.01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ca="1" si="41"/>
        <v>5315</v>
      </c>
      <c r="S139" s="334">
        <f t="shared" ca="1" si="42"/>
        <v>282917</v>
      </c>
      <c r="T139" s="1179">
        <f t="shared" ca="1" si="43"/>
        <v>28</v>
      </c>
      <c r="U139" s="1311">
        <f t="shared" si="37"/>
        <v>0</v>
      </c>
      <c r="V139" s="1311">
        <f t="shared" si="38"/>
        <v>0</v>
      </c>
      <c r="W139" s="1308"/>
      <c r="X139" s="1311">
        <f t="shared" si="39"/>
        <v>0</v>
      </c>
      <c r="Y139" s="1311">
        <f t="shared" si="40"/>
        <v>0</v>
      </c>
      <c r="Z139" s="1308"/>
    </row>
    <row r="140" spans="1:26">
      <c r="A140" s="704" t="str">
        <f>Sheet1!A114</f>
        <v>D53</v>
      </c>
      <c r="B140" s="24">
        <f>Sheet1!B114</f>
        <v>53.23</v>
      </c>
      <c r="C140" s="14">
        <f t="shared" si="29"/>
        <v>1.01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ca="1" si="41"/>
        <v>5315</v>
      </c>
      <c r="S140" s="334">
        <f t="shared" ca="1" si="42"/>
        <v>282917</v>
      </c>
      <c r="T140" s="1179">
        <f t="shared" ca="1" si="43"/>
        <v>28</v>
      </c>
      <c r="U140" s="1311">
        <f t="shared" si="37"/>
        <v>0</v>
      </c>
      <c r="V140" s="1311">
        <f t="shared" si="38"/>
        <v>0</v>
      </c>
      <c r="W140" s="1308"/>
      <c r="X140" s="1311">
        <f t="shared" si="39"/>
        <v>0</v>
      </c>
      <c r="Y140" s="1311">
        <f t="shared" si="40"/>
        <v>0</v>
      </c>
      <c r="Z140" s="1308"/>
    </row>
    <row r="141" spans="1:26">
      <c r="A141" s="704" t="str">
        <f>Sheet1!A115</f>
        <v>D54</v>
      </c>
      <c r="B141" s="24">
        <f>Sheet1!B115</f>
        <v>53.23</v>
      </c>
      <c r="C141" s="14">
        <f t="shared" si="29"/>
        <v>1.01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ca="1" si="41"/>
        <v>5315</v>
      </c>
      <c r="S141" s="334">
        <f t="shared" ca="1" si="42"/>
        <v>282917</v>
      </c>
      <c r="T141" s="1179">
        <f t="shared" ca="1" si="43"/>
        <v>28</v>
      </c>
      <c r="U141" s="1311">
        <f t="shared" si="37"/>
        <v>0</v>
      </c>
      <c r="V141" s="1311">
        <f t="shared" si="38"/>
        <v>0</v>
      </c>
      <c r="W141" s="1308"/>
      <c r="X141" s="1311">
        <f t="shared" si="39"/>
        <v>0</v>
      </c>
      <c r="Y141" s="1311">
        <f t="shared" si="40"/>
        <v>0</v>
      </c>
      <c r="Z141" s="1308"/>
    </row>
    <row r="142" spans="1:26">
      <c r="A142" s="704" t="str">
        <f>Sheet1!A116</f>
        <v>D55</v>
      </c>
      <c r="B142" s="24">
        <f>Sheet1!B116</f>
        <v>53.23</v>
      </c>
      <c r="C142" s="14">
        <f t="shared" si="29"/>
        <v>1.01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ca="1" si="41"/>
        <v>5315</v>
      </c>
      <c r="S142" s="334">
        <f t="shared" ca="1" si="42"/>
        <v>282917</v>
      </c>
      <c r="T142" s="1179">
        <f t="shared" ca="1" si="43"/>
        <v>28</v>
      </c>
      <c r="U142" s="1311">
        <f t="shared" si="37"/>
        <v>0</v>
      </c>
      <c r="V142" s="1311">
        <f t="shared" si="38"/>
        <v>0</v>
      </c>
      <c r="W142" s="1308"/>
      <c r="X142" s="1311">
        <f t="shared" si="39"/>
        <v>0</v>
      </c>
      <c r="Y142" s="1311">
        <f t="shared" si="40"/>
        <v>0</v>
      </c>
      <c r="Z142" s="1308"/>
    </row>
    <row r="143" spans="1:26">
      <c r="A143" s="704" t="str">
        <f>Sheet1!A117</f>
        <v>D56</v>
      </c>
      <c r="B143" s="24">
        <f>Sheet1!B117</f>
        <v>53.23</v>
      </c>
      <c r="C143" s="14">
        <f t="shared" si="29"/>
        <v>1.01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ca="1" si="41"/>
        <v>5315</v>
      </c>
      <c r="S143" s="334">
        <f t="shared" ca="1" si="42"/>
        <v>282917</v>
      </c>
      <c r="T143" s="1179">
        <f t="shared" ca="1" si="43"/>
        <v>28</v>
      </c>
      <c r="U143" s="1311">
        <f t="shared" si="37"/>
        <v>0</v>
      </c>
      <c r="V143" s="1311">
        <f t="shared" si="38"/>
        <v>0</v>
      </c>
      <c r="W143" s="1308"/>
      <c r="X143" s="1311">
        <f t="shared" si="39"/>
        <v>0</v>
      </c>
      <c r="Y143" s="1311">
        <f t="shared" si="40"/>
        <v>0</v>
      </c>
      <c r="Z143" s="1308"/>
    </row>
    <row r="144" spans="1:26">
      <c r="A144" s="704" t="str">
        <f>Sheet1!A118</f>
        <v>D57</v>
      </c>
      <c r="B144" s="24">
        <f>Sheet1!B118</f>
        <v>51.63</v>
      </c>
      <c r="C144" s="14">
        <f t="shared" si="29"/>
        <v>1.01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ca="1" si="41"/>
        <v>5315</v>
      </c>
      <c r="S144" s="334">
        <f t="shared" ca="1" si="42"/>
        <v>274413</v>
      </c>
      <c r="T144" s="1179">
        <f t="shared" ca="1" si="43"/>
        <v>27</v>
      </c>
      <c r="U144" s="1311">
        <f t="shared" si="37"/>
        <v>0</v>
      </c>
      <c r="V144" s="1311">
        <f t="shared" si="38"/>
        <v>0</v>
      </c>
      <c r="W144" s="1308"/>
      <c r="X144" s="1311">
        <f t="shared" si="39"/>
        <v>0</v>
      </c>
      <c r="Y144" s="1311">
        <f t="shared" si="40"/>
        <v>0</v>
      </c>
      <c r="Z144" s="1308"/>
    </row>
    <row r="145" spans="1:26">
      <c r="A145" s="704" t="str">
        <f>Sheet1!A119</f>
        <v>D58</v>
      </c>
      <c r="B145" s="24">
        <f>Sheet1!B119</f>
        <v>51.63</v>
      </c>
      <c r="C145" s="14">
        <f t="shared" si="29"/>
        <v>1.01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ca="1" si="41"/>
        <v>5315</v>
      </c>
      <c r="S145" s="334">
        <f t="shared" ca="1" si="42"/>
        <v>274413</v>
      </c>
      <c r="T145" s="1179">
        <f t="shared" ca="1" si="43"/>
        <v>27</v>
      </c>
      <c r="U145" s="1311">
        <f t="shared" si="37"/>
        <v>0</v>
      </c>
      <c r="V145" s="1311">
        <f t="shared" si="38"/>
        <v>0</v>
      </c>
      <c r="W145" s="1308"/>
      <c r="X145" s="1311">
        <f t="shared" si="39"/>
        <v>0</v>
      </c>
      <c r="Y145" s="1311">
        <f t="shared" si="40"/>
        <v>0</v>
      </c>
      <c r="Z145" s="1308"/>
    </row>
    <row r="146" spans="1:26">
      <c r="A146" s="704" t="str">
        <f>Sheet1!A120</f>
        <v>D59</v>
      </c>
      <c r="B146" s="24">
        <f>Sheet1!B120</f>
        <v>46.83</v>
      </c>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ca="1" si="41"/>
        <v>5262</v>
      </c>
      <c r="S146" s="334">
        <f t="shared" ca="1" si="42"/>
        <v>246419</v>
      </c>
      <c r="T146" s="1179">
        <f t="shared" ca="1" si="43"/>
        <v>25</v>
      </c>
      <c r="U146" s="1311">
        <f t="shared" si="37"/>
        <v>0</v>
      </c>
      <c r="V146" s="1311">
        <f t="shared" si="38"/>
        <v>0</v>
      </c>
      <c r="W146" s="1308"/>
      <c r="X146" s="1311">
        <f t="shared" si="39"/>
        <v>0</v>
      </c>
      <c r="Y146" s="1311">
        <f t="shared" si="40"/>
        <v>0</v>
      </c>
      <c r="Z146" s="1308"/>
    </row>
    <row r="147" spans="1:26">
      <c r="A147" s="704" t="str">
        <f>Sheet1!A121</f>
        <v>D60</v>
      </c>
      <c r="B147" s="24">
        <f>Sheet1!B121</f>
        <v>46.83</v>
      </c>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ca="1" si="41"/>
        <v>5262</v>
      </c>
      <c r="S147" s="334">
        <f t="shared" ca="1" si="42"/>
        <v>246419</v>
      </c>
      <c r="T147" s="1179">
        <f t="shared" ca="1" si="43"/>
        <v>25</v>
      </c>
      <c r="U147" s="1311">
        <f t="shared" si="37"/>
        <v>0</v>
      </c>
      <c r="V147" s="1311">
        <f t="shared" si="38"/>
        <v>0</v>
      </c>
      <c r="W147" s="1308"/>
      <c r="X147" s="1311">
        <f t="shared" si="39"/>
        <v>0</v>
      </c>
      <c r="Y147" s="1311">
        <f t="shared" si="40"/>
        <v>0</v>
      </c>
      <c r="Z147" s="1308"/>
    </row>
    <row r="148" spans="1:26">
      <c r="A148" s="704" t="str">
        <f>Sheet1!A122</f>
        <v>D61</v>
      </c>
      <c r="B148" s="24">
        <f>Sheet1!B122</f>
        <v>46.83</v>
      </c>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ca="1" si="41"/>
        <v>5262</v>
      </c>
      <c r="S148" s="334">
        <f t="shared" ca="1" si="42"/>
        <v>246419</v>
      </c>
      <c r="T148" s="1179">
        <f t="shared" ca="1" si="43"/>
        <v>25</v>
      </c>
      <c r="U148" s="1311">
        <f t="shared" si="37"/>
        <v>0</v>
      </c>
      <c r="V148" s="1311">
        <f t="shared" si="38"/>
        <v>0</v>
      </c>
      <c r="W148" s="1308"/>
      <c r="X148" s="1311">
        <f t="shared" si="39"/>
        <v>0</v>
      </c>
      <c r="Y148" s="1311">
        <f t="shared" si="40"/>
        <v>0</v>
      </c>
      <c r="Z148" s="1308"/>
    </row>
    <row r="149" spans="1:26">
      <c r="A149" s="704" t="str">
        <f>Sheet1!A123</f>
        <v>D62</v>
      </c>
      <c r="B149" s="24">
        <f>Sheet1!B123</f>
        <v>46.83</v>
      </c>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ca="1" si="41"/>
        <v>5262</v>
      </c>
      <c r="S149" s="334">
        <f t="shared" ca="1" si="42"/>
        <v>246419</v>
      </c>
      <c r="T149" s="1179">
        <f t="shared" ca="1" si="43"/>
        <v>25</v>
      </c>
      <c r="U149" s="1311">
        <f t="shared" si="37"/>
        <v>0</v>
      </c>
      <c r="V149" s="1311">
        <f t="shared" si="38"/>
        <v>0</v>
      </c>
      <c r="W149" s="1308"/>
      <c r="X149" s="1311">
        <f t="shared" si="39"/>
        <v>0</v>
      </c>
      <c r="Y149" s="1311">
        <f t="shared" si="40"/>
        <v>0</v>
      </c>
      <c r="Z149" s="1308"/>
    </row>
    <row r="150" spans="1:26">
      <c r="A150" s="704" t="str">
        <f>Sheet1!A124</f>
        <v>D63</v>
      </c>
      <c r="B150" s="24">
        <f>Sheet1!B124</f>
        <v>52.83</v>
      </c>
      <c r="C150" s="14">
        <f t="shared" si="29"/>
        <v>1.01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ca="1" si="41"/>
        <v>5315</v>
      </c>
      <c r="S150" s="334">
        <f t="shared" ca="1" si="42"/>
        <v>280791</v>
      </c>
      <c r="T150" s="1179">
        <f t="shared" ca="1" si="43"/>
        <v>28</v>
      </c>
      <c r="U150" s="1311">
        <f t="shared" si="37"/>
        <v>0</v>
      </c>
      <c r="V150" s="1311">
        <f t="shared" si="38"/>
        <v>0</v>
      </c>
      <c r="W150" s="1308"/>
      <c r="X150" s="1311">
        <f t="shared" si="39"/>
        <v>0</v>
      </c>
      <c r="Y150" s="1311">
        <f t="shared" si="40"/>
        <v>0</v>
      </c>
      <c r="Z150" s="1308"/>
    </row>
    <row r="151" spans="1:26">
      <c r="A151" s="704" t="str">
        <f>Sheet1!A125</f>
        <v>D64</v>
      </c>
      <c r="B151" s="24">
        <f>Sheet1!B125</f>
        <v>52.83</v>
      </c>
      <c r="C151" s="14">
        <f t="shared" si="29"/>
        <v>1.01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ca="1" si="41"/>
        <v>5315</v>
      </c>
      <c r="S151" s="334">
        <f t="shared" ca="1" si="42"/>
        <v>280791</v>
      </c>
      <c r="T151" s="1179">
        <f t="shared" ca="1" si="43"/>
        <v>28</v>
      </c>
      <c r="U151" s="1311">
        <f t="shared" si="37"/>
        <v>0</v>
      </c>
      <c r="V151" s="1311">
        <f t="shared" si="38"/>
        <v>0</v>
      </c>
      <c r="W151" s="1308"/>
      <c r="X151" s="1311">
        <f t="shared" si="39"/>
        <v>0</v>
      </c>
      <c r="Y151" s="1311">
        <f t="shared" si="40"/>
        <v>0</v>
      </c>
      <c r="Z151" s="1308"/>
    </row>
    <row r="152" spans="1:26">
      <c r="A152" s="704" t="str">
        <f>Sheet1!A126</f>
        <v>D65</v>
      </c>
      <c r="B152" s="24">
        <f>Sheet1!B126</f>
        <v>45.83</v>
      </c>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ca="1" si="41"/>
        <v>5262</v>
      </c>
      <c r="S152" s="334">
        <f t="shared" ca="1" si="42"/>
        <v>241157</v>
      </c>
      <c r="T152" s="1179">
        <f t="shared" ca="1" si="43"/>
        <v>24</v>
      </c>
      <c r="U152" s="1311">
        <f t="shared" si="37"/>
        <v>0</v>
      </c>
      <c r="V152" s="1311">
        <f t="shared" si="38"/>
        <v>0</v>
      </c>
      <c r="W152" s="1308"/>
      <c r="X152" s="1311">
        <f t="shared" si="39"/>
        <v>0</v>
      </c>
      <c r="Y152" s="1311">
        <f t="shared" si="40"/>
        <v>0</v>
      </c>
      <c r="Z152" s="1308"/>
    </row>
    <row r="153" spans="1:26">
      <c r="A153" s="704" t="str">
        <f>Sheet1!A127</f>
        <v>D66</v>
      </c>
      <c r="B153" s="24">
        <f>Sheet1!B127</f>
        <v>45.83</v>
      </c>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ca="1" si="41"/>
        <v>5262</v>
      </c>
      <c r="S153" s="334">
        <f t="shared" ca="1" si="42"/>
        <v>241157</v>
      </c>
      <c r="T153" s="1179">
        <f t="shared" ca="1" si="43"/>
        <v>24</v>
      </c>
      <c r="U153" s="1311">
        <f t="shared" si="37"/>
        <v>0</v>
      </c>
      <c r="V153" s="1311">
        <f t="shared" si="38"/>
        <v>0</v>
      </c>
      <c r="W153" s="1308"/>
      <c r="X153" s="1311">
        <f t="shared" si="39"/>
        <v>0</v>
      </c>
      <c r="Y153" s="1311">
        <f t="shared" si="40"/>
        <v>0</v>
      </c>
      <c r="Z153" s="1308"/>
    </row>
    <row r="154" spans="1:26">
      <c r="A154" s="704" t="str">
        <f>Sheet1!A128</f>
        <v>D67</v>
      </c>
      <c r="B154" s="24">
        <f>Sheet1!B128</f>
        <v>45.83</v>
      </c>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ca="1" si="41"/>
        <v>5262</v>
      </c>
      <c r="S154" s="334">
        <f t="shared" ca="1" si="42"/>
        <v>241157</v>
      </c>
      <c r="T154" s="1179">
        <f t="shared" ca="1" si="43"/>
        <v>24</v>
      </c>
      <c r="U154" s="1311">
        <f t="shared" si="37"/>
        <v>0</v>
      </c>
      <c r="V154" s="1311">
        <f t="shared" si="38"/>
        <v>0</v>
      </c>
      <c r="W154" s="1308"/>
      <c r="X154" s="1311">
        <f t="shared" si="39"/>
        <v>0</v>
      </c>
      <c r="Y154" s="1311">
        <f t="shared" si="40"/>
        <v>0</v>
      </c>
      <c r="Z154" s="1308"/>
    </row>
    <row r="155" spans="1:26">
      <c r="A155" s="704" t="str">
        <f>Sheet1!A129</f>
        <v>D68</v>
      </c>
      <c r="B155" s="24">
        <f>Sheet1!B129</f>
        <v>45.83</v>
      </c>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ca="1" si="41"/>
        <v>5262</v>
      </c>
      <c r="S155" s="334">
        <f t="shared" ca="1" si="42"/>
        <v>241157</v>
      </c>
      <c r="T155" s="1179">
        <f t="shared" ca="1" si="43"/>
        <v>24</v>
      </c>
      <c r="U155" s="1311">
        <f t="shared" si="37"/>
        <v>0</v>
      </c>
      <c r="V155" s="1311">
        <f t="shared" si="38"/>
        <v>0</v>
      </c>
      <c r="W155" s="1308"/>
      <c r="X155" s="1311">
        <f t="shared" si="39"/>
        <v>0</v>
      </c>
      <c r="Y155" s="1311">
        <f t="shared" si="40"/>
        <v>0</v>
      </c>
      <c r="Z155" s="1308"/>
    </row>
    <row r="156" spans="1:26">
      <c r="A156" s="704" t="str">
        <f>Sheet1!A130</f>
        <v>D69</v>
      </c>
      <c r="B156" s="24">
        <f>Sheet1!B130</f>
        <v>44.02</v>
      </c>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ca="1" si="41"/>
        <v>5262</v>
      </c>
      <c r="S156" s="334">
        <f t="shared" ca="1" si="42"/>
        <v>231633</v>
      </c>
      <c r="T156" s="1179">
        <f t="shared" ca="1" si="43"/>
        <v>23</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04" t="str">
        <f>Sheet1!A131</f>
        <v>D79</v>
      </c>
      <c r="B157" s="24">
        <f>Sheet1!B131</f>
        <v>53.71</v>
      </c>
      <c r="C157" s="14">
        <f t="shared" si="44"/>
        <v>1.01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ca="1" si="56">IF(B157="",0,ROUND($R$27*C157*E157*G157*I157*K157*M157*O157*Q157,0))</f>
        <v>5315</v>
      </c>
      <c r="S157" s="334">
        <f t="shared" ref="S157:S220" ca="1" si="57">ROUND(R157*B157,0)</f>
        <v>285469</v>
      </c>
      <c r="T157" s="1179">
        <f t="shared" ref="T157:T220" ca="1" si="58">ROUND(R157*B157/10000,0)</f>
        <v>29</v>
      </c>
      <c r="U157" s="1311">
        <f t="shared" si="52"/>
        <v>0</v>
      </c>
      <c r="V157" s="1311">
        <f t="shared" si="53"/>
        <v>0</v>
      </c>
      <c r="W157" s="1308"/>
      <c r="X157" s="1311">
        <f t="shared" si="54"/>
        <v>0</v>
      </c>
      <c r="Y157" s="1311">
        <f t="shared" si="55"/>
        <v>0</v>
      </c>
      <c r="Z157" s="1308"/>
    </row>
    <row r="158" spans="1:26">
      <c r="A158" s="704" t="str">
        <f>Sheet1!A132</f>
        <v>D80</v>
      </c>
      <c r="B158" s="24">
        <f>Sheet1!B132</f>
        <v>53.71</v>
      </c>
      <c r="C158" s="14">
        <f t="shared" si="44"/>
        <v>1.01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ca="1" si="56"/>
        <v>5315</v>
      </c>
      <c r="S158" s="334">
        <f t="shared" ca="1" si="57"/>
        <v>285469</v>
      </c>
      <c r="T158" s="1179">
        <f t="shared" ca="1" si="58"/>
        <v>29</v>
      </c>
      <c r="U158" s="1311">
        <f t="shared" si="52"/>
        <v>0</v>
      </c>
      <c r="V158" s="1311">
        <f t="shared" si="53"/>
        <v>0</v>
      </c>
      <c r="W158" s="1308"/>
      <c r="X158" s="1311">
        <f t="shared" si="54"/>
        <v>0</v>
      </c>
      <c r="Y158" s="1311">
        <f t="shared" si="55"/>
        <v>0</v>
      </c>
      <c r="Z158" s="1308"/>
    </row>
    <row r="159" spans="1:26">
      <c r="A159" s="704" t="str">
        <f>Sheet1!A133</f>
        <v>D81</v>
      </c>
      <c r="B159" s="24">
        <f>Sheet1!B133</f>
        <v>53.71</v>
      </c>
      <c r="C159" s="14">
        <f t="shared" si="44"/>
        <v>1.01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ca="1" si="56"/>
        <v>5315</v>
      </c>
      <c r="S159" s="334">
        <f t="shared" ca="1" si="57"/>
        <v>285469</v>
      </c>
      <c r="T159" s="1179">
        <f t="shared" ca="1" si="58"/>
        <v>29</v>
      </c>
      <c r="U159" s="1311">
        <f t="shared" si="52"/>
        <v>0</v>
      </c>
      <c r="V159" s="1311">
        <f t="shared" si="53"/>
        <v>0</v>
      </c>
      <c r="W159" s="1308"/>
      <c r="X159" s="1311">
        <f t="shared" si="54"/>
        <v>0</v>
      </c>
      <c r="Y159" s="1311">
        <f t="shared" si="55"/>
        <v>0</v>
      </c>
      <c r="Z159" s="1308"/>
    </row>
    <row r="160" spans="1:26">
      <c r="A160" s="704" t="str">
        <f>Sheet1!A134</f>
        <v>D82</v>
      </c>
      <c r="B160" s="24">
        <f>Sheet1!B134</f>
        <v>53.71</v>
      </c>
      <c r="C160" s="14">
        <f t="shared" si="44"/>
        <v>1.01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ca="1" si="56"/>
        <v>5315</v>
      </c>
      <c r="S160" s="334">
        <f t="shared" ca="1" si="57"/>
        <v>285469</v>
      </c>
      <c r="T160" s="1179">
        <f t="shared" ca="1" si="58"/>
        <v>29</v>
      </c>
      <c r="U160" s="1311">
        <f t="shared" si="52"/>
        <v>0</v>
      </c>
      <c r="V160" s="1311">
        <f t="shared" si="53"/>
        <v>0</v>
      </c>
      <c r="W160" s="1308"/>
      <c r="X160" s="1311">
        <f t="shared" si="54"/>
        <v>0</v>
      </c>
      <c r="Y160" s="1311">
        <f t="shared" si="55"/>
        <v>0</v>
      </c>
      <c r="Z160" s="1308"/>
    </row>
    <row r="161" spans="1:26">
      <c r="A161" s="704" t="str">
        <f>Sheet1!A135</f>
        <v>D83</v>
      </c>
      <c r="B161" s="24">
        <f>Sheet1!B135</f>
        <v>53.71</v>
      </c>
      <c r="C161" s="14">
        <f t="shared" si="44"/>
        <v>1.01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ca="1" si="56"/>
        <v>5315</v>
      </c>
      <c r="S161" s="334">
        <f t="shared" ca="1" si="57"/>
        <v>285469</v>
      </c>
      <c r="T161" s="1179">
        <f t="shared" ca="1" si="58"/>
        <v>29</v>
      </c>
      <c r="U161" s="1311">
        <f t="shared" si="52"/>
        <v>0</v>
      </c>
      <c r="V161" s="1311">
        <f t="shared" si="53"/>
        <v>0</v>
      </c>
      <c r="W161" s="1308"/>
      <c r="X161" s="1311">
        <f t="shared" si="54"/>
        <v>0</v>
      </c>
      <c r="Y161" s="1311">
        <f t="shared" si="55"/>
        <v>0</v>
      </c>
      <c r="Z161" s="1308"/>
    </row>
    <row r="162" spans="1:26">
      <c r="A162" s="704" t="str">
        <f>Sheet1!A136</f>
        <v>D84</v>
      </c>
      <c r="B162" s="24">
        <f>Sheet1!B136</f>
        <v>53.71</v>
      </c>
      <c r="C162" s="14">
        <f t="shared" si="44"/>
        <v>1.01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ca="1" si="56"/>
        <v>5315</v>
      </c>
      <c r="S162" s="334">
        <f t="shared" ca="1" si="57"/>
        <v>285469</v>
      </c>
      <c r="T162" s="1179">
        <f t="shared" ca="1" si="58"/>
        <v>29</v>
      </c>
      <c r="U162" s="1311">
        <f t="shared" si="52"/>
        <v>0</v>
      </c>
      <c r="V162" s="1311">
        <f t="shared" si="53"/>
        <v>0</v>
      </c>
      <c r="W162" s="1308"/>
      <c r="X162" s="1311">
        <f t="shared" si="54"/>
        <v>0</v>
      </c>
      <c r="Y162" s="1311">
        <f t="shared" si="55"/>
        <v>0</v>
      </c>
      <c r="Z162" s="1308"/>
    </row>
    <row r="163" spans="1:26">
      <c r="A163" s="704" t="str">
        <f>Sheet1!A137</f>
        <v>D85</v>
      </c>
      <c r="B163" s="24">
        <f>Sheet1!B137</f>
        <v>53.71</v>
      </c>
      <c r="C163" s="14">
        <f t="shared" si="44"/>
        <v>1.01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ca="1" si="56"/>
        <v>5315</v>
      </c>
      <c r="S163" s="334">
        <f t="shared" ca="1" si="57"/>
        <v>285469</v>
      </c>
      <c r="T163" s="1179">
        <f t="shared" ca="1" si="58"/>
        <v>29</v>
      </c>
      <c r="U163" s="1311">
        <f t="shared" si="52"/>
        <v>0</v>
      </c>
      <c r="V163" s="1311">
        <f t="shared" si="53"/>
        <v>0</v>
      </c>
      <c r="W163" s="1308"/>
      <c r="X163" s="1311">
        <f t="shared" si="54"/>
        <v>0</v>
      </c>
      <c r="Y163" s="1311">
        <f t="shared" si="55"/>
        <v>0</v>
      </c>
      <c r="Z163" s="1308"/>
    </row>
    <row r="164" spans="1:26">
      <c r="A164" s="704" t="str">
        <f>Sheet1!A138</f>
        <v>D86</v>
      </c>
      <c r="B164" s="24">
        <f>Sheet1!B138</f>
        <v>53.71</v>
      </c>
      <c r="C164" s="14">
        <f t="shared" si="44"/>
        <v>1.01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ca="1" si="56"/>
        <v>5315</v>
      </c>
      <c r="S164" s="334">
        <f t="shared" ca="1" si="57"/>
        <v>285469</v>
      </c>
      <c r="T164" s="1179">
        <f t="shared" ca="1" si="58"/>
        <v>29</v>
      </c>
      <c r="U164" s="1311">
        <f t="shared" si="52"/>
        <v>0</v>
      </c>
      <c r="V164" s="1311">
        <f t="shared" si="53"/>
        <v>0</v>
      </c>
      <c r="W164" s="1308"/>
      <c r="X164" s="1311">
        <f t="shared" si="54"/>
        <v>0</v>
      </c>
      <c r="Y164" s="1311">
        <f t="shared" si="55"/>
        <v>0</v>
      </c>
      <c r="Z164" s="1308"/>
    </row>
    <row r="165" spans="1:26">
      <c r="A165" s="704" t="str">
        <f>Sheet1!A139</f>
        <v>F32</v>
      </c>
      <c r="B165" s="24">
        <f>Sheet1!B139</f>
        <v>48.03</v>
      </c>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ca="1" si="56"/>
        <v>5262</v>
      </c>
      <c r="S165" s="334">
        <f t="shared" ca="1" si="57"/>
        <v>252734</v>
      </c>
      <c r="T165" s="1179">
        <f t="shared" ca="1" si="58"/>
        <v>25</v>
      </c>
      <c r="U165" s="1311">
        <f t="shared" si="52"/>
        <v>0</v>
      </c>
      <c r="V165" s="1311">
        <f t="shared" si="53"/>
        <v>0</v>
      </c>
      <c r="W165" s="1308"/>
      <c r="X165" s="1311">
        <f t="shared" si="54"/>
        <v>0</v>
      </c>
      <c r="Y165" s="1311">
        <f t="shared" si="55"/>
        <v>0</v>
      </c>
      <c r="Z165" s="1308"/>
    </row>
    <row r="166" spans="1:26">
      <c r="A166" s="704" t="str">
        <f>Sheet1!A140</f>
        <v>F33</v>
      </c>
      <c r="B166" s="24">
        <f>Sheet1!B140</f>
        <v>48.03</v>
      </c>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ca="1" si="56"/>
        <v>5262</v>
      </c>
      <c r="S166" s="334">
        <f t="shared" ca="1" si="57"/>
        <v>252734</v>
      </c>
      <c r="T166" s="1179">
        <f t="shared" ca="1" si="58"/>
        <v>25</v>
      </c>
      <c r="U166" s="1311">
        <f t="shared" si="52"/>
        <v>0</v>
      </c>
      <c r="V166" s="1311">
        <f t="shared" si="53"/>
        <v>0</v>
      </c>
      <c r="W166" s="1308"/>
      <c r="X166" s="1311">
        <f t="shared" si="54"/>
        <v>0</v>
      </c>
      <c r="Y166" s="1311">
        <f t="shared" si="55"/>
        <v>0</v>
      </c>
      <c r="Z166" s="1308"/>
    </row>
    <row r="167" spans="1:26">
      <c r="A167" s="704" t="str">
        <f>Sheet1!A141</f>
        <v>F34</v>
      </c>
      <c r="B167" s="24">
        <f>Sheet1!B141</f>
        <v>48.03</v>
      </c>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ca="1" si="56"/>
        <v>5262</v>
      </c>
      <c r="S167" s="334">
        <f t="shared" ca="1" si="57"/>
        <v>252734</v>
      </c>
      <c r="T167" s="1179">
        <f t="shared" ca="1" si="58"/>
        <v>25</v>
      </c>
      <c r="U167" s="1311">
        <f t="shared" si="52"/>
        <v>0</v>
      </c>
      <c r="V167" s="1311">
        <f t="shared" si="53"/>
        <v>0</v>
      </c>
      <c r="W167" s="1308"/>
      <c r="X167" s="1311">
        <f t="shared" si="54"/>
        <v>0</v>
      </c>
      <c r="Y167" s="1311">
        <f t="shared" si="55"/>
        <v>0</v>
      </c>
      <c r="Z167" s="1308"/>
    </row>
    <row r="168" spans="1:26">
      <c r="A168" s="704" t="str">
        <f>Sheet1!A142</f>
        <v>F35</v>
      </c>
      <c r="B168" s="24">
        <f>Sheet1!B142</f>
        <v>52.63</v>
      </c>
      <c r="C168" s="14">
        <f t="shared" si="44"/>
        <v>1.01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ca="1" si="56"/>
        <v>5315</v>
      </c>
      <c r="S168" s="334">
        <f t="shared" ca="1" si="57"/>
        <v>279728</v>
      </c>
      <c r="T168" s="1179">
        <f t="shared" ca="1" si="58"/>
        <v>28</v>
      </c>
      <c r="U168" s="1311">
        <f t="shared" si="52"/>
        <v>0</v>
      </c>
      <c r="V168" s="1311">
        <f t="shared" si="53"/>
        <v>0</v>
      </c>
      <c r="W168" s="1308"/>
      <c r="X168" s="1311">
        <f t="shared" si="54"/>
        <v>0</v>
      </c>
      <c r="Y168" s="1311">
        <f t="shared" si="55"/>
        <v>0</v>
      </c>
      <c r="Z168" s="1308"/>
    </row>
    <row r="169" spans="1:26">
      <c r="A169" s="704" t="str">
        <f>Sheet1!A143</f>
        <v>F36</v>
      </c>
      <c r="B169" s="24">
        <f>Sheet1!B143</f>
        <v>52.63</v>
      </c>
      <c r="C169" s="14">
        <f t="shared" si="44"/>
        <v>1.01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ca="1" si="56"/>
        <v>5315</v>
      </c>
      <c r="S169" s="334">
        <f t="shared" ca="1" si="57"/>
        <v>279728</v>
      </c>
      <c r="T169" s="1179">
        <f t="shared" ca="1" si="58"/>
        <v>28</v>
      </c>
      <c r="U169" s="1311">
        <f t="shared" si="52"/>
        <v>0</v>
      </c>
      <c r="V169" s="1311">
        <f t="shared" si="53"/>
        <v>0</v>
      </c>
      <c r="W169" s="1308"/>
      <c r="X169" s="1311">
        <f t="shared" si="54"/>
        <v>0</v>
      </c>
      <c r="Y169" s="1311">
        <f t="shared" si="55"/>
        <v>0</v>
      </c>
      <c r="Z169" s="1308"/>
    </row>
    <row r="170" spans="1:26">
      <c r="A170" s="704" t="str">
        <f>Sheet1!A144</f>
        <v>F37</v>
      </c>
      <c r="B170" s="24">
        <f>Sheet1!B144</f>
        <v>52.63</v>
      </c>
      <c r="C170" s="14">
        <f t="shared" si="44"/>
        <v>1.01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ca="1" si="56"/>
        <v>5315</v>
      </c>
      <c r="S170" s="334">
        <f t="shared" ca="1" si="57"/>
        <v>279728</v>
      </c>
      <c r="T170" s="1179">
        <f t="shared" ca="1" si="58"/>
        <v>28</v>
      </c>
      <c r="U170" s="1311">
        <f t="shared" si="52"/>
        <v>0</v>
      </c>
      <c r="V170" s="1311">
        <f t="shared" si="53"/>
        <v>0</v>
      </c>
      <c r="W170" s="1308"/>
      <c r="X170" s="1311">
        <f t="shared" si="54"/>
        <v>0</v>
      </c>
      <c r="Y170" s="1311">
        <f t="shared" si="55"/>
        <v>0</v>
      </c>
      <c r="Z170" s="1308"/>
    </row>
    <row r="171" spans="1:26">
      <c r="A171" s="704" t="str">
        <f>Sheet1!A145</f>
        <v>F39</v>
      </c>
      <c r="B171" s="24">
        <f>Sheet1!B145</f>
        <v>51.11</v>
      </c>
      <c r="C171" s="14">
        <f t="shared" si="44"/>
        <v>1.01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ca="1" si="56"/>
        <v>5315</v>
      </c>
      <c r="S171" s="334">
        <f t="shared" ca="1" si="57"/>
        <v>271650</v>
      </c>
      <c r="T171" s="1179">
        <f t="shared" ca="1" si="58"/>
        <v>27</v>
      </c>
      <c r="U171" s="1311">
        <f t="shared" si="52"/>
        <v>0</v>
      </c>
      <c r="V171" s="1311">
        <f t="shared" si="53"/>
        <v>0</v>
      </c>
      <c r="W171" s="1308"/>
      <c r="X171" s="1311">
        <f t="shared" si="54"/>
        <v>0</v>
      </c>
      <c r="Y171" s="1311">
        <f t="shared" si="55"/>
        <v>0</v>
      </c>
      <c r="Z171" s="1308"/>
    </row>
    <row r="172" spans="1:26">
      <c r="A172" s="704" t="str">
        <f>Sheet1!A146</f>
        <v>F40</v>
      </c>
      <c r="B172" s="24">
        <f>Sheet1!B146</f>
        <v>51.11</v>
      </c>
      <c r="C172" s="14">
        <f t="shared" si="44"/>
        <v>1.01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ca="1" si="56"/>
        <v>5315</v>
      </c>
      <c r="S172" s="334">
        <f t="shared" ca="1" si="57"/>
        <v>271650</v>
      </c>
      <c r="T172" s="1179">
        <f t="shared" ca="1" si="58"/>
        <v>27</v>
      </c>
      <c r="U172" s="1311">
        <f t="shared" si="52"/>
        <v>0</v>
      </c>
      <c r="V172" s="1311">
        <f t="shared" si="53"/>
        <v>0</v>
      </c>
      <c r="W172" s="1308"/>
      <c r="X172" s="1311">
        <f t="shared" si="54"/>
        <v>0</v>
      </c>
      <c r="Y172" s="1311">
        <f t="shared" si="55"/>
        <v>0</v>
      </c>
      <c r="Z172" s="1308"/>
    </row>
    <row r="173" spans="1:26">
      <c r="A173" s="704" t="str">
        <f>Sheet1!A147</f>
        <v>F41</v>
      </c>
      <c r="B173" s="24">
        <f>Sheet1!B147</f>
        <v>48.03</v>
      </c>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ca="1" si="56"/>
        <v>5262</v>
      </c>
      <c r="S173" s="334">
        <f t="shared" ca="1" si="57"/>
        <v>252734</v>
      </c>
      <c r="T173" s="1179">
        <f t="shared" ca="1" si="58"/>
        <v>25</v>
      </c>
      <c r="U173" s="1311">
        <f t="shared" si="52"/>
        <v>0</v>
      </c>
      <c r="V173" s="1311">
        <f t="shared" si="53"/>
        <v>0</v>
      </c>
      <c r="W173" s="1308"/>
      <c r="X173" s="1311">
        <f t="shared" si="54"/>
        <v>0</v>
      </c>
      <c r="Y173" s="1311">
        <f t="shared" si="55"/>
        <v>0</v>
      </c>
      <c r="Z173" s="1308"/>
    </row>
    <row r="174" spans="1:26">
      <c r="A174" s="704" t="str">
        <f>Sheet1!A148</f>
        <v>F42</v>
      </c>
      <c r="B174" s="24">
        <f>Sheet1!B148</f>
        <v>48.03</v>
      </c>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ca="1" si="56"/>
        <v>5262</v>
      </c>
      <c r="S174" s="334">
        <f t="shared" ca="1" si="57"/>
        <v>252734</v>
      </c>
      <c r="T174" s="1179">
        <f t="shared" ca="1" si="58"/>
        <v>25</v>
      </c>
      <c r="U174" s="1311">
        <f t="shared" si="52"/>
        <v>0</v>
      </c>
      <c r="V174" s="1311">
        <f t="shared" si="53"/>
        <v>0</v>
      </c>
      <c r="W174" s="1308"/>
      <c r="X174" s="1311">
        <f t="shared" si="54"/>
        <v>0</v>
      </c>
      <c r="Y174" s="1311">
        <f t="shared" si="55"/>
        <v>0</v>
      </c>
      <c r="Z174" s="1308"/>
    </row>
    <row r="175" spans="1:26">
      <c r="A175" s="704" t="str">
        <f>Sheet1!A149</f>
        <v>F43</v>
      </c>
      <c r="B175" s="24">
        <f>Sheet1!B149</f>
        <v>48.03</v>
      </c>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ca="1" si="56"/>
        <v>5262</v>
      </c>
      <c r="S175" s="334">
        <f t="shared" ca="1" si="57"/>
        <v>252734</v>
      </c>
      <c r="T175" s="1179">
        <f t="shared" ca="1" si="58"/>
        <v>25</v>
      </c>
      <c r="U175" s="1311">
        <f t="shared" si="52"/>
        <v>0</v>
      </c>
      <c r="V175" s="1311">
        <f t="shared" si="53"/>
        <v>0</v>
      </c>
      <c r="W175" s="1308"/>
      <c r="X175" s="1311">
        <f t="shared" si="54"/>
        <v>0</v>
      </c>
      <c r="Y175" s="1311">
        <f t="shared" si="55"/>
        <v>0</v>
      </c>
      <c r="Z175" s="1308"/>
    </row>
    <row r="176" spans="1:26">
      <c r="A176" s="704" t="str">
        <f>Sheet1!A150</f>
        <v>F44</v>
      </c>
      <c r="B176" s="24">
        <f>Sheet1!B150</f>
        <v>48.03</v>
      </c>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ca="1" si="56"/>
        <v>5262</v>
      </c>
      <c r="S176" s="334">
        <f t="shared" ca="1" si="57"/>
        <v>252734</v>
      </c>
      <c r="T176" s="1179">
        <f t="shared" ca="1" si="58"/>
        <v>25</v>
      </c>
      <c r="U176" s="1311">
        <f t="shared" si="52"/>
        <v>0</v>
      </c>
      <c r="V176" s="1311">
        <f t="shared" si="53"/>
        <v>0</v>
      </c>
      <c r="W176" s="1308"/>
      <c r="X176" s="1311">
        <f t="shared" si="54"/>
        <v>0</v>
      </c>
      <c r="Y176" s="1311">
        <f t="shared" si="55"/>
        <v>0</v>
      </c>
      <c r="Z176" s="1308"/>
    </row>
    <row r="177" spans="1:26">
      <c r="A177" s="704" t="str">
        <f>Sheet1!A151</f>
        <v>F45</v>
      </c>
      <c r="B177" s="24">
        <f>Sheet1!B151</f>
        <v>48.03</v>
      </c>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ca="1" si="56"/>
        <v>5262</v>
      </c>
      <c r="S177" s="334">
        <f t="shared" ca="1" si="57"/>
        <v>252734</v>
      </c>
      <c r="T177" s="1179">
        <f t="shared" ca="1" si="58"/>
        <v>25</v>
      </c>
      <c r="U177" s="1311">
        <f t="shared" si="52"/>
        <v>0</v>
      </c>
      <c r="V177" s="1311">
        <f t="shared" si="53"/>
        <v>0</v>
      </c>
      <c r="W177" s="1308"/>
      <c r="X177" s="1311">
        <f t="shared" si="54"/>
        <v>0</v>
      </c>
      <c r="Y177" s="1311">
        <f t="shared" si="55"/>
        <v>0</v>
      </c>
      <c r="Z177" s="1308"/>
    </row>
    <row r="178" spans="1:26">
      <c r="A178" s="704" t="str">
        <f>Sheet1!A152</f>
        <v>F46</v>
      </c>
      <c r="B178" s="24">
        <f>Sheet1!B152</f>
        <v>48.03</v>
      </c>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ca="1" si="56"/>
        <v>5262</v>
      </c>
      <c r="S178" s="334">
        <f t="shared" ca="1" si="57"/>
        <v>252734</v>
      </c>
      <c r="T178" s="1179">
        <f t="shared" ca="1" si="58"/>
        <v>25</v>
      </c>
      <c r="U178" s="1311">
        <f t="shared" si="52"/>
        <v>0</v>
      </c>
      <c r="V178" s="1311">
        <f t="shared" si="53"/>
        <v>0</v>
      </c>
      <c r="W178" s="1308"/>
      <c r="X178" s="1311">
        <f t="shared" si="54"/>
        <v>0</v>
      </c>
      <c r="Y178" s="1311">
        <f t="shared" si="55"/>
        <v>0</v>
      </c>
      <c r="Z178" s="1308"/>
    </row>
    <row r="179" spans="1:26">
      <c r="A179" s="704" t="str">
        <f>Sheet1!A153</f>
        <v>F47</v>
      </c>
      <c r="B179" s="24">
        <f>Sheet1!B153</f>
        <v>51.11</v>
      </c>
      <c r="C179" s="14">
        <f t="shared" si="44"/>
        <v>1.01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ca="1" si="56"/>
        <v>5315</v>
      </c>
      <c r="S179" s="334">
        <f t="shared" ca="1" si="57"/>
        <v>271650</v>
      </c>
      <c r="T179" s="1179">
        <f t="shared" ca="1" si="58"/>
        <v>27</v>
      </c>
      <c r="U179" s="1311">
        <f t="shared" si="52"/>
        <v>0</v>
      </c>
      <c r="V179" s="1311">
        <f t="shared" si="53"/>
        <v>0</v>
      </c>
      <c r="W179" s="1308"/>
      <c r="X179" s="1311">
        <f t="shared" si="54"/>
        <v>0</v>
      </c>
      <c r="Y179" s="1311">
        <f t="shared" si="55"/>
        <v>0</v>
      </c>
      <c r="Z179" s="1308"/>
    </row>
    <row r="180" spans="1:26">
      <c r="A180" s="704" t="str">
        <f>Sheet1!A154</f>
        <v>F48</v>
      </c>
      <c r="B180" s="24">
        <f>Sheet1!B154</f>
        <v>51.11</v>
      </c>
      <c r="C180" s="14">
        <f t="shared" si="44"/>
        <v>1.01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ca="1" si="56"/>
        <v>5315</v>
      </c>
      <c r="S180" s="334">
        <f t="shared" ca="1" si="57"/>
        <v>271650</v>
      </c>
      <c r="T180" s="1179">
        <f t="shared" ca="1" si="58"/>
        <v>27</v>
      </c>
      <c r="U180" s="1311">
        <f t="shared" si="52"/>
        <v>0</v>
      </c>
      <c r="V180" s="1311">
        <f t="shared" si="53"/>
        <v>0</v>
      </c>
      <c r="W180" s="1308"/>
      <c r="X180" s="1311">
        <f t="shared" si="54"/>
        <v>0</v>
      </c>
      <c r="Y180" s="1311">
        <f t="shared" si="55"/>
        <v>0</v>
      </c>
      <c r="Z180" s="1308"/>
    </row>
    <row r="181" spans="1:26">
      <c r="A181" s="704" t="str">
        <f>Sheet1!A155</f>
        <v>F49-1</v>
      </c>
      <c r="B181" s="24">
        <f>Sheet1!B155</f>
        <v>51.11</v>
      </c>
      <c r="C181" s="14">
        <f t="shared" si="44"/>
        <v>1.01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ca="1" si="56"/>
        <v>5315</v>
      </c>
      <c r="S181" s="334">
        <f t="shared" ca="1" si="57"/>
        <v>271650</v>
      </c>
      <c r="T181" s="1179">
        <f t="shared" ca="1" si="58"/>
        <v>27</v>
      </c>
      <c r="U181" s="1311">
        <f t="shared" si="52"/>
        <v>0</v>
      </c>
      <c r="V181" s="1311">
        <f t="shared" si="53"/>
        <v>0</v>
      </c>
      <c r="W181" s="1308"/>
      <c r="X181" s="1311">
        <f t="shared" si="54"/>
        <v>0</v>
      </c>
      <c r="Y181" s="1311">
        <f t="shared" si="55"/>
        <v>0</v>
      </c>
      <c r="Z181" s="1308"/>
    </row>
    <row r="182" spans="1:26">
      <c r="A182" s="704" t="str">
        <f>Sheet1!A156</f>
        <v>F49-2</v>
      </c>
      <c r="B182" s="24">
        <f>Sheet1!B156</f>
        <v>51.11</v>
      </c>
      <c r="C182" s="14">
        <f t="shared" si="44"/>
        <v>1.01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ca="1" si="56"/>
        <v>5315</v>
      </c>
      <c r="S182" s="334">
        <f t="shared" ca="1" si="57"/>
        <v>271650</v>
      </c>
      <c r="T182" s="1179">
        <f t="shared" ca="1" si="58"/>
        <v>27</v>
      </c>
      <c r="U182" s="1311">
        <f t="shared" si="52"/>
        <v>0</v>
      </c>
      <c r="V182" s="1311">
        <f t="shared" si="53"/>
        <v>0</v>
      </c>
      <c r="W182" s="1308"/>
      <c r="X182" s="1311">
        <f t="shared" si="54"/>
        <v>0</v>
      </c>
      <c r="Y182" s="1311">
        <f t="shared" si="55"/>
        <v>0</v>
      </c>
      <c r="Z182" s="1308"/>
    </row>
    <row r="183" spans="1:26">
      <c r="A183" s="704" t="str">
        <f>Sheet1!A157</f>
        <v>F50</v>
      </c>
      <c r="B183" s="24">
        <f>Sheet1!B157</f>
        <v>48.03</v>
      </c>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ca="1" si="56"/>
        <v>5262</v>
      </c>
      <c r="S183" s="334">
        <f t="shared" ca="1" si="57"/>
        <v>252734</v>
      </c>
      <c r="T183" s="1179">
        <f t="shared" ca="1" si="58"/>
        <v>25</v>
      </c>
      <c r="U183" s="1311">
        <f t="shared" si="52"/>
        <v>0</v>
      </c>
      <c r="V183" s="1311">
        <f t="shared" si="53"/>
        <v>0</v>
      </c>
      <c r="W183" s="1308"/>
      <c r="X183" s="1311">
        <f t="shared" si="54"/>
        <v>0</v>
      </c>
      <c r="Y183" s="1311">
        <f t="shared" si="55"/>
        <v>0</v>
      </c>
      <c r="Z183" s="1308"/>
    </row>
    <row r="184" spans="1:26">
      <c r="A184" s="704" t="str">
        <f>Sheet1!A158</f>
        <v>F51</v>
      </c>
      <c r="B184" s="24">
        <f>Sheet1!B158</f>
        <v>48.03</v>
      </c>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ca="1" si="56"/>
        <v>5262</v>
      </c>
      <c r="S184" s="334">
        <f t="shared" ca="1" si="57"/>
        <v>252734</v>
      </c>
      <c r="T184" s="1179">
        <f t="shared" ca="1" si="58"/>
        <v>25</v>
      </c>
      <c r="U184" s="1311">
        <f t="shared" si="52"/>
        <v>0</v>
      </c>
      <c r="V184" s="1311">
        <f t="shared" si="53"/>
        <v>0</v>
      </c>
      <c r="W184" s="1308"/>
      <c r="X184" s="1311">
        <f t="shared" si="54"/>
        <v>0</v>
      </c>
      <c r="Y184" s="1311">
        <f t="shared" si="55"/>
        <v>0</v>
      </c>
      <c r="Z184" s="1308"/>
    </row>
    <row r="185" spans="1:26">
      <c r="A185" s="704" t="str">
        <f>Sheet1!A159</f>
        <v>F52</v>
      </c>
      <c r="B185" s="24">
        <f>Sheet1!B159</f>
        <v>48.03</v>
      </c>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ca="1" si="56"/>
        <v>5262</v>
      </c>
      <c r="S185" s="334">
        <f t="shared" ca="1" si="57"/>
        <v>252734</v>
      </c>
      <c r="T185" s="1179">
        <f t="shared" ca="1" si="58"/>
        <v>25</v>
      </c>
      <c r="U185" s="1311">
        <f t="shared" si="52"/>
        <v>0</v>
      </c>
      <c r="V185" s="1311">
        <f t="shared" si="53"/>
        <v>0</v>
      </c>
      <c r="W185" s="1308"/>
      <c r="X185" s="1311">
        <f t="shared" si="54"/>
        <v>0</v>
      </c>
      <c r="Y185" s="1311">
        <f t="shared" si="55"/>
        <v>0</v>
      </c>
      <c r="Z185" s="1308"/>
    </row>
    <row r="186" spans="1:26">
      <c r="A186" s="704" t="str">
        <f>Sheet1!A160</f>
        <v>F53</v>
      </c>
      <c r="B186" s="24">
        <f>Sheet1!B160</f>
        <v>48.03</v>
      </c>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ca="1" si="56"/>
        <v>5262</v>
      </c>
      <c r="S186" s="334">
        <f t="shared" ca="1" si="57"/>
        <v>252734</v>
      </c>
      <c r="T186" s="1179">
        <f t="shared" ca="1" si="58"/>
        <v>25</v>
      </c>
      <c r="U186" s="1311">
        <f t="shared" si="52"/>
        <v>0</v>
      </c>
      <c r="V186" s="1311">
        <f t="shared" si="53"/>
        <v>0</v>
      </c>
      <c r="W186" s="1308"/>
      <c r="X186" s="1311">
        <f t="shared" si="54"/>
        <v>0</v>
      </c>
      <c r="Y186" s="1311">
        <f t="shared" si="55"/>
        <v>0</v>
      </c>
      <c r="Z186" s="1308"/>
    </row>
    <row r="187" spans="1:26">
      <c r="A187" s="704" t="str">
        <f>Sheet1!A161</f>
        <v>F54</v>
      </c>
      <c r="B187" s="24">
        <f>Sheet1!B161</f>
        <v>48.03</v>
      </c>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ca="1" si="56"/>
        <v>5262</v>
      </c>
      <c r="S187" s="334">
        <f t="shared" ca="1" si="57"/>
        <v>252734</v>
      </c>
      <c r="T187" s="1179">
        <f t="shared" ca="1" si="58"/>
        <v>25</v>
      </c>
      <c r="U187" s="1311">
        <f t="shared" si="52"/>
        <v>0</v>
      </c>
      <c r="V187" s="1311">
        <f t="shared" si="53"/>
        <v>0</v>
      </c>
      <c r="W187" s="1308"/>
      <c r="X187" s="1311">
        <f t="shared" si="54"/>
        <v>0</v>
      </c>
      <c r="Y187" s="1311">
        <f t="shared" si="55"/>
        <v>0</v>
      </c>
      <c r="Z187" s="1308"/>
    </row>
    <row r="188" spans="1:26">
      <c r="A188" s="704" t="str">
        <f>Sheet1!A162</f>
        <v>F55</v>
      </c>
      <c r="B188" s="24">
        <f>Sheet1!B162</f>
        <v>46.23</v>
      </c>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ca="1" si="56"/>
        <v>5262</v>
      </c>
      <c r="S188" s="334">
        <f t="shared" ca="1" si="57"/>
        <v>243262</v>
      </c>
      <c r="T188" s="1179">
        <f t="shared" ca="1" si="58"/>
        <v>24</v>
      </c>
      <c r="U188" s="1311">
        <f t="shared" si="52"/>
        <v>0</v>
      </c>
      <c r="V188" s="1311">
        <f t="shared" si="53"/>
        <v>0</v>
      </c>
      <c r="W188" s="1308"/>
      <c r="X188" s="1311">
        <f t="shared" si="54"/>
        <v>0</v>
      </c>
      <c r="Y188" s="1311">
        <f t="shared" si="55"/>
        <v>0</v>
      </c>
      <c r="Z188" s="1308"/>
    </row>
    <row r="189" spans="1:26">
      <c r="A189" s="704" t="str">
        <f>Sheet1!A163</f>
        <v>F56</v>
      </c>
      <c r="B189" s="24">
        <f>Sheet1!B163</f>
        <v>46.23</v>
      </c>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ca="1" si="56"/>
        <v>5262</v>
      </c>
      <c r="S189" s="334">
        <f t="shared" ca="1" si="57"/>
        <v>243262</v>
      </c>
      <c r="T189" s="1179">
        <f t="shared" ca="1" si="58"/>
        <v>24</v>
      </c>
      <c r="U189" s="1311">
        <f t="shared" si="52"/>
        <v>0</v>
      </c>
      <c r="V189" s="1311">
        <f t="shared" si="53"/>
        <v>0</v>
      </c>
      <c r="W189" s="1308"/>
      <c r="X189" s="1311">
        <f t="shared" si="54"/>
        <v>0</v>
      </c>
      <c r="Y189" s="1311">
        <f t="shared" si="55"/>
        <v>0</v>
      </c>
      <c r="Z189" s="1308"/>
    </row>
    <row r="190" spans="1:26">
      <c r="A190" s="704" t="str">
        <f>Sheet1!A164</f>
        <v>F57</v>
      </c>
      <c r="B190" s="24">
        <f>Sheet1!B164</f>
        <v>46.23</v>
      </c>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ca="1" si="56"/>
        <v>5262</v>
      </c>
      <c r="S190" s="334">
        <f t="shared" ca="1" si="57"/>
        <v>243262</v>
      </c>
      <c r="T190" s="1179">
        <f t="shared" ca="1" si="58"/>
        <v>24</v>
      </c>
      <c r="U190" s="1311">
        <f t="shared" si="52"/>
        <v>0</v>
      </c>
      <c r="V190" s="1311">
        <f t="shared" si="53"/>
        <v>0</v>
      </c>
      <c r="W190" s="1308"/>
      <c r="X190" s="1311">
        <f t="shared" si="54"/>
        <v>0</v>
      </c>
      <c r="Y190" s="1311">
        <f t="shared" si="55"/>
        <v>0</v>
      </c>
      <c r="Z190" s="1308"/>
    </row>
    <row r="191" spans="1:26">
      <c r="A191" s="704" t="str">
        <f>Sheet1!A165</f>
        <v>G01</v>
      </c>
      <c r="B191" s="24">
        <f>Sheet1!B165</f>
        <v>52.63</v>
      </c>
      <c r="C191" s="14">
        <f t="shared" si="44"/>
        <v>1.01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ca="1" si="56"/>
        <v>5315</v>
      </c>
      <c r="S191" s="334">
        <f t="shared" ca="1" si="57"/>
        <v>279728</v>
      </c>
      <c r="T191" s="1179">
        <f t="shared" ca="1" si="58"/>
        <v>28</v>
      </c>
      <c r="U191" s="1311">
        <f t="shared" si="52"/>
        <v>0</v>
      </c>
      <c r="V191" s="1311">
        <f t="shared" si="53"/>
        <v>0</v>
      </c>
      <c r="W191" s="1308"/>
      <c r="X191" s="1311">
        <f t="shared" si="54"/>
        <v>0</v>
      </c>
      <c r="Y191" s="1311">
        <f t="shared" si="55"/>
        <v>0</v>
      </c>
      <c r="Z191" s="1308"/>
    </row>
    <row r="192" spans="1:26">
      <c r="A192" s="704" t="str">
        <f>Sheet1!A166</f>
        <v>G02</v>
      </c>
      <c r="B192" s="24">
        <f>Sheet1!B166</f>
        <v>52.63</v>
      </c>
      <c r="C192" s="14">
        <f t="shared" si="44"/>
        <v>1.01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ca="1" si="56"/>
        <v>5315</v>
      </c>
      <c r="S192" s="334">
        <f t="shared" ca="1" si="57"/>
        <v>279728</v>
      </c>
      <c r="T192" s="1179">
        <f t="shared" ca="1" si="58"/>
        <v>28</v>
      </c>
      <c r="U192" s="1311">
        <f t="shared" si="52"/>
        <v>0</v>
      </c>
      <c r="V192" s="1311">
        <f t="shared" si="53"/>
        <v>0</v>
      </c>
      <c r="W192" s="1308"/>
      <c r="X192" s="1311">
        <f t="shared" si="54"/>
        <v>0</v>
      </c>
      <c r="Y192" s="1311">
        <f t="shared" si="55"/>
        <v>0</v>
      </c>
      <c r="Z192" s="1308"/>
    </row>
    <row r="193" spans="1:26">
      <c r="A193" s="704" t="str">
        <f>Sheet1!A167</f>
        <v>G03</v>
      </c>
      <c r="B193" s="24">
        <f>Sheet1!B167</f>
        <v>52.63</v>
      </c>
      <c r="C193" s="14">
        <f t="shared" si="44"/>
        <v>1.01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ca="1" si="56"/>
        <v>5315</v>
      </c>
      <c r="S193" s="334">
        <f t="shared" ca="1" si="57"/>
        <v>279728</v>
      </c>
      <c r="T193" s="1179">
        <f t="shared" ca="1" si="58"/>
        <v>28</v>
      </c>
      <c r="U193" s="1311">
        <f t="shared" si="52"/>
        <v>0</v>
      </c>
      <c r="V193" s="1311">
        <f t="shared" si="53"/>
        <v>0</v>
      </c>
      <c r="W193" s="1308"/>
      <c r="X193" s="1311">
        <f t="shared" si="54"/>
        <v>0</v>
      </c>
      <c r="Y193" s="1311">
        <f t="shared" si="55"/>
        <v>0</v>
      </c>
      <c r="Z193" s="1308"/>
    </row>
    <row r="194" spans="1:26">
      <c r="A194" s="704" t="str">
        <f>Sheet1!A168</f>
        <v>G04</v>
      </c>
      <c r="B194" s="24">
        <f>Sheet1!B168</f>
        <v>48.03</v>
      </c>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ca="1" si="56"/>
        <v>5262</v>
      </c>
      <c r="S194" s="334">
        <f t="shared" ca="1" si="57"/>
        <v>252734</v>
      </c>
      <c r="T194" s="1179">
        <f t="shared" ca="1" si="58"/>
        <v>25</v>
      </c>
      <c r="U194" s="1311">
        <f t="shared" si="52"/>
        <v>0</v>
      </c>
      <c r="V194" s="1311">
        <f t="shared" si="53"/>
        <v>0</v>
      </c>
      <c r="W194" s="1308"/>
      <c r="X194" s="1311">
        <f t="shared" si="54"/>
        <v>0</v>
      </c>
      <c r="Y194" s="1311">
        <f t="shared" si="55"/>
        <v>0</v>
      </c>
      <c r="Z194" s="1308"/>
    </row>
    <row r="195" spans="1:26">
      <c r="A195" s="704" t="str">
        <f>Sheet1!A169</f>
        <v>G05</v>
      </c>
      <c r="B195" s="24">
        <f>Sheet1!B169</f>
        <v>48.03</v>
      </c>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ca="1" si="56"/>
        <v>5262</v>
      </c>
      <c r="S195" s="334">
        <f t="shared" ca="1" si="57"/>
        <v>252734</v>
      </c>
      <c r="T195" s="1179">
        <f t="shared" ca="1" si="58"/>
        <v>25</v>
      </c>
      <c r="U195" s="1311">
        <f t="shared" si="52"/>
        <v>0</v>
      </c>
      <c r="V195" s="1311">
        <f t="shared" si="53"/>
        <v>0</v>
      </c>
      <c r="W195" s="1308"/>
      <c r="X195" s="1311">
        <f t="shared" si="54"/>
        <v>0</v>
      </c>
      <c r="Y195" s="1311">
        <f t="shared" si="55"/>
        <v>0</v>
      </c>
      <c r="Z195" s="1308"/>
    </row>
    <row r="196" spans="1:26">
      <c r="A196" s="704" t="str">
        <f>Sheet1!A170</f>
        <v>G06</v>
      </c>
      <c r="B196" s="24">
        <f>Sheet1!B170</f>
        <v>48.03</v>
      </c>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ca="1" si="56"/>
        <v>5262</v>
      </c>
      <c r="S196" s="334">
        <f t="shared" ca="1" si="57"/>
        <v>252734</v>
      </c>
      <c r="T196" s="1179">
        <f t="shared" ca="1" si="58"/>
        <v>25</v>
      </c>
      <c r="U196" s="1311">
        <f t="shared" si="52"/>
        <v>0</v>
      </c>
      <c r="V196" s="1311">
        <f t="shared" si="53"/>
        <v>0</v>
      </c>
      <c r="W196" s="1308"/>
      <c r="X196" s="1311">
        <f t="shared" si="54"/>
        <v>0</v>
      </c>
      <c r="Y196" s="1311">
        <f t="shared" si="55"/>
        <v>0</v>
      </c>
      <c r="Z196" s="1308"/>
    </row>
    <row r="197" spans="1:26">
      <c r="A197" s="704" t="str">
        <f>Sheet1!A171</f>
        <v>G25</v>
      </c>
      <c r="B197" s="24">
        <f>Sheet1!B171</f>
        <v>48.03</v>
      </c>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ca="1" si="56"/>
        <v>5262</v>
      </c>
      <c r="S197" s="334">
        <f t="shared" ca="1" si="57"/>
        <v>252734</v>
      </c>
      <c r="T197" s="1179">
        <f t="shared" ca="1" si="58"/>
        <v>25</v>
      </c>
      <c r="U197" s="1311">
        <f t="shared" si="52"/>
        <v>0</v>
      </c>
      <c r="V197" s="1311">
        <f t="shared" si="53"/>
        <v>0</v>
      </c>
      <c r="W197" s="1308"/>
      <c r="X197" s="1311">
        <f t="shared" si="54"/>
        <v>0</v>
      </c>
      <c r="Y197" s="1311">
        <f t="shared" si="55"/>
        <v>0</v>
      </c>
      <c r="Z197" s="1308"/>
    </row>
    <row r="198" spans="1:26">
      <c r="A198" s="704" t="str">
        <f>Sheet1!A172</f>
        <v>G26</v>
      </c>
      <c r="B198" s="24">
        <f>Sheet1!B172</f>
        <v>48.03</v>
      </c>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ca="1" si="56"/>
        <v>5262</v>
      </c>
      <c r="S198" s="334">
        <f t="shared" ca="1" si="57"/>
        <v>252734</v>
      </c>
      <c r="T198" s="1179">
        <f t="shared" ca="1" si="58"/>
        <v>25</v>
      </c>
      <c r="U198" s="1311">
        <f t="shared" si="52"/>
        <v>0</v>
      </c>
      <c r="V198" s="1311">
        <f t="shared" si="53"/>
        <v>0</v>
      </c>
      <c r="W198" s="1308"/>
      <c r="X198" s="1311">
        <f t="shared" si="54"/>
        <v>0</v>
      </c>
      <c r="Y198" s="1311">
        <f t="shared" si="55"/>
        <v>0</v>
      </c>
      <c r="Z198" s="1308"/>
    </row>
    <row r="199" spans="1:26">
      <c r="A199" s="704" t="str">
        <f>Sheet1!A173</f>
        <v>G27</v>
      </c>
      <c r="B199" s="24">
        <f>Sheet1!B173</f>
        <v>48.03</v>
      </c>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ca="1" si="56"/>
        <v>5262</v>
      </c>
      <c r="S199" s="334">
        <f t="shared" ca="1" si="57"/>
        <v>252734</v>
      </c>
      <c r="T199" s="1179">
        <f t="shared" ca="1" si="58"/>
        <v>25</v>
      </c>
      <c r="U199" s="1311">
        <f t="shared" si="52"/>
        <v>0</v>
      </c>
      <c r="V199" s="1311">
        <f t="shared" si="53"/>
        <v>0</v>
      </c>
      <c r="W199" s="1308"/>
      <c r="X199" s="1311">
        <f t="shared" si="54"/>
        <v>0</v>
      </c>
      <c r="Y199" s="1311">
        <f t="shared" si="55"/>
        <v>0</v>
      </c>
      <c r="Z199" s="1308"/>
    </row>
    <row r="200" spans="1:26">
      <c r="A200" s="704" t="str">
        <f>Sheet1!A174</f>
        <v>G28</v>
      </c>
      <c r="B200" s="24">
        <f>Sheet1!B174</f>
        <v>48.03</v>
      </c>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ca="1" si="56"/>
        <v>5262</v>
      </c>
      <c r="S200" s="334">
        <f t="shared" ca="1" si="57"/>
        <v>252734</v>
      </c>
      <c r="T200" s="1179">
        <f t="shared" ca="1" si="58"/>
        <v>25</v>
      </c>
      <c r="U200" s="1311">
        <f t="shared" si="52"/>
        <v>0</v>
      </c>
      <c r="V200" s="1311">
        <f t="shared" si="53"/>
        <v>0</v>
      </c>
      <c r="W200" s="1308"/>
      <c r="X200" s="1311">
        <f t="shared" si="54"/>
        <v>0</v>
      </c>
      <c r="Y200" s="1311">
        <f t="shared" si="55"/>
        <v>0</v>
      </c>
      <c r="Z200" s="1308"/>
    </row>
    <row r="201" spans="1:26">
      <c r="A201" s="704" t="str">
        <f>Sheet1!A175</f>
        <v>G29</v>
      </c>
      <c r="B201" s="24">
        <f>Sheet1!B175</f>
        <v>48.03</v>
      </c>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ca="1" si="56"/>
        <v>5262</v>
      </c>
      <c r="S201" s="334">
        <f t="shared" ca="1" si="57"/>
        <v>252734</v>
      </c>
      <c r="T201" s="1179">
        <f t="shared" ca="1" si="58"/>
        <v>25</v>
      </c>
      <c r="U201" s="1311">
        <f t="shared" si="52"/>
        <v>0</v>
      </c>
      <c r="V201" s="1311">
        <f t="shared" si="53"/>
        <v>0</v>
      </c>
      <c r="W201" s="1308"/>
      <c r="X201" s="1311">
        <f t="shared" si="54"/>
        <v>0</v>
      </c>
      <c r="Y201" s="1311">
        <f t="shared" si="55"/>
        <v>0</v>
      </c>
      <c r="Z201" s="1308"/>
    </row>
    <row r="202" spans="1:26">
      <c r="A202" s="704" t="str">
        <f>Sheet1!A176</f>
        <v>G30</v>
      </c>
      <c r="B202" s="24">
        <f>Sheet1!B176</f>
        <v>48.03</v>
      </c>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ca="1" si="56"/>
        <v>5262</v>
      </c>
      <c r="S202" s="334">
        <f t="shared" ca="1" si="57"/>
        <v>252734</v>
      </c>
      <c r="T202" s="1179">
        <f t="shared" ca="1" si="58"/>
        <v>25</v>
      </c>
      <c r="U202" s="1311">
        <f t="shared" si="52"/>
        <v>0</v>
      </c>
      <c r="V202" s="1311">
        <f t="shared" si="53"/>
        <v>0</v>
      </c>
      <c r="W202" s="1308"/>
      <c r="X202" s="1311">
        <f t="shared" si="54"/>
        <v>0</v>
      </c>
      <c r="Y202" s="1311">
        <f t="shared" si="55"/>
        <v>0</v>
      </c>
      <c r="Z202" s="1308"/>
    </row>
    <row r="203" spans="1:26">
      <c r="A203" s="704" t="str">
        <f>Sheet1!A177</f>
        <v>G31</v>
      </c>
      <c r="B203" s="24">
        <f>Sheet1!B177</f>
        <v>47.27</v>
      </c>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ca="1" si="56"/>
        <v>5262</v>
      </c>
      <c r="S203" s="334">
        <f t="shared" ca="1" si="57"/>
        <v>248735</v>
      </c>
      <c r="T203" s="1179">
        <f t="shared" ca="1" si="58"/>
        <v>25</v>
      </c>
      <c r="U203" s="1311">
        <f t="shared" si="52"/>
        <v>0</v>
      </c>
      <c r="V203" s="1311">
        <f t="shared" si="53"/>
        <v>0</v>
      </c>
      <c r="W203" s="1308"/>
      <c r="X203" s="1311">
        <f t="shared" si="54"/>
        <v>0</v>
      </c>
      <c r="Y203" s="1311">
        <f t="shared" si="55"/>
        <v>0</v>
      </c>
      <c r="Z203" s="1308"/>
    </row>
    <row r="204" spans="1:26">
      <c r="A204" s="704" t="str">
        <f>Sheet1!A178</f>
        <v>G32</v>
      </c>
      <c r="B204" s="24">
        <f>Sheet1!B178</f>
        <v>47.27</v>
      </c>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ca="1" si="56"/>
        <v>5262</v>
      </c>
      <c r="S204" s="334">
        <f t="shared" ca="1" si="57"/>
        <v>248735</v>
      </c>
      <c r="T204" s="1179">
        <f t="shared" ca="1" si="58"/>
        <v>25</v>
      </c>
      <c r="U204" s="1311">
        <f t="shared" si="52"/>
        <v>0</v>
      </c>
      <c r="V204" s="1311">
        <f t="shared" si="53"/>
        <v>0</v>
      </c>
      <c r="W204" s="1308"/>
      <c r="X204" s="1311">
        <f t="shared" si="54"/>
        <v>0</v>
      </c>
      <c r="Y204" s="1311">
        <f t="shared" si="55"/>
        <v>0</v>
      </c>
      <c r="Z204" s="1308"/>
    </row>
    <row r="205" spans="1:26">
      <c r="A205" s="704" t="str">
        <f>Sheet1!A179</f>
        <v>G33</v>
      </c>
      <c r="B205" s="24">
        <f>Sheet1!B179</f>
        <v>47.27</v>
      </c>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ca="1" si="56"/>
        <v>5262</v>
      </c>
      <c r="S205" s="334">
        <f t="shared" ca="1" si="57"/>
        <v>248735</v>
      </c>
      <c r="T205" s="1179">
        <f t="shared" ca="1" si="58"/>
        <v>25</v>
      </c>
      <c r="U205" s="1311">
        <f t="shared" si="52"/>
        <v>0</v>
      </c>
      <c r="V205" s="1311">
        <f t="shared" si="53"/>
        <v>0</v>
      </c>
      <c r="W205" s="1308"/>
      <c r="X205" s="1311">
        <f t="shared" si="54"/>
        <v>0</v>
      </c>
      <c r="Y205" s="1311">
        <f t="shared" si="55"/>
        <v>0</v>
      </c>
      <c r="Z205" s="1308"/>
    </row>
    <row r="206" spans="1:26">
      <c r="A206" s="704" t="str">
        <f>Sheet1!A180</f>
        <v>G34</v>
      </c>
      <c r="B206" s="24">
        <f>Sheet1!B180</f>
        <v>47.27</v>
      </c>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ca="1" si="56"/>
        <v>5262</v>
      </c>
      <c r="S206" s="334">
        <f t="shared" ca="1" si="57"/>
        <v>248735</v>
      </c>
      <c r="T206" s="1179">
        <f t="shared" ca="1" si="58"/>
        <v>25</v>
      </c>
      <c r="U206" s="1311">
        <f t="shared" si="52"/>
        <v>0</v>
      </c>
      <c r="V206" s="1311">
        <f t="shared" si="53"/>
        <v>0</v>
      </c>
      <c r="W206" s="1308"/>
      <c r="X206" s="1311">
        <f t="shared" si="54"/>
        <v>0</v>
      </c>
      <c r="Y206" s="1311">
        <f t="shared" si="55"/>
        <v>0</v>
      </c>
      <c r="Z206" s="1308"/>
    </row>
    <row r="207" spans="1:26">
      <c r="A207" s="704" t="str">
        <f>Sheet1!A181</f>
        <v>G35</v>
      </c>
      <c r="B207" s="24">
        <f>Sheet1!B181</f>
        <v>44.02</v>
      </c>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ca="1" si="56"/>
        <v>5262</v>
      </c>
      <c r="S207" s="334">
        <f t="shared" ca="1" si="57"/>
        <v>231633</v>
      </c>
      <c r="T207" s="1179">
        <f t="shared" ca="1" si="58"/>
        <v>23</v>
      </c>
      <c r="U207" s="1311">
        <f t="shared" si="52"/>
        <v>0</v>
      </c>
      <c r="V207" s="1311">
        <f t="shared" si="53"/>
        <v>0</v>
      </c>
      <c r="W207" s="1308"/>
      <c r="X207" s="1311">
        <f t="shared" si="54"/>
        <v>0</v>
      </c>
      <c r="Y207" s="1311">
        <f t="shared" si="55"/>
        <v>0</v>
      </c>
      <c r="Z207" s="1308"/>
    </row>
    <row r="208" spans="1:26">
      <c r="A208" s="704" t="str">
        <f>Sheet1!A182</f>
        <v>G36</v>
      </c>
      <c r="B208" s="24">
        <f>Sheet1!B182</f>
        <v>44.02</v>
      </c>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ca="1" si="56"/>
        <v>5262</v>
      </c>
      <c r="S208" s="334">
        <f t="shared" ca="1" si="57"/>
        <v>231633</v>
      </c>
      <c r="T208" s="1179">
        <f t="shared" ca="1" si="58"/>
        <v>23</v>
      </c>
      <c r="U208" s="1311">
        <f t="shared" si="52"/>
        <v>0</v>
      </c>
      <c r="V208" s="1311">
        <f t="shared" si="53"/>
        <v>0</v>
      </c>
      <c r="W208" s="1308"/>
      <c r="X208" s="1311">
        <f t="shared" si="54"/>
        <v>0</v>
      </c>
      <c r="Y208" s="1311">
        <f t="shared" si="55"/>
        <v>0</v>
      </c>
      <c r="Z208" s="1308"/>
    </row>
    <row r="209" spans="1:26">
      <c r="A209" s="704" t="str">
        <f>Sheet1!A183</f>
        <v>G37-1</v>
      </c>
      <c r="B209" s="24">
        <f>Sheet1!B183</f>
        <v>44.02</v>
      </c>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ca="1" si="56"/>
        <v>5262</v>
      </c>
      <c r="S209" s="334">
        <f t="shared" ca="1" si="57"/>
        <v>231633</v>
      </c>
      <c r="T209" s="1179">
        <f t="shared" ca="1" si="58"/>
        <v>23</v>
      </c>
      <c r="U209" s="1311">
        <f t="shared" si="52"/>
        <v>0</v>
      </c>
      <c r="V209" s="1311">
        <f t="shared" si="53"/>
        <v>0</v>
      </c>
      <c r="W209" s="1308"/>
      <c r="X209" s="1311">
        <f t="shared" si="54"/>
        <v>0</v>
      </c>
      <c r="Y209" s="1311">
        <f t="shared" si="55"/>
        <v>0</v>
      </c>
      <c r="Z209" s="1308"/>
    </row>
    <row r="210" spans="1:26">
      <c r="A210" s="704" t="str">
        <f>Sheet1!A184</f>
        <v>G37-2</v>
      </c>
      <c r="B210" s="24">
        <f>Sheet1!B184</f>
        <v>44.02</v>
      </c>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ca="1" si="56"/>
        <v>5262</v>
      </c>
      <c r="S210" s="334">
        <f t="shared" ca="1" si="57"/>
        <v>231633</v>
      </c>
      <c r="T210" s="1179">
        <f t="shared" ca="1" si="58"/>
        <v>23</v>
      </c>
      <c r="U210" s="1311">
        <f t="shared" si="52"/>
        <v>0</v>
      </c>
      <c r="V210" s="1311">
        <f t="shared" si="53"/>
        <v>0</v>
      </c>
      <c r="W210" s="1308"/>
      <c r="X210" s="1311">
        <f t="shared" si="54"/>
        <v>0</v>
      </c>
      <c r="Y210" s="1311">
        <f t="shared" si="55"/>
        <v>0</v>
      </c>
      <c r="Z210" s="1308"/>
    </row>
    <row r="211" spans="1:26">
      <c r="A211" s="704" t="str">
        <f>Sheet1!A185</f>
        <v>G38</v>
      </c>
      <c r="B211" s="24">
        <f>Sheet1!B185</f>
        <v>47.31</v>
      </c>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ca="1" si="56"/>
        <v>5262</v>
      </c>
      <c r="S211" s="334">
        <f t="shared" ca="1" si="57"/>
        <v>248945</v>
      </c>
      <c r="T211" s="1179">
        <f t="shared" ca="1" si="58"/>
        <v>25</v>
      </c>
      <c r="U211" s="1311">
        <f t="shared" si="52"/>
        <v>0</v>
      </c>
      <c r="V211" s="1311">
        <f t="shared" si="53"/>
        <v>0</v>
      </c>
      <c r="W211" s="1308"/>
      <c r="X211" s="1311">
        <f t="shared" si="54"/>
        <v>0</v>
      </c>
      <c r="Y211" s="1311">
        <f t="shared" si="55"/>
        <v>0</v>
      </c>
      <c r="Z211" s="1308"/>
    </row>
    <row r="212" spans="1:26">
      <c r="A212" s="704" t="str">
        <f>Sheet1!A186</f>
        <v>G39</v>
      </c>
      <c r="B212" s="24">
        <f>Sheet1!B186</f>
        <v>47.31</v>
      </c>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ca="1" si="56"/>
        <v>5262</v>
      </c>
      <c r="S212" s="334">
        <f t="shared" ca="1" si="57"/>
        <v>248945</v>
      </c>
      <c r="T212" s="1179">
        <f t="shared" ca="1" si="58"/>
        <v>25</v>
      </c>
      <c r="U212" s="1311">
        <f t="shared" si="52"/>
        <v>0</v>
      </c>
      <c r="V212" s="1311">
        <f t="shared" si="53"/>
        <v>0</v>
      </c>
      <c r="W212" s="1308"/>
      <c r="X212" s="1311">
        <f t="shared" si="54"/>
        <v>0</v>
      </c>
      <c r="Y212" s="1311">
        <f t="shared" si="55"/>
        <v>0</v>
      </c>
      <c r="Z212" s="1308"/>
    </row>
    <row r="213" spans="1:26">
      <c r="A213" s="704" t="str">
        <f>Sheet1!A187</f>
        <v>G40</v>
      </c>
      <c r="B213" s="24">
        <f>Sheet1!B187</f>
        <v>50.43</v>
      </c>
      <c r="C213" s="14">
        <f t="shared" si="44"/>
        <v>1.01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ca="1" si="56"/>
        <v>5315</v>
      </c>
      <c r="S213" s="334">
        <f t="shared" ca="1" si="57"/>
        <v>268035</v>
      </c>
      <c r="T213" s="1179">
        <f t="shared" ca="1" si="58"/>
        <v>27</v>
      </c>
      <c r="U213" s="1311">
        <f t="shared" si="52"/>
        <v>0</v>
      </c>
      <c r="V213" s="1311">
        <f t="shared" si="53"/>
        <v>0</v>
      </c>
      <c r="W213" s="1308"/>
      <c r="X213" s="1311">
        <f t="shared" si="54"/>
        <v>0</v>
      </c>
      <c r="Y213" s="1311">
        <f t="shared" si="55"/>
        <v>0</v>
      </c>
      <c r="Z213" s="1308"/>
    </row>
    <row r="214" spans="1:26">
      <c r="A214" s="704" t="str">
        <f>Sheet1!A188</f>
        <v>G41</v>
      </c>
      <c r="B214" s="24">
        <f>Sheet1!B188</f>
        <v>50.43</v>
      </c>
      <c r="C214" s="14">
        <f t="shared" si="44"/>
        <v>1.01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ca="1" si="56"/>
        <v>5315</v>
      </c>
      <c r="S214" s="334">
        <f t="shared" ca="1" si="57"/>
        <v>268035</v>
      </c>
      <c r="T214" s="1179">
        <f t="shared" ca="1" si="58"/>
        <v>27</v>
      </c>
      <c r="U214" s="1311">
        <f t="shared" si="52"/>
        <v>0</v>
      </c>
      <c r="V214" s="1311">
        <f t="shared" si="53"/>
        <v>0</v>
      </c>
      <c r="W214" s="1308"/>
      <c r="X214" s="1311">
        <f t="shared" si="54"/>
        <v>0</v>
      </c>
      <c r="Y214" s="1311">
        <f t="shared" si="55"/>
        <v>0</v>
      </c>
      <c r="Z214" s="1308"/>
    </row>
    <row r="215" spans="1:26">
      <c r="A215" s="704" t="str">
        <f>Sheet1!A189</f>
        <v>G42</v>
      </c>
      <c r="B215" s="24">
        <f>Sheet1!B189</f>
        <v>50.43</v>
      </c>
      <c r="C215" s="14">
        <f t="shared" si="44"/>
        <v>1.01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ca="1" si="56"/>
        <v>5315</v>
      </c>
      <c r="S215" s="334">
        <f t="shared" ca="1" si="57"/>
        <v>268035</v>
      </c>
      <c r="T215" s="1179">
        <f t="shared" ca="1" si="58"/>
        <v>27</v>
      </c>
      <c r="U215" s="1311">
        <f t="shared" si="52"/>
        <v>0</v>
      </c>
      <c r="V215" s="1311">
        <f t="shared" si="53"/>
        <v>0</v>
      </c>
      <c r="W215" s="1308"/>
      <c r="X215" s="1311">
        <f t="shared" si="54"/>
        <v>0</v>
      </c>
      <c r="Y215" s="1311">
        <f t="shared" si="55"/>
        <v>0</v>
      </c>
      <c r="Z215" s="1308"/>
    </row>
    <row r="216" spans="1:26">
      <c r="A216" s="704" t="str">
        <f>Sheet1!A190</f>
        <v>G43</v>
      </c>
      <c r="B216" s="24">
        <f>Sheet1!B190</f>
        <v>50.43</v>
      </c>
      <c r="C216" s="14">
        <f t="shared" si="44"/>
        <v>1.01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ca="1" si="56"/>
        <v>5315</v>
      </c>
      <c r="S216" s="334">
        <f t="shared" ca="1" si="57"/>
        <v>268035</v>
      </c>
      <c r="T216" s="1179">
        <f t="shared" ca="1" si="58"/>
        <v>27</v>
      </c>
      <c r="U216" s="1311">
        <f t="shared" si="52"/>
        <v>0</v>
      </c>
      <c r="V216" s="1311">
        <f t="shared" si="53"/>
        <v>0</v>
      </c>
      <c r="W216" s="1308"/>
      <c r="X216" s="1311">
        <f t="shared" si="54"/>
        <v>0</v>
      </c>
      <c r="Y216" s="1311">
        <f t="shared" si="55"/>
        <v>0</v>
      </c>
      <c r="Z216" s="1308"/>
    </row>
    <row r="217" spans="1:26">
      <c r="A217" s="704" t="str">
        <f>Sheet1!A191</f>
        <v>G44</v>
      </c>
      <c r="B217" s="24">
        <f>Sheet1!B191</f>
        <v>50.43</v>
      </c>
      <c r="C217" s="14">
        <f t="shared" si="44"/>
        <v>1.01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ca="1" si="56"/>
        <v>5315</v>
      </c>
      <c r="S217" s="334">
        <f t="shared" ca="1" si="57"/>
        <v>268035</v>
      </c>
      <c r="T217" s="1179">
        <f t="shared" ca="1" si="58"/>
        <v>27</v>
      </c>
      <c r="U217" s="1311">
        <f t="shared" si="52"/>
        <v>0</v>
      </c>
      <c r="V217" s="1311">
        <f t="shared" si="53"/>
        <v>0</v>
      </c>
      <c r="W217" s="1308"/>
      <c r="X217" s="1311">
        <f t="shared" si="54"/>
        <v>0</v>
      </c>
      <c r="Y217" s="1311">
        <f t="shared" si="55"/>
        <v>0</v>
      </c>
      <c r="Z217" s="1308"/>
    </row>
    <row r="218" spans="1:26">
      <c r="A218" s="704" t="str">
        <f>Sheet1!A192</f>
        <v>G45</v>
      </c>
      <c r="B218" s="24">
        <f>Sheet1!B192</f>
        <v>47.63</v>
      </c>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ca="1" si="56"/>
        <v>5262</v>
      </c>
      <c r="S218" s="334">
        <f t="shared" ca="1" si="57"/>
        <v>250629</v>
      </c>
      <c r="T218" s="1179">
        <f t="shared" ca="1" si="58"/>
        <v>25</v>
      </c>
      <c r="U218" s="1311">
        <f t="shared" si="52"/>
        <v>0</v>
      </c>
      <c r="V218" s="1311">
        <f t="shared" si="53"/>
        <v>0</v>
      </c>
      <c r="W218" s="1308"/>
      <c r="X218" s="1311">
        <f t="shared" si="54"/>
        <v>0</v>
      </c>
      <c r="Y218" s="1311">
        <f t="shared" si="55"/>
        <v>0</v>
      </c>
      <c r="Z218" s="1308"/>
    </row>
    <row r="219" spans="1:26">
      <c r="A219" s="704" t="str">
        <f>Sheet1!A193</f>
        <v>G46</v>
      </c>
      <c r="B219" s="24">
        <f>Sheet1!B193</f>
        <v>47.63</v>
      </c>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ca="1" si="56"/>
        <v>5262</v>
      </c>
      <c r="S219" s="334">
        <f t="shared" ca="1" si="57"/>
        <v>250629</v>
      </c>
      <c r="T219" s="1179">
        <f t="shared" ca="1" si="58"/>
        <v>25</v>
      </c>
      <c r="U219" s="1311">
        <f t="shared" si="52"/>
        <v>0</v>
      </c>
      <c r="V219" s="1311">
        <f t="shared" si="53"/>
        <v>0</v>
      </c>
      <c r="W219" s="1308"/>
      <c r="X219" s="1311">
        <f t="shared" si="54"/>
        <v>0</v>
      </c>
      <c r="Y219" s="1311">
        <f t="shared" si="55"/>
        <v>0</v>
      </c>
      <c r="Z219" s="1308"/>
    </row>
    <row r="220" spans="1:26">
      <c r="A220" s="704" t="str">
        <f>Sheet1!A194</f>
        <v>G47</v>
      </c>
      <c r="B220" s="24">
        <f>Sheet1!B194</f>
        <v>45.63</v>
      </c>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ca="1" si="56"/>
        <v>5262</v>
      </c>
      <c r="S220" s="334">
        <f t="shared" ca="1" si="57"/>
        <v>240105</v>
      </c>
      <c r="T220" s="1179">
        <f t="shared" ca="1" si="58"/>
        <v>24</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04" t="str">
        <f>Sheet1!A195</f>
        <v>G48</v>
      </c>
      <c r="B221" s="24">
        <f>Sheet1!B195</f>
        <v>45.63</v>
      </c>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ca="1" si="71">IF(B221="",0,ROUND($R$27*C221*E221*G221*I221*K221*M221*O221*Q221,0))</f>
        <v>5262</v>
      </c>
      <c r="S221" s="334">
        <f t="shared" ref="S221:S284" ca="1" si="72">ROUND(R221*B221,0)</f>
        <v>240105</v>
      </c>
      <c r="T221" s="1179">
        <f t="shared" ref="T221:T284" ca="1" si="73">ROUND(R221*B221/10000,0)</f>
        <v>24</v>
      </c>
      <c r="U221" s="1311">
        <f t="shared" si="67"/>
        <v>0</v>
      </c>
      <c r="V221" s="1311">
        <f t="shared" si="68"/>
        <v>0</v>
      </c>
      <c r="W221" s="1308"/>
      <c r="X221" s="1311">
        <f t="shared" si="69"/>
        <v>0</v>
      </c>
      <c r="Y221" s="1311">
        <f t="shared" si="70"/>
        <v>0</v>
      </c>
      <c r="Z221" s="1308"/>
    </row>
    <row r="222" spans="1:26">
      <c r="A222" s="704" t="str">
        <f>Sheet1!A196</f>
        <v>G49-1</v>
      </c>
      <c r="B222" s="24">
        <f>Sheet1!B196</f>
        <v>47.145000000000003</v>
      </c>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ca="1" si="71"/>
        <v>5262</v>
      </c>
      <c r="S222" s="334">
        <f t="shared" ca="1" si="72"/>
        <v>248077</v>
      </c>
      <c r="T222" s="1179">
        <f t="shared" ca="1" si="73"/>
        <v>25</v>
      </c>
      <c r="U222" s="1311">
        <f t="shared" si="67"/>
        <v>0</v>
      </c>
      <c r="V222" s="1311">
        <f t="shared" si="68"/>
        <v>0</v>
      </c>
      <c r="W222" s="1308"/>
      <c r="X222" s="1311">
        <f t="shared" si="69"/>
        <v>0</v>
      </c>
      <c r="Y222" s="1311">
        <f t="shared" si="70"/>
        <v>0</v>
      </c>
      <c r="Z222" s="1308"/>
    </row>
    <row r="223" spans="1:26">
      <c r="A223" s="704" t="str">
        <f>Sheet1!A197</f>
        <v>G49-2</v>
      </c>
      <c r="B223" s="24">
        <f>Sheet1!B197</f>
        <v>47.145000000000003</v>
      </c>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ca="1" si="71"/>
        <v>5262</v>
      </c>
      <c r="S223" s="334">
        <f t="shared" ca="1" si="72"/>
        <v>248077</v>
      </c>
      <c r="T223" s="1179">
        <f t="shared" ca="1" si="73"/>
        <v>25</v>
      </c>
      <c r="U223" s="1311">
        <f t="shared" si="67"/>
        <v>0</v>
      </c>
      <c r="V223" s="1311">
        <f t="shared" si="68"/>
        <v>0</v>
      </c>
      <c r="W223" s="1308"/>
      <c r="X223" s="1311">
        <f t="shared" si="69"/>
        <v>0</v>
      </c>
      <c r="Y223" s="1311">
        <f t="shared" si="70"/>
        <v>0</v>
      </c>
      <c r="Z223" s="1308"/>
    </row>
    <row r="224" spans="1:26">
      <c r="A224" s="704" t="str">
        <f>Sheet1!A198</f>
        <v>G50</v>
      </c>
      <c r="B224" s="24">
        <f>Sheet1!B198</f>
        <v>44.22</v>
      </c>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ca="1" si="71"/>
        <v>5262</v>
      </c>
      <c r="S224" s="334">
        <f t="shared" ca="1" si="72"/>
        <v>232686</v>
      </c>
      <c r="T224" s="1179">
        <f t="shared" ca="1" si="73"/>
        <v>23</v>
      </c>
      <c r="U224" s="1311">
        <f t="shared" si="67"/>
        <v>0</v>
      </c>
      <c r="V224" s="1311">
        <f t="shared" si="68"/>
        <v>0</v>
      </c>
      <c r="W224" s="1308"/>
      <c r="X224" s="1311">
        <f t="shared" si="69"/>
        <v>0</v>
      </c>
      <c r="Y224" s="1311">
        <f t="shared" si="70"/>
        <v>0</v>
      </c>
      <c r="Z224" s="1308"/>
    </row>
    <row r="225" spans="1:26">
      <c r="A225" s="704" t="str">
        <f>Sheet1!A199</f>
        <v>G51</v>
      </c>
      <c r="B225" s="24">
        <f>Sheet1!B199</f>
        <v>44.22</v>
      </c>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ca="1" si="71"/>
        <v>5262</v>
      </c>
      <c r="S225" s="334">
        <f t="shared" ca="1" si="72"/>
        <v>232686</v>
      </c>
      <c r="T225" s="1179">
        <f t="shared" ca="1" si="73"/>
        <v>23</v>
      </c>
      <c r="U225" s="1311">
        <f t="shared" si="67"/>
        <v>0</v>
      </c>
      <c r="V225" s="1311">
        <f t="shared" si="68"/>
        <v>0</v>
      </c>
      <c r="W225" s="1308"/>
      <c r="X225" s="1311">
        <f t="shared" si="69"/>
        <v>0</v>
      </c>
      <c r="Y225" s="1311">
        <f t="shared" si="70"/>
        <v>0</v>
      </c>
      <c r="Z225" s="1308"/>
    </row>
    <row r="226" spans="1:26">
      <c r="A226" s="704" t="str">
        <f>Sheet1!A200</f>
        <v>G52</v>
      </c>
      <c r="B226" s="24">
        <f>Sheet1!B200</f>
        <v>46.67</v>
      </c>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ca="1" si="71"/>
        <v>5262</v>
      </c>
      <c r="S226" s="334">
        <f t="shared" ca="1" si="72"/>
        <v>245578</v>
      </c>
      <c r="T226" s="1179">
        <f t="shared" ca="1" si="73"/>
        <v>25</v>
      </c>
      <c r="U226" s="1311">
        <f t="shared" si="67"/>
        <v>0</v>
      </c>
      <c r="V226" s="1311">
        <f t="shared" si="68"/>
        <v>0</v>
      </c>
      <c r="W226" s="1308"/>
      <c r="X226" s="1311">
        <f t="shared" si="69"/>
        <v>0</v>
      </c>
      <c r="Y226" s="1311">
        <f t="shared" si="70"/>
        <v>0</v>
      </c>
      <c r="Z226" s="1308"/>
    </row>
    <row r="227" spans="1:26">
      <c r="A227" s="704" t="str">
        <f>Sheet1!A201</f>
        <v>G53</v>
      </c>
      <c r="B227" s="24">
        <f>Sheet1!B201</f>
        <v>46.67</v>
      </c>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ca="1" si="71"/>
        <v>5262</v>
      </c>
      <c r="S227" s="334">
        <f t="shared" ca="1" si="72"/>
        <v>245578</v>
      </c>
      <c r="T227" s="1179">
        <f t="shared" ca="1" si="73"/>
        <v>25</v>
      </c>
      <c r="U227" s="1311">
        <f t="shared" si="67"/>
        <v>0</v>
      </c>
      <c r="V227" s="1311">
        <f t="shared" si="68"/>
        <v>0</v>
      </c>
      <c r="W227" s="1308"/>
      <c r="X227" s="1311">
        <f t="shared" si="69"/>
        <v>0</v>
      </c>
      <c r="Y227" s="1311">
        <f t="shared" si="70"/>
        <v>0</v>
      </c>
      <c r="Z227" s="1308"/>
    </row>
    <row r="228" spans="1:26">
      <c r="A228" s="704" t="str">
        <f>Sheet1!A202</f>
        <v>G54</v>
      </c>
      <c r="B228" s="24">
        <f>Sheet1!B202</f>
        <v>48.71</v>
      </c>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ca="1" si="71"/>
        <v>5262</v>
      </c>
      <c r="S228" s="334">
        <f t="shared" ca="1" si="72"/>
        <v>256312</v>
      </c>
      <c r="T228" s="1179">
        <f t="shared" ca="1" si="73"/>
        <v>26</v>
      </c>
      <c r="U228" s="1311">
        <f t="shared" si="67"/>
        <v>0</v>
      </c>
      <c r="V228" s="1311">
        <f t="shared" si="68"/>
        <v>0</v>
      </c>
      <c r="W228" s="1308"/>
      <c r="X228" s="1311">
        <f t="shared" si="69"/>
        <v>0</v>
      </c>
      <c r="Y228" s="1311">
        <f t="shared" si="70"/>
        <v>0</v>
      </c>
      <c r="Z228" s="1308"/>
    </row>
    <row r="229" spans="1:26">
      <c r="A229" s="704" t="str">
        <f>Sheet1!A203</f>
        <v>G55</v>
      </c>
      <c r="B229" s="24">
        <f>Sheet1!B203</f>
        <v>48.71</v>
      </c>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ca="1" si="71"/>
        <v>5262</v>
      </c>
      <c r="S229" s="334">
        <f t="shared" ca="1" si="72"/>
        <v>256312</v>
      </c>
      <c r="T229" s="1179">
        <f t="shared" ca="1" si="73"/>
        <v>26</v>
      </c>
      <c r="U229" s="1311">
        <f t="shared" si="67"/>
        <v>0</v>
      </c>
      <c r="V229" s="1311">
        <f t="shared" si="68"/>
        <v>0</v>
      </c>
      <c r="W229" s="1308"/>
      <c r="X229" s="1311">
        <f t="shared" si="69"/>
        <v>0</v>
      </c>
      <c r="Y229" s="1311">
        <f t="shared" si="70"/>
        <v>0</v>
      </c>
      <c r="Z229" s="1308"/>
    </row>
    <row r="230" spans="1:26">
      <c r="A230" s="704" t="str">
        <f>Sheet1!A204</f>
        <v>G56</v>
      </c>
      <c r="B230" s="24">
        <f>Sheet1!B204</f>
        <v>48.71</v>
      </c>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ca="1" si="71"/>
        <v>5262</v>
      </c>
      <c r="S230" s="334">
        <f t="shared" ca="1" si="72"/>
        <v>256312</v>
      </c>
      <c r="T230" s="1179">
        <f t="shared" ca="1" si="73"/>
        <v>26</v>
      </c>
      <c r="U230" s="1311">
        <f t="shared" si="67"/>
        <v>0</v>
      </c>
      <c r="V230" s="1311">
        <f t="shared" si="68"/>
        <v>0</v>
      </c>
      <c r="W230" s="1308"/>
      <c r="X230" s="1311">
        <f t="shared" si="69"/>
        <v>0</v>
      </c>
      <c r="Y230" s="1311">
        <f t="shared" si="70"/>
        <v>0</v>
      </c>
      <c r="Z230" s="1308"/>
    </row>
    <row r="231" spans="1:26">
      <c r="A231" s="704" t="str">
        <f>Sheet1!A205</f>
        <v>G57</v>
      </c>
      <c r="B231" s="24">
        <f>Sheet1!B205</f>
        <v>46.67</v>
      </c>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ca="1" si="71"/>
        <v>5262</v>
      </c>
      <c r="S231" s="334">
        <f t="shared" ca="1" si="72"/>
        <v>245578</v>
      </c>
      <c r="T231" s="1179">
        <f t="shared" ca="1" si="73"/>
        <v>25</v>
      </c>
      <c r="U231" s="1311">
        <f t="shared" si="67"/>
        <v>0</v>
      </c>
      <c r="V231" s="1311">
        <f t="shared" si="68"/>
        <v>0</v>
      </c>
      <c r="W231" s="1308"/>
      <c r="X231" s="1311">
        <f t="shared" si="69"/>
        <v>0</v>
      </c>
      <c r="Y231" s="1311">
        <f t="shared" si="70"/>
        <v>0</v>
      </c>
      <c r="Z231" s="1308"/>
    </row>
    <row r="232" spans="1:26">
      <c r="A232" s="704" t="str">
        <f>Sheet1!A206</f>
        <v>G58</v>
      </c>
      <c r="B232" s="24">
        <f>Sheet1!B206</f>
        <v>46.67</v>
      </c>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ca="1" si="71"/>
        <v>5262</v>
      </c>
      <c r="S232" s="334">
        <f t="shared" ca="1" si="72"/>
        <v>245578</v>
      </c>
      <c r="T232" s="1179">
        <f t="shared" ca="1" si="73"/>
        <v>25</v>
      </c>
      <c r="U232" s="1311">
        <f t="shared" si="67"/>
        <v>0</v>
      </c>
      <c r="V232" s="1311">
        <f t="shared" si="68"/>
        <v>0</v>
      </c>
      <c r="W232" s="1308"/>
      <c r="X232" s="1311">
        <f t="shared" si="69"/>
        <v>0</v>
      </c>
      <c r="Y232" s="1311">
        <f t="shared" si="70"/>
        <v>0</v>
      </c>
      <c r="Z232" s="1308"/>
    </row>
    <row r="233" spans="1:26">
      <c r="A233" s="704" t="str">
        <f>Sheet1!A207</f>
        <v>G59</v>
      </c>
      <c r="B233" s="24">
        <f>Sheet1!B207</f>
        <v>46.67</v>
      </c>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ca="1" si="71"/>
        <v>5262</v>
      </c>
      <c r="S233" s="334">
        <f t="shared" ca="1" si="72"/>
        <v>245578</v>
      </c>
      <c r="T233" s="1179">
        <f t="shared" ca="1" si="73"/>
        <v>25</v>
      </c>
      <c r="U233" s="1311">
        <f t="shared" si="67"/>
        <v>0</v>
      </c>
      <c r="V233" s="1311">
        <f t="shared" si="68"/>
        <v>0</v>
      </c>
      <c r="W233" s="1308"/>
      <c r="X233" s="1311">
        <f t="shared" si="69"/>
        <v>0</v>
      </c>
      <c r="Y233" s="1311">
        <f t="shared" si="70"/>
        <v>0</v>
      </c>
      <c r="Z233" s="1308"/>
    </row>
    <row r="234" spans="1:26">
      <c r="A234" s="704" t="str">
        <f>Sheet1!A208</f>
        <v>G60</v>
      </c>
      <c r="B234" s="24">
        <f>Sheet1!B208</f>
        <v>46.67</v>
      </c>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ca="1" si="71"/>
        <v>5262</v>
      </c>
      <c r="S234" s="334">
        <f t="shared" ca="1" si="72"/>
        <v>245578</v>
      </c>
      <c r="T234" s="1179">
        <f t="shared" ca="1" si="73"/>
        <v>25</v>
      </c>
      <c r="U234" s="1311">
        <f t="shared" si="67"/>
        <v>0</v>
      </c>
      <c r="V234" s="1311">
        <f t="shared" si="68"/>
        <v>0</v>
      </c>
      <c r="W234" s="1308"/>
      <c r="X234" s="1311">
        <f t="shared" si="69"/>
        <v>0</v>
      </c>
      <c r="Y234" s="1311">
        <f t="shared" si="70"/>
        <v>0</v>
      </c>
      <c r="Z234" s="1308"/>
    </row>
    <row r="235" spans="1:26">
      <c r="A235" s="704" t="str">
        <f>Sheet1!A209</f>
        <v>G61-1</v>
      </c>
      <c r="B235" s="24">
        <f>Sheet1!B209</f>
        <v>52.03</v>
      </c>
      <c r="C235" s="14">
        <f t="shared" si="59"/>
        <v>1.01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ca="1" si="71"/>
        <v>5315</v>
      </c>
      <c r="S235" s="334">
        <f t="shared" ca="1" si="72"/>
        <v>276539</v>
      </c>
      <c r="T235" s="1179">
        <f t="shared" ca="1" si="73"/>
        <v>28</v>
      </c>
      <c r="U235" s="1311">
        <f t="shared" si="67"/>
        <v>0</v>
      </c>
      <c r="V235" s="1311">
        <f t="shared" si="68"/>
        <v>0</v>
      </c>
      <c r="W235" s="1308"/>
      <c r="X235" s="1311">
        <f t="shared" si="69"/>
        <v>0</v>
      </c>
      <c r="Y235" s="1311">
        <f t="shared" si="70"/>
        <v>0</v>
      </c>
      <c r="Z235" s="1308"/>
    </row>
    <row r="236" spans="1:26">
      <c r="A236" s="704" t="str">
        <f>Sheet1!A210</f>
        <v>G61-2</v>
      </c>
      <c r="B236" s="24">
        <f>Sheet1!B210</f>
        <v>52.03</v>
      </c>
      <c r="C236" s="14">
        <f t="shared" si="59"/>
        <v>1.01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ca="1" si="71"/>
        <v>5315</v>
      </c>
      <c r="S236" s="334">
        <f t="shared" ca="1" si="72"/>
        <v>276539</v>
      </c>
      <c r="T236" s="1179">
        <f t="shared" ca="1" si="73"/>
        <v>28</v>
      </c>
      <c r="U236" s="1311">
        <f t="shared" si="67"/>
        <v>0</v>
      </c>
      <c r="V236" s="1311">
        <f t="shared" si="68"/>
        <v>0</v>
      </c>
      <c r="W236" s="1308"/>
      <c r="X236" s="1311">
        <f t="shared" si="69"/>
        <v>0</v>
      </c>
      <c r="Y236" s="1311">
        <f t="shared" si="70"/>
        <v>0</v>
      </c>
      <c r="Z236" s="1308"/>
    </row>
    <row r="237" spans="1:26">
      <c r="A237" s="704" t="str">
        <f>Sheet1!A211</f>
        <v>G62</v>
      </c>
      <c r="B237" s="24">
        <f>Sheet1!B211</f>
        <v>46.27</v>
      </c>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ca="1" si="71"/>
        <v>5262</v>
      </c>
      <c r="S237" s="334">
        <f t="shared" ca="1" si="72"/>
        <v>243473</v>
      </c>
      <c r="T237" s="1179">
        <f t="shared" ca="1" si="73"/>
        <v>24</v>
      </c>
      <c r="U237" s="1311">
        <f t="shared" si="67"/>
        <v>0</v>
      </c>
      <c r="V237" s="1311">
        <f t="shared" si="68"/>
        <v>0</v>
      </c>
      <c r="W237" s="1308"/>
      <c r="X237" s="1311">
        <f t="shared" si="69"/>
        <v>0</v>
      </c>
      <c r="Y237" s="1311">
        <f t="shared" si="70"/>
        <v>0</v>
      </c>
      <c r="Z237" s="1308"/>
    </row>
    <row r="238" spans="1:26">
      <c r="A238" s="704" t="str">
        <f>Sheet1!A212</f>
        <v>G63</v>
      </c>
      <c r="B238" s="24">
        <f>Sheet1!B212</f>
        <v>46.27</v>
      </c>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ca="1" si="71"/>
        <v>5262</v>
      </c>
      <c r="S238" s="334">
        <f t="shared" ca="1" si="72"/>
        <v>243473</v>
      </c>
      <c r="T238" s="1179">
        <f t="shared" ca="1" si="73"/>
        <v>24</v>
      </c>
      <c r="U238" s="1311">
        <f t="shared" si="67"/>
        <v>0</v>
      </c>
      <c r="V238" s="1311">
        <f t="shared" si="68"/>
        <v>0</v>
      </c>
      <c r="W238" s="1308"/>
      <c r="X238" s="1311">
        <f t="shared" si="69"/>
        <v>0</v>
      </c>
      <c r="Y238" s="1311">
        <f t="shared" si="70"/>
        <v>0</v>
      </c>
      <c r="Z238" s="1308"/>
    </row>
    <row r="239" spans="1:26">
      <c r="A239" s="704" t="str">
        <f>Sheet1!A213</f>
        <v>G64</v>
      </c>
      <c r="B239" s="24">
        <f>Sheet1!B213</f>
        <v>46.27</v>
      </c>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ca="1" si="71"/>
        <v>5262</v>
      </c>
      <c r="S239" s="334">
        <f t="shared" ca="1" si="72"/>
        <v>243473</v>
      </c>
      <c r="T239" s="1179">
        <f t="shared" ca="1" si="73"/>
        <v>24</v>
      </c>
      <c r="U239" s="1311">
        <f t="shared" si="67"/>
        <v>0</v>
      </c>
      <c r="V239" s="1311">
        <f t="shared" si="68"/>
        <v>0</v>
      </c>
      <c r="W239" s="1308"/>
      <c r="X239" s="1311">
        <f t="shared" si="69"/>
        <v>0</v>
      </c>
      <c r="Y239" s="1311">
        <f t="shared" si="70"/>
        <v>0</v>
      </c>
      <c r="Z239" s="1308"/>
    </row>
    <row r="240" spans="1:26">
      <c r="A240" s="704" t="str">
        <f>Sheet1!A214</f>
        <v>G65</v>
      </c>
      <c r="B240" s="24">
        <f>Sheet1!B214</f>
        <v>46.27</v>
      </c>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ca="1" si="71"/>
        <v>5262</v>
      </c>
      <c r="S240" s="334">
        <f t="shared" ca="1" si="72"/>
        <v>243473</v>
      </c>
      <c r="T240" s="1179">
        <f t="shared" ca="1" si="73"/>
        <v>24</v>
      </c>
      <c r="U240" s="1311">
        <f t="shared" si="67"/>
        <v>0</v>
      </c>
      <c r="V240" s="1311">
        <f t="shared" si="68"/>
        <v>0</v>
      </c>
      <c r="W240" s="1308"/>
      <c r="X240" s="1311">
        <f t="shared" si="69"/>
        <v>0</v>
      </c>
      <c r="Y240" s="1311">
        <f t="shared" si="70"/>
        <v>0</v>
      </c>
      <c r="Z240" s="1308"/>
    </row>
    <row r="241" spans="1:26">
      <c r="A241" s="704" t="str">
        <f>Sheet1!A215</f>
        <v>G66</v>
      </c>
      <c r="B241" s="24">
        <f>Sheet1!B215</f>
        <v>48.03</v>
      </c>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ca="1" si="71"/>
        <v>5262</v>
      </c>
      <c r="S241" s="334">
        <f t="shared" ca="1" si="72"/>
        <v>252734</v>
      </c>
      <c r="T241" s="1179">
        <f t="shared" ca="1" si="73"/>
        <v>25</v>
      </c>
      <c r="U241" s="1311">
        <f t="shared" si="67"/>
        <v>0</v>
      </c>
      <c r="V241" s="1311">
        <f t="shared" si="68"/>
        <v>0</v>
      </c>
      <c r="W241" s="1308"/>
      <c r="X241" s="1311">
        <f t="shared" si="69"/>
        <v>0</v>
      </c>
      <c r="Y241" s="1311">
        <f t="shared" si="70"/>
        <v>0</v>
      </c>
      <c r="Z241" s="1308"/>
    </row>
    <row r="242" spans="1:26">
      <c r="A242" s="704" t="str">
        <f>Sheet1!A216</f>
        <v>G67</v>
      </c>
      <c r="B242" s="24">
        <f>Sheet1!B216</f>
        <v>48.03</v>
      </c>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ca="1" si="71"/>
        <v>5262</v>
      </c>
      <c r="S242" s="334">
        <f t="shared" ca="1" si="72"/>
        <v>252734</v>
      </c>
      <c r="T242" s="1179">
        <f t="shared" ca="1" si="73"/>
        <v>25</v>
      </c>
      <c r="U242" s="1311">
        <f t="shared" si="67"/>
        <v>0</v>
      </c>
      <c r="V242" s="1311">
        <f t="shared" si="68"/>
        <v>0</v>
      </c>
      <c r="W242" s="1308"/>
      <c r="X242" s="1311">
        <f t="shared" si="69"/>
        <v>0</v>
      </c>
      <c r="Y242" s="1311">
        <f t="shared" si="70"/>
        <v>0</v>
      </c>
      <c r="Z242" s="1308"/>
    </row>
    <row r="243" spans="1:26">
      <c r="A243" s="704" t="str">
        <f>Sheet1!A217</f>
        <v>G68</v>
      </c>
      <c r="B243" s="24">
        <f>Sheet1!B217</f>
        <v>48.03</v>
      </c>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ca="1" si="71"/>
        <v>5262</v>
      </c>
      <c r="S243" s="334">
        <f t="shared" ca="1" si="72"/>
        <v>252734</v>
      </c>
      <c r="T243" s="1179">
        <f t="shared" ca="1" si="73"/>
        <v>25</v>
      </c>
      <c r="U243" s="1311">
        <f t="shared" si="67"/>
        <v>0</v>
      </c>
      <c r="V243" s="1311">
        <f t="shared" si="68"/>
        <v>0</v>
      </c>
      <c r="W243" s="1308"/>
      <c r="X243" s="1311">
        <f t="shared" si="69"/>
        <v>0</v>
      </c>
      <c r="Y243" s="1311">
        <f t="shared" si="70"/>
        <v>0</v>
      </c>
      <c r="Z243" s="1308"/>
    </row>
    <row r="244" spans="1:26">
      <c r="A244" s="704" t="str">
        <f>Sheet1!A218</f>
        <v>G69</v>
      </c>
      <c r="B244" s="24">
        <f>Sheet1!B218</f>
        <v>47.03</v>
      </c>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ca="1" si="71"/>
        <v>5262</v>
      </c>
      <c r="S244" s="334">
        <f t="shared" ca="1" si="72"/>
        <v>247472</v>
      </c>
      <c r="T244" s="1179">
        <f t="shared" ca="1" si="73"/>
        <v>25</v>
      </c>
      <c r="U244" s="1311">
        <f t="shared" si="67"/>
        <v>0</v>
      </c>
      <c r="V244" s="1311">
        <f t="shared" si="68"/>
        <v>0</v>
      </c>
      <c r="W244" s="1308"/>
      <c r="X244" s="1311">
        <f t="shared" si="69"/>
        <v>0</v>
      </c>
      <c r="Y244" s="1311">
        <f t="shared" si="70"/>
        <v>0</v>
      </c>
      <c r="Z244" s="1308"/>
    </row>
    <row r="245" spans="1:26">
      <c r="A245" s="704" t="str">
        <f>Sheet1!A219</f>
        <v>G70</v>
      </c>
      <c r="B245" s="24">
        <f>Sheet1!B219</f>
        <v>47.03</v>
      </c>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ca="1" si="71"/>
        <v>5262</v>
      </c>
      <c r="S245" s="334">
        <f t="shared" ca="1" si="72"/>
        <v>247472</v>
      </c>
      <c r="T245" s="1179">
        <f t="shared" ca="1" si="73"/>
        <v>25</v>
      </c>
      <c r="U245" s="1311">
        <f t="shared" si="67"/>
        <v>0</v>
      </c>
      <c r="V245" s="1311">
        <f t="shared" si="68"/>
        <v>0</v>
      </c>
      <c r="W245" s="1308"/>
      <c r="X245" s="1311">
        <f t="shared" si="69"/>
        <v>0</v>
      </c>
      <c r="Y245" s="1311">
        <f t="shared" si="70"/>
        <v>0</v>
      </c>
      <c r="Z245" s="1308"/>
    </row>
    <row r="246" spans="1:26">
      <c r="A246" s="704" t="str">
        <f>Sheet1!A220</f>
        <v>G71</v>
      </c>
      <c r="B246" s="24">
        <f>Sheet1!B220</f>
        <v>47.03</v>
      </c>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ca="1" si="71"/>
        <v>5262</v>
      </c>
      <c r="S246" s="334">
        <f t="shared" ca="1" si="72"/>
        <v>247472</v>
      </c>
      <c r="T246" s="1179">
        <f t="shared" ca="1" si="73"/>
        <v>25</v>
      </c>
      <c r="U246" s="1311">
        <f t="shared" si="67"/>
        <v>0</v>
      </c>
      <c r="V246" s="1311">
        <f t="shared" si="68"/>
        <v>0</v>
      </c>
      <c r="W246" s="1308"/>
      <c r="X246" s="1311">
        <f t="shared" si="69"/>
        <v>0</v>
      </c>
      <c r="Y246" s="1311">
        <f t="shared" si="70"/>
        <v>0</v>
      </c>
      <c r="Z246" s="1308"/>
    </row>
    <row r="247" spans="1:26">
      <c r="A247" s="704" t="str">
        <f>Sheet1!A221</f>
        <v>G72</v>
      </c>
      <c r="B247" s="24">
        <f>Sheet1!B221</f>
        <v>47.03</v>
      </c>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ca="1" si="71"/>
        <v>5262</v>
      </c>
      <c r="S247" s="334">
        <f t="shared" ca="1" si="72"/>
        <v>247472</v>
      </c>
      <c r="T247" s="1179">
        <f t="shared" ca="1" si="73"/>
        <v>25</v>
      </c>
      <c r="U247" s="1311">
        <f t="shared" si="67"/>
        <v>0</v>
      </c>
      <c r="V247" s="1311">
        <f t="shared" si="68"/>
        <v>0</v>
      </c>
      <c r="W247" s="1308"/>
      <c r="X247" s="1311">
        <f t="shared" si="69"/>
        <v>0</v>
      </c>
      <c r="Y247" s="1311">
        <f t="shared" si="70"/>
        <v>0</v>
      </c>
      <c r="Z247" s="1308"/>
    </row>
    <row r="248" spans="1:26">
      <c r="A248" s="704" t="str">
        <f>Sheet1!A222</f>
        <v>H01</v>
      </c>
      <c r="B248" s="24">
        <f>Sheet1!B222</f>
        <v>46.67</v>
      </c>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ca="1" si="71"/>
        <v>5262</v>
      </c>
      <c r="S248" s="334">
        <f t="shared" ca="1" si="72"/>
        <v>245578</v>
      </c>
      <c r="T248" s="1179">
        <f t="shared" ca="1" si="73"/>
        <v>25</v>
      </c>
      <c r="U248" s="1311">
        <f t="shared" si="67"/>
        <v>0</v>
      </c>
      <c r="V248" s="1311">
        <f t="shared" si="68"/>
        <v>0</v>
      </c>
      <c r="W248" s="1308"/>
      <c r="X248" s="1311">
        <f t="shared" si="69"/>
        <v>0</v>
      </c>
      <c r="Y248" s="1311">
        <f t="shared" si="70"/>
        <v>0</v>
      </c>
      <c r="Z248" s="1308"/>
    </row>
    <row r="249" spans="1:26">
      <c r="A249" s="704" t="str">
        <f>Sheet1!A223</f>
        <v>H02</v>
      </c>
      <c r="B249" s="24">
        <f>Sheet1!B223</f>
        <v>46.67</v>
      </c>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ca="1" si="71"/>
        <v>5262</v>
      </c>
      <c r="S249" s="334">
        <f t="shared" ca="1" si="72"/>
        <v>245578</v>
      </c>
      <c r="T249" s="1179">
        <f t="shared" ca="1" si="73"/>
        <v>25</v>
      </c>
      <c r="U249" s="1311">
        <f t="shared" si="67"/>
        <v>0</v>
      </c>
      <c r="V249" s="1311">
        <f t="shared" si="68"/>
        <v>0</v>
      </c>
      <c r="W249" s="1308"/>
      <c r="X249" s="1311">
        <f t="shared" si="69"/>
        <v>0</v>
      </c>
      <c r="Y249" s="1311">
        <f t="shared" si="70"/>
        <v>0</v>
      </c>
      <c r="Z249" s="1308"/>
    </row>
    <row r="250" spans="1:26">
      <c r="A250" s="704" t="str">
        <f>Sheet1!A224</f>
        <v>H03</v>
      </c>
      <c r="B250" s="24">
        <f>Sheet1!B224</f>
        <v>47.91</v>
      </c>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ca="1" si="71"/>
        <v>5262</v>
      </c>
      <c r="S250" s="334">
        <f t="shared" ca="1" si="72"/>
        <v>252102</v>
      </c>
      <c r="T250" s="1179">
        <f t="shared" ca="1" si="73"/>
        <v>25</v>
      </c>
      <c r="U250" s="1311">
        <f t="shared" si="67"/>
        <v>0</v>
      </c>
      <c r="V250" s="1311">
        <f t="shared" si="68"/>
        <v>0</v>
      </c>
      <c r="W250" s="1308"/>
      <c r="X250" s="1311">
        <f t="shared" si="69"/>
        <v>0</v>
      </c>
      <c r="Y250" s="1311">
        <f t="shared" si="70"/>
        <v>0</v>
      </c>
      <c r="Z250" s="1308"/>
    </row>
    <row r="251" spans="1:26">
      <c r="A251" s="704" t="str">
        <f>Sheet1!A225</f>
        <v>H04</v>
      </c>
      <c r="B251" s="24">
        <f>Sheet1!B225</f>
        <v>47.91</v>
      </c>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ca="1" si="71"/>
        <v>5262</v>
      </c>
      <c r="S251" s="334">
        <f t="shared" ca="1" si="72"/>
        <v>252102</v>
      </c>
      <c r="T251" s="1179">
        <f t="shared" ca="1" si="73"/>
        <v>25</v>
      </c>
      <c r="U251" s="1311">
        <f t="shared" si="67"/>
        <v>0</v>
      </c>
      <c r="V251" s="1311">
        <f t="shared" si="68"/>
        <v>0</v>
      </c>
      <c r="W251" s="1308"/>
      <c r="X251" s="1311">
        <f t="shared" si="69"/>
        <v>0</v>
      </c>
      <c r="Y251" s="1311">
        <f t="shared" si="70"/>
        <v>0</v>
      </c>
      <c r="Z251" s="1308"/>
    </row>
    <row r="252" spans="1:26">
      <c r="A252" s="704" t="str">
        <f>Sheet1!A226</f>
        <v>H05</v>
      </c>
      <c r="B252" s="24">
        <f>Sheet1!B226</f>
        <v>47.91</v>
      </c>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ca="1" si="71"/>
        <v>5262</v>
      </c>
      <c r="S252" s="334">
        <f t="shared" ca="1" si="72"/>
        <v>252102</v>
      </c>
      <c r="T252" s="1179">
        <f t="shared" ca="1" si="73"/>
        <v>25</v>
      </c>
      <c r="U252" s="1311">
        <f t="shared" si="67"/>
        <v>0</v>
      </c>
      <c r="V252" s="1311">
        <f t="shared" si="68"/>
        <v>0</v>
      </c>
      <c r="W252" s="1308"/>
      <c r="X252" s="1311">
        <f t="shared" si="69"/>
        <v>0</v>
      </c>
      <c r="Y252" s="1311">
        <f t="shared" si="70"/>
        <v>0</v>
      </c>
      <c r="Z252" s="1308"/>
    </row>
    <row r="253" spans="1:26">
      <c r="A253" s="704" t="str">
        <f>Sheet1!A227</f>
        <v>H06</v>
      </c>
      <c r="B253" s="24">
        <f>Sheet1!B227</f>
        <v>46.67</v>
      </c>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ca="1" si="71"/>
        <v>5262</v>
      </c>
      <c r="S253" s="334">
        <f t="shared" ca="1" si="72"/>
        <v>245578</v>
      </c>
      <c r="T253" s="1179">
        <f t="shared" ca="1" si="73"/>
        <v>25</v>
      </c>
      <c r="U253" s="1311">
        <f t="shared" si="67"/>
        <v>0</v>
      </c>
      <c r="V253" s="1311">
        <f t="shared" si="68"/>
        <v>0</v>
      </c>
      <c r="W253" s="1308"/>
      <c r="X253" s="1311">
        <f t="shared" si="69"/>
        <v>0</v>
      </c>
      <c r="Y253" s="1311">
        <f t="shared" si="70"/>
        <v>0</v>
      </c>
      <c r="Z253" s="1308"/>
    </row>
    <row r="254" spans="1:26">
      <c r="A254" s="704" t="str">
        <f>Sheet1!A228</f>
        <v>H07</v>
      </c>
      <c r="B254" s="24">
        <f>Sheet1!B228</f>
        <v>46.67</v>
      </c>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ca="1" si="71"/>
        <v>5262</v>
      </c>
      <c r="S254" s="334">
        <f t="shared" ca="1" si="72"/>
        <v>245578</v>
      </c>
      <c r="T254" s="1179">
        <f t="shared" ca="1" si="73"/>
        <v>25</v>
      </c>
      <c r="U254" s="1311">
        <f t="shared" si="67"/>
        <v>0</v>
      </c>
      <c r="V254" s="1311">
        <f t="shared" si="68"/>
        <v>0</v>
      </c>
      <c r="W254" s="1308"/>
      <c r="X254" s="1311">
        <f t="shared" si="69"/>
        <v>0</v>
      </c>
      <c r="Y254" s="1311">
        <f t="shared" si="70"/>
        <v>0</v>
      </c>
      <c r="Z254" s="1308"/>
    </row>
    <row r="255" spans="1:26">
      <c r="A255" s="704" t="str">
        <f>Sheet1!A229</f>
        <v>H08</v>
      </c>
      <c r="B255" s="24">
        <f>Sheet1!B229</f>
        <v>46.67</v>
      </c>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ca="1" si="71"/>
        <v>5262</v>
      </c>
      <c r="S255" s="334">
        <f t="shared" ca="1" si="72"/>
        <v>245578</v>
      </c>
      <c r="T255" s="1179">
        <f t="shared" ca="1" si="73"/>
        <v>25</v>
      </c>
      <c r="U255" s="1311">
        <f t="shared" si="67"/>
        <v>0</v>
      </c>
      <c r="V255" s="1311">
        <f t="shared" si="68"/>
        <v>0</v>
      </c>
      <c r="W255" s="1308"/>
      <c r="X255" s="1311">
        <f t="shared" si="69"/>
        <v>0</v>
      </c>
      <c r="Y255" s="1311">
        <f t="shared" si="70"/>
        <v>0</v>
      </c>
      <c r="Z255" s="1308"/>
    </row>
    <row r="256" spans="1:26">
      <c r="A256" s="704" t="str">
        <f>Sheet1!A230</f>
        <v>H09</v>
      </c>
      <c r="B256" s="24">
        <f>Sheet1!B230</f>
        <v>46.67</v>
      </c>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ca="1" si="71"/>
        <v>5262</v>
      </c>
      <c r="S256" s="334">
        <f t="shared" ca="1" si="72"/>
        <v>245578</v>
      </c>
      <c r="T256" s="1179">
        <f t="shared" ca="1" si="73"/>
        <v>25</v>
      </c>
      <c r="U256" s="1311">
        <f t="shared" si="67"/>
        <v>0</v>
      </c>
      <c r="V256" s="1311">
        <f t="shared" si="68"/>
        <v>0</v>
      </c>
      <c r="W256" s="1308"/>
      <c r="X256" s="1311">
        <f t="shared" si="69"/>
        <v>0</v>
      </c>
      <c r="Y256" s="1311">
        <f t="shared" si="70"/>
        <v>0</v>
      </c>
      <c r="Z256" s="1308"/>
    </row>
    <row r="257" spans="1:26">
      <c r="A257" s="704" t="str">
        <f>Sheet1!A231</f>
        <v>H10</v>
      </c>
      <c r="B257" s="24">
        <f>Sheet1!B231</f>
        <v>48.03</v>
      </c>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ca="1" si="71"/>
        <v>5262</v>
      </c>
      <c r="S257" s="334">
        <f t="shared" ca="1" si="72"/>
        <v>252734</v>
      </c>
      <c r="T257" s="1179">
        <f t="shared" ca="1" si="73"/>
        <v>25</v>
      </c>
      <c r="U257" s="1311">
        <f t="shared" si="67"/>
        <v>0</v>
      </c>
      <c r="V257" s="1311">
        <f t="shared" si="68"/>
        <v>0</v>
      </c>
      <c r="W257" s="1308"/>
      <c r="X257" s="1311">
        <f t="shared" si="69"/>
        <v>0</v>
      </c>
      <c r="Y257" s="1311">
        <f t="shared" si="70"/>
        <v>0</v>
      </c>
      <c r="Z257" s="1308"/>
    </row>
    <row r="258" spans="1:26">
      <c r="A258" s="704" t="str">
        <f>Sheet1!A232</f>
        <v>H11</v>
      </c>
      <c r="B258" s="24">
        <f>Sheet1!B232</f>
        <v>48.03</v>
      </c>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ca="1" si="71"/>
        <v>5262</v>
      </c>
      <c r="S258" s="334">
        <f t="shared" ca="1" si="72"/>
        <v>252734</v>
      </c>
      <c r="T258" s="1179">
        <f t="shared" ca="1" si="73"/>
        <v>25</v>
      </c>
      <c r="U258" s="1311">
        <f t="shared" si="67"/>
        <v>0</v>
      </c>
      <c r="V258" s="1311">
        <f t="shared" si="68"/>
        <v>0</v>
      </c>
      <c r="W258" s="1308"/>
      <c r="X258" s="1311">
        <f t="shared" si="69"/>
        <v>0</v>
      </c>
      <c r="Y258" s="1311">
        <f t="shared" si="70"/>
        <v>0</v>
      </c>
      <c r="Z258" s="1308"/>
    </row>
    <row r="259" spans="1:26">
      <c r="A259" s="704" t="str">
        <f>Sheet1!A233</f>
        <v>H12</v>
      </c>
      <c r="B259" s="24">
        <f>Sheet1!B233</f>
        <v>48.03</v>
      </c>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ca="1" si="71"/>
        <v>5262</v>
      </c>
      <c r="S259" s="334">
        <f t="shared" ca="1" si="72"/>
        <v>252734</v>
      </c>
      <c r="T259" s="1179">
        <f t="shared" ca="1" si="73"/>
        <v>25</v>
      </c>
      <c r="U259" s="1311">
        <f t="shared" si="67"/>
        <v>0</v>
      </c>
      <c r="V259" s="1311">
        <f t="shared" si="68"/>
        <v>0</v>
      </c>
      <c r="W259" s="1308"/>
      <c r="X259" s="1311">
        <f t="shared" si="69"/>
        <v>0</v>
      </c>
      <c r="Y259" s="1311">
        <f t="shared" si="70"/>
        <v>0</v>
      </c>
      <c r="Z259" s="1308"/>
    </row>
    <row r="260" spans="1:26">
      <c r="A260" s="704" t="str">
        <f>Sheet1!A234</f>
        <v>H13</v>
      </c>
      <c r="B260" s="24">
        <f>Sheet1!B234</f>
        <v>46.23</v>
      </c>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ca="1" si="71"/>
        <v>5262</v>
      </c>
      <c r="S260" s="334">
        <f t="shared" ca="1" si="72"/>
        <v>243262</v>
      </c>
      <c r="T260" s="1179">
        <f t="shared" ca="1" si="73"/>
        <v>24</v>
      </c>
      <c r="U260" s="1311">
        <f t="shared" si="67"/>
        <v>0</v>
      </c>
      <c r="V260" s="1311">
        <f t="shared" si="68"/>
        <v>0</v>
      </c>
      <c r="W260" s="1308"/>
      <c r="X260" s="1311">
        <f t="shared" si="69"/>
        <v>0</v>
      </c>
      <c r="Y260" s="1311">
        <f t="shared" si="70"/>
        <v>0</v>
      </c>
      <c r="Z260" s="1308"/>
    </row>
    <row r="261" spans="1:26">
      <c r="A261" s="704" t="str">
        <f>Sheet1!A235</f>
        <v>H14</v>
      </c>
      <c r="B261" s="24">
        <f>Sheet1!B235</f>
        <v>46.23</v>
      </c>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ca="1" si="71"/>
        <v>5262</v>
      </c>
      <c r="S261" s="334">
        <f t="shared" ca="1" si="72"/>
        <v>243262</v>
      </c>
      <c r="T261" s="1179">
        <f t="shared" ca="1" si="73"/>
        <v>24</v>
      </c>
      <c r="U261" s="1311">
        <f t="shared" si="67"/>
        <v>0</v>
      </c>
      <c r="V261" s="1311">
        <f t="shared" si="68"/>
        <v>0</v>
      </c>
      <c r="W261" s="1308"/>
      <c r="X261" s="1311">
        <f t="shared" si="69"/>
        <v>0</v>
      </c>
      <c r="Y261" s="1311">
        <f t="shared" si="70"/>
        <v>0</v>
      </c>
      <c r="Z261" s="1308"/>
    </row>
    <row r="262" spans="1:26">
      <c r="A262" s="704" t="str">
        <f>Sheet1!A236</f>
        <v>H15</v>
      </c>
      <c r="B262" s="24">
        <f>Sheet1!B236</f>
        <v>46.23</v>
      </c>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ca="1" si="71"/>
        <v>5262</v>
      </c>
      <c r="S262" s="334">
        <f t="shared" ca="1" si="72"/>
        <v>243262</v>
      </c>
      <c r="T262" s="1179">
        <f t="shared" ca="1" si="73"/>
        <v>24</v>
      </c>
      <c r="U262" s="1311">
        <f t="shared" si="67"/>
        <v>0</v>
      </c>
      <c r="V262" s="1311">
        <f t="shared" si="68"/>
        <v>0</v>
      </c>
      <c r="W262" s="1308"/>
      <c r="X262" s="1311">
        <f t="shared" si="69"/>
        <v>0</v>
      </c>
      <c r="Y262" s="1311">
        <f t="shared" si="70"/>
        <v>0</v>
      </c>
      <c r="Z262" s="1308"/>
    </row>
    <row r="263" spans="1:26">
      <c r="A263" s="704" t="str">
        <f>Sheet1!A237</f>
        <v>H16</v>
      </c>
      <c r="B263" s="24">
        <f>Sheet1!B237</f>
        <v>46.23</v>
      </c>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ca="1" si="71"/>
        <v>5262</v>
      </c>
      <c r="S263" s="334">
        <f t="shared" ca="1" si="72"/>
        <v>243262</v>
      </c>
      <c r="T263" s="1179">
        <f t="shared" ca="1" si="73"/>
        <v>24</v>
      </c>
      <c r="U263" s="1311">
        <f t="shared" si="67"/>
        <v>0</v>
      </c>
      <c r="V263" s="1311">
        <f t="shared" si="68"/>
        <v>0</v>
      </c>
      <c r="W263" s="1308"/>
      <c r="X263" s="1311">
        <f t="shared" si="69"/>
        <v>0</v>
      </c>
      <c r="Y263" s="1311">
        <f t="shared" si="70"/>
        <v>0</v>
      </c>
      <c r="Z263" s="1308"/>
    </row>
    <row r="264" spans="1:26">
      <c r="A264" s="704" t="str">
        <f>Sheet1!A238</f>
        <v>H17</v>
      </c>
      <c r="B264" s="24">
        <f>Sheet1!B238</f>
        <v>52.43</v>
      </c>
      <c r="C264" s="14">
        <f t="shared" si="59"/>
        <v>1.01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ca="1" si="71"/>
        <v>5315</v>
      </c>
      <c r="S264" s="334">
        <f t="shared" ca="1" si="72"/>
        <v>278665</v>
      </c>
      <c r="T264" s="1179">
        <f t="shared" ca="1" si="73"/>
        <v>28</v>
      </c>
      <c r="U264" s="1311">
        <f t="shared" si="67"/>
        <v>0</v>
      </c>
      <c r="V264" s="1311">
        <f t="shared" si="68"/>
        <v>0</v>
      </c>
      <c r="W264" s="1308"/>
      <c r="X264" s="1311">
        <f t="shared" si="69"/>
        <v>0</v>
      </c>
      <c r="Y264" s="1311">
        <f t="shared" si="70"/>
        <v>0</v>
      </c>
      <c r="Z264" s="1308"/>
    </row>
    <row r="265" spans="1:26">
      <c r="A265" s="704" t="str">
        <f>Sheet1!A239</f>
        <v>H18</v>
      </c>
      <c r="B265" s="24">
        <f>Sheet1!B239</f>
        <v>54.47</v>
      </c>
      <c r="C265" s="14">
        <f t="shared" si="59"/>
        <v>1.01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ca="1" si="71"/>
        <v>5315</v>
      </c>
      <c r="S265" s="334">
        <f t="shared" ca="1" si="72"/>
        <v>289508</v>
      </c>
      <c r="T265" s="1179">
        <f t="shared" ca="1" si="73"/>
        <v>29</v>
      </c>
      <c r="U265" s="1311">
        <f t="shared" si="67"/>
        <v>0</v>
      </c>
      <c r="V265" s="1311">
        <f t="shared" si="68"/>
        <v>0</v>
      </c>
      <c r="W265" s="1308"/>
      <c r="X265" s="1311">
        <f t="shared" si="69"/>
        <v>0</v>
      </c>
      <c r="Y265" s="1311">
        <f t="shared" si="70"/>
        <v>0</v>
      </c>
      <c r="Z265" s="1308"/>
    </row>
    <row r="266" spans="1:26">
      <c r="A266" s="704" t="str">
        <f>Sheet1!A240</f>
        <v>H19</v>
      </c>
      <c r="B266" s="24">
        <f>Sheet1!B240</f>
        <v>54.47</v>
      </c>
      <c r="C266" s="14">
        <f t="shared" si="59"/>
        <v>1.01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ca="1" si="71"/>
        <v>5315</v>
      </c>
      <c r="S266" s="334">
        <f t="shared" ca="1" si="72"/>
        <v>289508</v>
      </c>
      <c r="T266" s="1179">
        <f t="shared" ca="1" si="73"/>
        <v>29</v>
      </c>
      <c r="U266" s="1311">
        <f t="shared" si="67"/>
        <v>0</v>
      </c>
      <c r="V266" s="1311">
        <f t="shared" si="68"/>
        <v>0</v>
      </c>
      <c r="W266" s="1308"/>
      <c r="X266" s="1311">
        <f t="shared" si="69"/>
        <v>0</v>
      </c>
      <c r="Y266" s="1311">
        <f t="shared" si="70"/>
        <v>0</v>
      </c>
      <c r="Z266" s="1308"/>
    </row>
    <row r="267" spans="1:26">
      <c r="A267" s="704" t="str">
        <f>Sheet1!A241</f>
        <v>H20</v>
      </c>
      <c r="B267" s="24">
        <f>Sheet1!B241</f>
        <v>54.47</v>
      </c>
      <c r="C267" s="14">
        <f t="shared" si="59"/>
        <v>1.01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ca="1" si="71"/>
        <v>5315</v>
      </c>
      <c r="S267" s="334">
        <f t="shared" ca="1" si="72"/>
        <v>289508</v>
      </c>
      <c r="T267" s="1179">
        <f t="shared" ca="1" si="73"/>
        <v>29</v>
      </c>
      <c r="U267" s="1311">
        <f t="shared" si="67"/>
        <v>0</v>
      </c>
      <c r="V267" s="1311">
        <f t="shared" si="68"/>
        <v>0</v>
      </c>
      <c r="W267" s="1308"/>
      <c r="X267" s="1311">
        <f t="shared" si="69"/>
        <v>0</v>
      </c>
      <c r="Y267" s="1311">
        <f t="shared" si="70"/>
        <v>0</v>
      </c>
      <c r="Z267" s="1308"/>
    </row>
    <row r="268" spans="1:26">
      <c r="A268" s="704" t="str">
        <f>Sheet1!A242</f>
        <v>H21</v>
      </c>
      <c r="B268" s="24">
        <f>Sheet1!B242</f>
        <v>54.47</v>
      </c>
      <c r="C268" s="14">
        <f t="shared" si="59"/>
        <v>1.01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ca="1" si="71"/>
        <v>5315</v>
      </c>
      <c r="S268" s="334">
        <f t="shared" ca="1" si="72"/>
        <v>289508</v>
      </c>
      <c r="T268" s="1179">
        <f t="shared" ca="1" si="73"/>
        <v>29</v>
      </c>
      <c r="U268" s="1311">
        <f t="shared" si="67"/>
        <v>0</v>
      </c>
      <c r="V268" s="1311">
        <f t="shared" si="68"/>
        <v>0</v>
      </c>
      <c r="W268" s="1308"/>
      <c r="X268" s="1311">
        <f t="shared" si="69"/>
        <v>0</v>
      </c>
      <c r="Y268" s="1311">
        <f t="shared" si="70"/>
        <v>0</v>
      </c>
      <c r="Z268" s="1308"/>
    </row>
    <row r="269" spans="1:26">
      <c r="A269" s="704" t="str">
        <f>Sheet1!A243</f>
        <v>H22</v>
      </c>
      <c r="B269" s="24">
        <f>Sheet1!B243</f>
        <v>54.47</v>
      </c>
      <c r="C269" s="14">
        <f t="shared" si="59"/>
        <v>1.01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ca="1" si="71"/>
        <v>5315</v>
      </c>
      <c r="S269" s="334">
        <f t="shared" ca="1" si="72"/>
        <v>289508</v>
      </c>
      <c r="T269" s="1179">
        <f t="shared" ca="1" si="73"/>
        <v>29</v>
      </c>
      <c r="U269" s="1311">
        <f t="shared" si="67"/>
        <v>0</v>
      </c>
      <c r="V269" s="1311">
        <f t="shared" si="68"/>
        <v>0</v>
      </c>
      <c r="W269" s="1308"/>
      <c r="X269" s="1311">
        <f t="shared" si="69"/>
        <v>0</v>
      </c>
      <c r="Y269" s="1311">
        <f t="shared" si="70"/>
        <v>0</v>
      </c>
      <c r="Z269" s="1308"/>
    </row>
    <row r="270" spans="1:26">
      <c r="A270" s="704" t="str">
        <f>Sheet1!A244</f>
        <v>H23</v>
      </c>
      <c r="B270" s="24">
        <f>Sheet1!B244</f>
        <v>54.47</v>
      </c>
      <c r="C270" s="14">
        <f t="shared" si="59"/>
        <v>1.01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ca="1" si="71"/>
        <v>5315</v>
      </c>
      <c r="S270" s="334">
        <f t="shared" ca="1" si="72"/>
        <v>289508</v>
      </c>
      <c r="T270" s="1179">
        <f t="shared" ca="1" si="73"/>
        <v>29</v>
      </c>
      <c r="U270" s="1311">
        <f t="shared" si="67"/>
        <v>0</v>
      </c>
      <c r="V270" s="1311">
        <f t="shared" si="68"/>
        <v>0</v>
      </c>
      <c r="W270" s="1308"/>
      <c r="X270" s="1311">
        <f t="shared" si="69"/>
        <v>0</v>
      </c>
      <c r="Y270" s="1311">
        <f t="shared" si="70"/>
        <v>0</v>
      </c>
      <c r="Z270" s="1308"/>
    </row>
    <row r="271" spans="1:26">
      <c r="A271" s="704" t="str">
        <f>Sheet1!A245</f>
        <v>H24</v>
      </c>
      <c r="B271" s="24">
        <f>Sheet1!B245</f>
        <v>54.47</v>
      </c>
      <c r="C271" s="14">
        <f t="shared" si="59"/>
        <v>1.01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ca="1" si="71"/>
        <v>5315</v>
      </c>
      <c r="S271" s="334">
        <f t="shared" ca="1" si="72"/>
        <v>289508</v>
      </c>
      <c r="T271" s="1179">
        <f t="shared" ca="1" si="73"/>
        <v>29</v>
      </c>
      <c r="U271" s="1311">
        <f t="shared" si="67"/>
        <v>0</v>
      </c>
      <c r="V271" s="1311">
        <f t="shared" si="68"/>
        <v>0</v>
      </c>
      <c r="W271" s="1308"/>
      <c r="X271" s="1311">
        <f t="shared" si="69"/>
        <v>0</v>
      </c>
      <c r="Y271" s="1311">
        <f t="shared" si="70"/>
        <v>0</v>
      </c>
      <c r="Z271" s="1308"/>
    </row>
    <row r="272" spans="1:26">
      <c r="A272" s="704" t="str">
        <f>Sheet1!A246</f>
        <v>H25</v>
      </c>
      <c r="B272" s="24">
        <f>Sheet1!B246</f>
        <v>54.47</v>
      </c>
      <c r="C272" s="14">
        <f t="shared" si="59"/>
        <v>1.01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ca="1" si="71"/>
        <v>5315</v>
      </c>
      <c r="S272" s="334">
        <f t="shared" ca="1" si="72"/>
        <v>289508</v>
      </c>
      <c r="T272" s="1179">
        <f t="shared" ca="1" si="73"/>
        <v>29</v>
      </c>
      <c r="U272" s="1311">
        <f t="shared" si="67"/>
        <v>0</v>
      </c>
      <c r="V272" s="1311">
        <f t="shared" si="68"/>
        <v>0</v>
      </c>
      <c r="W272" s="1308"/>
      <c r="X272" s="1311">
        <f t="shared" si="69"/>
        <v>0</v>
      </c>
      <c r="Y272" s="1311">
        <f t="shared" si="70"/>
        <v>0</v>
      </c>
      <c r="Z272" s="1308"/>
    </row>
    <row r="273" spans="1:26">
      <c r="A273" s="704" t="str">
        <f>Sheet1!A247</f>
        <v>H26</v>
      </c>
      <c r="B273" s="24">
        <f>Sheet1!B247</f>
        <v>54.47</v>
      </c>
      <c r="C273" s="14">
        <f t="shared" si="59"/>
        <v>1.01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ca="1" si="71"/>
        <v>5315</v>
      </c>
      <c r="S273" s="334">
        <f t="shared" ca="1" si="72"/>
        <v>289508</v>
      </c>
      <c r="T273" s="1179">
        <f t="shared" ca="1" si="73"/>
        <v>29</v>
      </c>
      <c r="U273" s="1311">
        <f t="shared" si="67"/>
        <v>0</v>
      </c>
      <c r="V273" s="1311">
        <f t="shared" si="68"/>
        <v>0</v>
      </c>
      <c r="W273" s="1308"/>
      <c r="X273" s="1311">
        <f t="shared" si="69"/>
        <v>0</v>
      </c>
      <c r="Y273" s="1311">
        <f t="shared" si="70"/>
        <v>0</v>
      </c>
      <c r="Z273" s="1308"/>
    </row>
    <row r="274" spans="1:26">
      <c r="A274" s="704" t="str">
        <f>Sheet1!A248</f>
        <v>H27</v>
      </c>
      <c r="B274" s="24">
        <f>Sheet1!B248</f>
        <v>52.43</v>
      </c>
      <c r="C274" s="14">
        <f t="shared" si="59"/>
        <v>1.01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ca="1" si="71"/>
        <v>5315</v>
      </c>
      <c r="S274" s="334">
        <f t="shared" ca="1" si="72"/>
        <v>278665</v>
      </c>
      <c r="T274" s="1179">
        <f t="shared" ca="1" si="73"/>
        <v>28</v>
      </c>
      <c r="U274" s="1311">
        <f t="shared" si="67"/>
        <v>0</v>
      </c>
      <c r="V274" s="1311">
        <f t="shared" si="68"/>
        <v>0</v>
      </c>
      <c r="W274" s="1308"/>
      <c r="X274" s="1311">
        <f t="shared" si="69"/>
        <v>0</v>
      </c>
      <c r="Y274" s="1311">
        <f t="shared" si="70"/>
        <v>0</v>
      </c>
      <c r="Z274" s="1308"/>
    </row>
    <row r="275" spans="1:26">
      <c r="A275" s="704" t="str">
        <f>Sheet1!A249</f>
        <v>H28</v>
      </c>
      <c r="B275" s="24">
        <f>Sheet1!B249</f>
        <v>52.43</v>
      </c>
      <c r="C275" s="14">
        <f t="shared" si="59"/>
        <v>1.01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ca="1" si="71"/>
        <v>5315</v>
      </c>
      <c r="S275" s="334">
        <f t="shared" ca="1" si="72"/>
        <v>278665</v>
      </c>
      <c r="T275" s="1179">
        <f t="shared" ca="1" si="73"/>
        <v>28</v>
      </c>
      <c r="U275" s="1311">
        <f t="shared" si="67"/>
        <v>0</v>
      </c>
      <c r="V275" s="1311">
        <f t="shared" si="68"/>
        <v>0</v>
      </c>
      <c r="W275" s="1308"/>
      <c r="X275" s="1311">
        <f t="shared" si="69"/>
        <v>0</v>
      </c>
      <c r="Y275" s="1311">
        <f t="shared" si="70"/>
        <v>0</v>
      </c>
      <c r="Z275" s="1308"/>
    </row>
    <row r="276" spans="1:26">
      <c r="A276" s="704" t="str">
        <f>Sheet1!A250</f>
        <v>H29</v>
      </c>
      <c r="B276" s="24">
        <f>Sheet1!B250</f>
        <v>48.03</v>
      </c>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ca="1" si="71"/>
        <v>5262</v>
      </c>
      <c r="S276" s="334">
        <f t="shared" ca="1" si="72"/>
        <v>252734</v>
      </c>
      <c r="T276" s="1179">
        <f t="shared" ca="1" si="73"/>
        <v>25</v>
      </c>
      <c r="U276" s="1311">
        <f t="shared" si="67"/>
        <v>0</v>
      </c>
      <c r="V276" s="1311">
        <f t="shared" si="68"/>
        <v>0</v>
      </c>
      <c r="W276" s="1308"/>
      <c r="X276" s="1311">
        <f t="shared" si="69"/>
        <v>0</v>
      </c>
      <c r="Y276" s="1311">
        <f t="shared" si="70"/>
        <v>0</v>
      </c>
      <c r="Z276" s="1308"/>
    </row>
    <row r="277" spans="1:26">
      <c r="A277" s="704" t="str">
        <f>Sheet1!A251</f>
        <v>H30</v>
      </c>
      <c r="B277" s="24">
        <f>Sheet1!B251</f>
        <v>48.03</v>
      </c>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ca="1" si="71"/>
        <v>5262</v>
      </c>
      <c r="S277" s="334">
        <f t="shared" ca="1" si="72"/>
        <v>252734</v>
      </c>
      <c r="T277" s="1179">
        <f t="shared" ca="1" si="73"/>
        <v>25</v>
      </c>
      <c r="U277" s="1311">
        <f t="shared" si="67"/>
        <v>0</v>
      </c>
      <c r="V277" s="1311">
        <f t="shared" si="68"/>
        <v>0</v>
      </c>
      <c r="W277" s="1308"/>
      <c r="X277" s="1311">
        <f t="shared" si="69"/>
        <v>0</v>
      </c>
      <c r="Y277" s="1311">
        <f t="shared" si="70"/>
        <v>0</v>
      </c>
      <c r="Z277" s="1308"/>
    </row>
    <row r="278" spans="1:26">
      <c r="A278" s="704" t="str">
        <f>Sheet1!A252</f>
        <v>H31</v>
      </c>
      <c r="B278" s="24">
        <f>Sheet1!B252</f>
        <v>48.03</v>
      </c>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ca="1" si="71"/>
        <v>5262</v>
      </c>
      <c r="S278" s="334">
        <f t="shared" ca="1" si="72"/>
        <v>252734</v>
      </c>
      <c r="T278" s="1179">
        <f t="shared" ca="1" si="73"/>
        <v>25</v>
      </c>
      <c r="U278" s="1311">
        <f t="shared" si="67"/>
        <v>0</v>
      </c>
      <c r="V278" s="1311">
        <f t="shared" si="68"/>
        <v>0</v>
      </c>
      <c r="W278" s="1308"/>
      <c r="X278" s="1311">
        <f t="shared" si="69"/>
        <v>0</v>
      </c>
      <c r="Y278" s="1311">
        <f t="shared" si="70"/>
        <v>0</v>
      </c>
      <c r="Z278" s="1308"/>
    </row>
    <row r="279" spans="1:26">
      <c r="A279" s="704" t="str">
        <f>Sheet1!A253</f>
        <v>H32</v>
      </c>
      <c r="B279" s="24">
        <f>Sheet1!B253</f>
        <v>48.03</v>
      </c>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ca="1" si="71"/>
        <v>5262</v>
      </c>
      <c r="S279" s="334">
        <f t="shared" ca="1" si="72"/>
        <v>252734</v>
      </c>
      <c r="T279" s="1179">
        <f t="shared" ca="1" si="73"/>
        <v>25</v>
      </c>
      <c r="U279" s="1311">
        <f t="shared" si="67"/>
        <v>0</v>
      </c>
      <c r="V279" s="1311">
        <f t="shared" si="68"/>
        <v>0</v>
      </c>
      <c r="W279" s="1308"/>
      <c r="X279" s="1311">
        <f t="shared" si="69"/>
        <v>0</v>
      </c>
      <c r="Y279" s="1311">
        <f t="shared" si="70"/>
        <v>0</v>
      </c>
      <c r="Z279" s="1308"/>
    </row>
    <row r="280" spans="1:26">
      <c r="A280" s="704" t="str">
        <f>Sheet1!A254</f>
        <v>H33</v>
      </c>
      <c r="B280" s="24">
        <f>Sheet1!B254</f>
        <v>48.03</v>
      </c>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ca="1" si="71"/>
        <v>5262</v>
      </c>
      <c r="S280" s="334">
        <f t="shared" ca="1" si="72"/>
        <v>252734</v>
      </c>
      <c r="T280" s="1179">
        <f t="shared" ca="1" si="73"/>
        <v>25</v>
      </c>
      <c r="U280" s="1311">
        <f t="shared" si="67"/>
        <v>0</v>
      </c>
      <c r="V280" s="1311">
        <f t="shared" si="68"/>
        <v>0</v>
      </c>
      <c r="W280" s="1308"/>
      <c r="X280" s="1311">
        <f t="shared" si="69"/>
        <v>0</v>
      </c>
      <c r="Y280" s="1311">
        <f t="shared" si="70"/>
        <v>0</v>
      </c>
      <c r="Z280" s="1308"/>
    </row>
    <row r="281" spans="1:26">
      <c r="A281" s="704" t="str">
        <f>Sheet1!A255</f>
        <v>H34</v>
      </c>
      <c r="B281" s="24">
        <f>Sheet1!B255</f>
        <v>48.03</v>
      </c>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ca="1" si="71"/>
        <v>5262</v>
      </c>
      <c r="S281" s="334">
        <f t="shared" ca="1" si="72"/>
        <v>252734</v>
      </c>
      <c r="T281" s="1179">
        <f t="shared" ca="1" si="73"/>
        <v>25</v>
      </c>
      <c r="U281" s="1311">
        <f t="shared" si="67"/>
        <v>0</v>
      </c>
      <c r="V281" s="1311">
        <f t="shared" si="68"/>
        <v>0</v>
      </c>
      <c r="W281" s="1308"/>
      <c r="X281" s="1311">
        <f t="shared" si="69"/>
        <v>0</v>
      </c>
      <c r="Y281" s="1311">
        <f t="shared" si="70"/>
        <v>0</v>
      </c>
      <c r="Z281" s="1308"/>
    </row>
    <row r="282" spans="1:26">
      <c r="A282" s="704" t="str">
        <f>Sheet1!A256</f>
        <v>H35</v>
      </c>
      <c r="B282" s="24">
        <f>Sheet1!B256</f>
        <v>55.47</v>
      </c>
      <c r="C282" s="14">
        <f t="shared" si="59"/>
        <v>1.01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ca="1" si="71"/>
        <v>5315</v>
      </c>
      <c r="S282" s="334">
        <f t="shared" ca="1" si="72"/>
        <v>294823</v>
      </c>
      <c r="T282" s="1179">
        <f t="shared" ca="1" si="73"/>
        <v>29</v>
      </c>
      <c r="U282" s="1311">
        <f t="shared" si="67"/>
        <v>0</v>
      </c>
      <c r="V282" s="1311">
        <f t="shared" si="68"/>
        <v>0</v>
      </c>
      <c r="W282" s="1308"/>
      <c r="X282" s="1311">
        <f t="shared" si="69"/>
        <v>0</v>
      </c>
      <c r="Y282" s="1311">
        <f t="shared" si="70"/>
        <v>0</v>
      </c>
      <c r="Z282" s="1308"/>
    </row>
    <row r="283" spans="1:26">
      <c r="A283" s="704" t="str">
        <f>Sheet1!A257</f>
        <v xml:space="preserve">H36 </v>
      </c>
      <c r="B283" s="24">
        <f>Sheet1!B257</f>
        <v>54.47</v>
      </c>
      <c r="C283" s="14">
        <f t="shared" si="59"/>
        <v>1.01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ca="1" si="71"/>
        <v>5315</v>
      </c>
      <c r="S283" s="334">
        <f t="shared" ca="1" si="72"/>
        <v>289508</v>
      </c>
      <c r="T283" s="1179">
        <f t="shared" ca="1" si="73"/>
        <v>29</v>
      </c>
      <c r="U283" s="1311">
        <f t="shared" si="67"/>
        <v>0</v>
      </c>
      <c r="V283" s="1311">
        <f t="shared" si="68"/>
        <v>0</v>
      </c>
      <c r="W283" s="1308"/>
      <c r="X283" s="1311">
        <f t="shared" si="69"/>
        <v>0</v>
      </c>
      <c r="Y283" s="1311">
        <f t="shared" si="70"/>
        <v>0</v>
      </c>
      <c r="Z283" s="1308"/>
    </row>
    <row r="284" spans="1:26">
      <c r="A284" s="704" t="str">
        <f>Sheet1!A258</f>
        <v>H37</v>
      </c>
      <c r="B284" s="24">
        <f>Sheet1!B258</f>
        <v>54.47</v>
      </c>
      <c r="C284" s="14">
        <f t="shared" ref="C284:C347" si="74">IF(B284="",1,(LOOKUP(B284,$6:$6,$7:$7)-LOOKUP($B$27,$6:$6,$7:$7)+100)/100)</f>
        <v>1.01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ca="1" si="71"/>
        <v>5315</v>
      </c>
      <c r="S284" s="334">
        <f t="shared" ca="1" si="72"/>
        <v>289508</v>
      </c>
      <c r="T284" s="1179">
        <f t="shared" ca="1" si="73"/>
        <v>29</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04" t="str">
        <f>Sheet1!A259</f>
        <v>H38</v>
      </c>
      <c r="B285" s="24">
        <f>Sheet1!B259</f>
        <v>54.47</v>
      </c>
      <c r="C285" s="14">
        <f t="shared" si="74"/>
        <v>1.01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ca="1" si="86">IF(B285="",0,ROUND($R$27*C285*E285*G285*I285*K285*M285*O285*Q285,0))</f>
        <v>5315</v>
      </c>
      <c r="S285" s="334">
        <f t="shared" ref="S285:S348" ca="1" si="87">ROUND(R285*B285,0)</f>
        <v>289508</v>
      </c>
      <c r="T285" s="1179">
        <f t="shared" ref="T285:T348" ca="1" si="88">ROUND(R285*B285/10000,0)</f>
        <v>29</v>
      </c>
      <c r="U285" s="1311">
        <f t="shared" si="82"/>
        <v>0</v>
      </c>
      <c r="V285" s="1311">
        <f t="shared" si="83"/>
        <v>0</v>
      </c>
      <c r="W285" s="1308"/>
      <c r="X285" s="1311">
        <f t="shared" si="84"/>
        <v>0</v>
      </c>
      <c r="Y285" s="1311">
        <f t="shared" si="85"/>
        <v>0</v>
      </c>
      <c r="Z285" s="1308"/>
    </row>
    <row r="286" spans="1:26">
      <c r="A286" s="704" t="str">
        <f>Sheet1!A260</f>
        <v>H39</v>
      </c>
      <c r="B286" s="24">
        <f>Sheet1!B260</f>
        <v>54.47</v>
      </c>
      <c r="C286" s="14">
        <f t="shared" si="74"/>
        <v>1.01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ca="1" si="86"/>
        <v>5315</v>
      </c>
      <c r="S286" s="334">
        <f t="shared" ca="1" si="87"/>
        <v>289508</v>
      </c>
      <c r="T286" s="1179">
        <f t="shared" ca="1" si="88"/>
        <v>29</v>
      </c>
      <c r="U286" s="1311">
        <f t="shared" si="82"/>
        <v>0</v>
      </c>
      <c r="V286" s="1311">
        <f t="shared" si="83"/>
        <v>0</v>
      </c>
      <c r="W286" s="1308"/>
      <c r="X286" s="1311">
        <f t="shared" si="84"/>
        <v>0</v>
      </c>
      <c r="Y286" s="1311">
        <f t="shared" si="85"/>
        <v>0</v>
      </c>
      <c r="Z286" s="1308"/>
    </row>
    <row r="287" spans="1:26">
      <c r="A287" s="704" t="str">
        <f>Sheet1!A261</f>
        <v>H40</v>
      </c>
      <c r="B287" s="24">
        <f>Sheet1!B261</f>
        <v>54.47</v>
      </c>
      <c r="C287" s="14">
        <f t="shared" si="74"/>
        <v>1.01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ca="1" si="86"/>
        <v>5315</v>
      </c>
      <c r="S287" s="334">
        <f t="shared" ca="1" si="87"/>
        <v>289508</v>
      </c>
      <c r="T287" s="1179">
        <f t="shared" ca="1" si="88"/>
        <v>29</v>
      </c>
      <c r="U287" s="1311">
        <f t="shared" si="82"/>
        <v>0</v>
      </c>
      <c r="V287" s="1311">
        <f t="shared" si="83"/>
        <v>0</v>
      </c>
      <c r="W287" s="1308"/>
      <c r="X287" s="1311">
        <f t="shared" si="84"/>
        <v>0</v>
      </c>
      <c r="Y287" s="1311">
        <f t="shared" si="85"/>
        <v>0</v>
      </c>
      <c r="Z287" s="1308"/>
    </row>
    <row r="288" spans="1:26">
      <c r="A288" s="704" t="str">
        <f>Sheet1!A262</f>
        <v>H41</v>
      </c>
      <c r="B288" s="24">
        <f>Sheet1!B262</f>
        <v>54.47</v>
      </c>
      <c r="C288" s="14">
        <f t="shared" si="74"/>
        <v>1.01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ca="1" si="86"/>
        <v>5315</v>
      </c>
      <c r="S288" s="334">
        <f t="shared" ca="1" si="87"/>
        <v>289508</v>
      </c>
      <c r="T288" s="1179">
        <f t="shared" ca="1" si="88"/>
        <v>29</v>
      </c>
      <c r="U288" s="1311">
        <f t="shared" si="82"/>
        <v>0</v>
      </c>
      <c r="V288" s="1311">
        <f t="shared" si="83"/>
        <v>0</v>
      </c>
      <c r="W288" s="1308"/>
      <c r="X288" s="1311">
        <f t="shared" si="84"/>
        <v>0</v>
      </c>
      <c r="Y288" s="1311">
        <f t="shared" si="85"/>
        <v>0</v>
      </c>
      <c r="Z288" s="1308"/>
    </row>
    <row r="289" spans="1:26">
      <c r="A289" s="704" t="str">
        <f>Sheet1!A263</f>
        <v>H42</v>
      </c>
      <c r="B289" s="24">
        <f>Sheet1!B263</f>
        <v>54.47</v>
      </c>
      <c r="C289" s="14">
        <f t="shared" si="74"/>
        <v>1.01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ca="1" si="86"/>
        <v>5315</v>
      </c>
      <c r="S289" s="334">
        <f t="shared" ca="1" si="87"/>
        <v>289508</v>
      </c>
      <c r="T289" s="1179">
        <f t="shared" ca="1" si="88"/>
        <v>29</v>
      </c>
      <c r="U289" s="1311">
        <f t="shared" si="82"/>
        <v>0</v>
      </c>
      <c r="V289" s="1311">
        <f t="shared" si="83"/>
        <v>0</v>
      </c>
      <c r="W289" s="1308"/>
      <c r="X289" s="1311">
        <f t="shared" si="84"/>
        <v>0</v>
      </c>
      <c r="Y289" s="1311">
        <f t="shared" si="85"/>
        <v>0</v>
      </c>
      <c r="Z289" s="1308"/>
    </row>
    <row r="290" spans="1:26">
      <c r="A290" s="704" t="str">
        <f>Sheet1!A264</f>
        <v>H43</v>
      </c>
      <c r="B290" s="24">
        <f>Sheet1!B264</f>
        <v>54.47</v>
      </c>
      <c r="C290" s="14">
        <f t="shared" si="74"/>
        <v>1.01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ca="1" si="86"/>
        <v>5315</v>
      </c>
      <c r="S290" s="334">
        <f t="shared" ca="1" si="87"/>
        <v>289508</v>
      </c>
      <c r="T290" s="1179">
        <f t="shared" ca="1" si="88"/>
        <v>29</v>
      </c>
      <c r="U290" s="1311">
        <f t="shared" si="82"/>
        <v>0</v>
      </c>
      <c r="V290" s="1311">
        <f t="shared" si="83"/>
        <v>0</v>
      </c>
      <c r="W290" s="1308"/>
      <c r="X290" s="1311">
        <f t="shared" si="84"/>
        <v>0</v>
      </c>
      <c r="Y290" s="1311">
        <f t="shared" si="85"/>
        <v>0</v>
      </c>
      <c r="Z290" s="1308"/>
    </row>
    <row r="291" spans="1:26">
      <c r="A291" s="704" t="str">
        <f>Sheet1!A265</f>
        <v>H44</v>
      </c>
      <c r="B291" s="24">
        <f>Sheet1!B265</f>
        <v>54.47</v>
      </c>
      <c r="C291" s="14">
        <f t="shared" si="74"/>
        <v>1.01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ca="1" si="86"/>
        <v>5315</v>
      </c>
      <c r="S291" s="334">
        <f t="shared" ca="1" si="87"/>
        <v>289508</v>
      </c>
      <c r="T291" s="1179">
        <f t="shared" ca="1" si="88"/>
        <v>29</v>
      </c>
      <c r="U291" s="1311">
        <f t="shared" si="82"/>
        <v>0</v>
      </c>
      <c r="V291" s="1311">
        <f t="shared" si="83"/>
        <v>0</v>
      </c>
      <c r="W291" s="1308"/>
      <c r="X291" s="1311">
        <f t="shared" si="84"/>
        <v>0</v>
      </c>
      <c r="Y291" s="1311">
        <f t="shared" si="85"/>
        <v>0</v>
      </c>
      <c r="Z291" s="1308"/>
    </row>
    <row r="292" spans="1:26">
      <c r="A292" s="704" t="str">
        <f>Sheet1!A266</f>
        <v>H45</v>
      </c>
      <c r="B292" s="24">
        <f>Sheet1!B266</f>
        <v>54.47</v>
      </c>
      <c r="C292" s="14">
        <f t="shared" si="74"/>
        <v>1.01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ca="1" si="86"/>
        <v>5315</v>
      </c>
      <c r="S292" s="334">
        <f t="shared" ca="1" si="87"/>
        <v>289508</v>
      </c>
      <c r="T292" s="1179">
        <f t="shared" ca="1" si="88"/>
        <v>29</v>
      </c>
      <c r="U292" s="1311">
        <f t="shared" si="82"/>
        <v>0</v>
      </c>
      <c r="V292" s="1311">
        <f t="shared" si="83"/>
        <v>0</v>
      </c>
      <c r="W292" s="1308"/>
      <c r="X292" s="1311">
        <f t="shared" si="84"/>
        <v>0</v>
      </c>
      <c r="Y292" s="1311">
        <f t="shared" si="85"/>
        <v>0</v>
      </c>
      <c r="Z292" s="1308"/>
    </row>
    <row r="293" spans="1:26">
      <c r="A293" s="704" t="str">
        <f>Sheet1!A267</f>
        <v>H46</v>
      </c>
      <c r="B293" s="24">
        <f>Sheet1!B267</f>
        <v>54.47</v>
      </c>
      <c r="C293" s="14">
        <f t="shared" si="74"/>
        <v>1.01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ca="1" si="86"/>
        <v>5315</v>
      </c>
      <c r="S293" s="334">
        <f t="shared" ca="1" si="87"/>
        <v>289508</v>
      </c>
      <c r="T293" s="1179">
        <f t="shared" ca="1" si="88"/>
        <v>29</v>
      </c>
      <c r="U293" s="1311">
        <f t="shared" si="82"/>
        <v>0</v>
      </c>
      <c r="V293" s="1311">
        <f t="shared" si="83"/>
        <v>0</v>
      </c>
      <c r="W293" s="1308"/>
      <c r="X293" s="1311">
        <f t="shared" si="84"/>
        <v>0</v>
      </c>
      <c r="Y293" s="1311">
        <f t="shared" si="85"/>
        <v>0</v>
      </c>
      <c r="Z293" s="1308"/>
    </row>
    <row r="294" spans="1:26">
      <c r="A294" s="704" t="str">
        <f>Sheet1!A268</f>
        <v>H47</v>
      </c>
      <c r="B294" s="24">
        <f>Sheet1!B268</f>
        <v>54.47</v>
      </c>
      <c r="C294" s="14">
        <f t="shared" si="74"/>
        <v>1.01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ca="1" si="86"/>
        <v>5315</v>
      </c>
      <c r="S294" s="334">
        <f t="shared" ca="1" si="87"/>
        <v>289508</v>
      </c>
      <c r="T294" s="1179">
        <f t="shared" ca="1" si="88"/>
        <v>29</v>
      </c>
      <c r="U294" s="1311">
        <f t="shared" si="82"/>
        <v>0</v>
      </c>
      <c r="V294" s="1311">
        <f t="shared" si="83"/>
        <v>0</v>
      </c>
      <c r="W294" s="1308"/>
      <c r="X294" s="1311">
        <f t="shared" si="84"/>
        <v>0</v>
      </c>
      <c r="Y294" s="1311">
        <f t="shared" si="85"/>
        <v>0</v>
      </c>
      <c r="Z294" s="1308"/>
    </row>
    <row r="295" spans="1:26">
      <c r="A295" s="704" t="str">
        <f>Sheet1!A269</f>
        <v>H48</v>
      </c>
      <c r="B295" s="24">
        <f>Sheet1!B269</f>
        <v>55.47</v>
      </c>
      <c r="C295" s="14">
        <f t="shared" si="74"/>
        <v>1.01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ca="1" si="86"/>
        <v>5315</v>
      </c>
      <c r="S295" s="334">
        <f t="shared" ca="1" si="87"/>
        <v>294823</v>
      </c>
      <c r="T295" s="1179">
        <f t="shared" ca="1" si="88"/>
        <v>29</v>
      </c>
      <c r="U295" s="1311">
        <f t="shared" si="82"/>
        <v>0</v>
      </c>
      <c r="V295" s="1311">
        <f t="shared" si="83"/>
        <v>0</v>
      </c>
      <c r="W295" s="1308"/>
      <c r="X295" s="1311">
        <f t="shared" si="84"/>
        <v>0</v>
      </c>
      <c r="Y295" s="1311">
        <f t="shared" si="85"/>
        <v>0</v>
      </c>
      <c r="Z295" s="1308"/>
    </row>
    <row r="296" spans="1:26">
      <c r="A296" s="704" t="str">
        <f>Sheet1!A270</f>
        <v>H49-1</v>
      </c>
      <c r="B296" s="24">
        <f>Sheet1!B270</f>
        <v>48.99</v>
      </c>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ca="1" si="86"/>
        <v>5262</v>
      </c>
      <c r="S296" s="334">
        <f t="shared" ca="1" si="87"/>
        <v>257785</v>
      </c>
      <c r="T296" s="1179">
        <f t="shared" ca="1" si="88"/>
        <v>26</v>
      </c>
      <c r="U296" s="1311">
        <f t="shared" si="82"/>
        <v>0</v>
      </c>
      <c r="V296" s="1311">
        <f t="shared" si="83"/>
        <v>0</v>
      </c>
      <c r="W296" s="1308"/>
      <c r="X296" s="1311">
        <f t="shared" si="84"/>
        <v>0</v>
      </c>
      <c r="Y296" s="1311">
        <f t="shared" si="85"/>
        <v>0</v>
      </c>
      <c r="Z296" s="1308"/>
    </row>
    <row r="297" spans="1:26">
      <c r="A297" s="704" t="str">
        <f>Sheet1!A271</f>
        <v>H49-2</v>
      </c>
      <c r="B297" s="24">
        <f>Sheet1!B271</f>
        <v>48.99</v>
      </c>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ca="1" si="86"/>
        <v>5262</v>
      </c>
      <c r="S297" s="334">
        <f t="shared" ca="1" si="87"/>
        <v>257785</v>
      </c>
      <c r="T297" s="1179">
        <f t="shared" ca="1" si="88"/>
        <v>26</v>
      </c>
      <c r="U297" s="1311">
        <f t="shared" si="82"/>
        <v>0</v>
      </c>
      <c r="V297" s="1311">
        <f t="shared" si="83"/>
        <v>0</v>
      </c>
      <c r="W297" s="1308"/>
      <c r="X297" s="1311">
        <f t="shared" si="84"/>
        <v>0</v>
      </c>
      <c r="Y297" s="1311">
        <f t="shared" si="85"/>
        <v>0</v>
      </c>
      <c r="Z297" s="1308"/>
    </row>
    <row r="298" spans="1:26">
      <c r="A298" s="704" t="str">
        <f>Sheet1!A272</f>
        <v>H50</v>
      </c>
      <c r="B298" s="24">
        <f>Sheet1!B272</f>
        <v>53.55</v>
      </c>
      <c r="C298" s="14">
        <f t="shared" si="74"/>
        <v>1.01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ca="1" si="86"/>
        <v>5315</v>
      </c>
      <c r="S298" s="334">
        <f t="shared" ca="1" si="87"/>
        <v>284618</v>
      </c>
      <c r="T298" s="1179">
        <f t="shared" ca="1" si="88"/>
        <v>28</v>
      </c>
      <c r="U298" s="1311">
        <f t="shared" si="82"/>
        <v>0</v>
      </c>
      <c r="V298" s="1311">
        <f t="shared" si="83"/>
        <v>0</v>
      </c>
      <c r="W298" s="1308"/>
      <c r="X298" s="1311">
        <f t="shared" si="84"/>
        <v>0</v>
      </c>
      <c r="Y298" s="1311">
        <f t="shared" si="85"/>
        <v>0</v>
      </c>
      <c r="Z298" s="1308"/>
    </row>
    <row r="299" spans="1:26">
      <c r="A299" s="704" t="str">
        <f>Sheet1!A273</f>
        <v>H51</v>
      </c>
      <c r="B299" s="24">
        <f>Sheet1!B273</f>
        <v>53.55</v>
      </c>
      <c r="C299" s="14">
        <f t="shared" si="74"/>
        <v>1.01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ca="1" si="86"/>
        <v>5315</v>
      </c>
      <c r="S299" s="334">
        <f t="shared" ca="1" si="87"/>
        <v>284618</v>
      </c>
      <c r="T299" s="1179">
        <f t="shared" ca="1" si="88"/>
        <v>28</v>
      </c>
      <c r="U299" s="1311">
        <f t="shared" si="82"/>
        <v>0</v>
      </c>
      <c r="V299" s="1311">
        <f t="shared" si="83"/>
        <v>0</v>
      </c>
      <c r="W299" s="1308"/>
      <c r="X299" s="1311">
        <f t="shared" si="84"/>
        <v>0</v>
      </c>
      <c r="Y299" s="1311">
        <f t="shared" si="85"/>
        <v>0</v>
      </c>
      <c r="Z299" s="1308"/>
    </row>
    <row r="300" spans="1:26">
      <c r="A300" s="704" t="str">
        <f>Sheet1!A274</f>
        <v>H52</v>
      </c>
      <c r="B300" s="24">
        <f>Sheet1!B274</f>
        <v>56.03</v>
      </c>
      <c r="C300" s="14">
        <f t="shared" si="74"/>
        <v>1.01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ca="1" si="86"/>
        <v>5315</v>
      </c>
      <c r="S300" s="334">
        <f t="shared" ca="1" si="87"/>
        <v>297799</v>
      </c>
      <c r="T300" s="1179">
        <f t="shared" ca="1" si="88"/>
        <v>30</v>
      </c>
      <c r="U300" s="1311">
        <f t="shared" si="82"/>
        <v>0</v>
      </c>
      <c r="V300" s="1311">
        <f t="shared" si="83"/>
        <v>0</v>
      </c>
      <c r="W300" s="1308"/>
      <c r="X300" s="1311">
        <f t="shared" si="84"/>
        <v>0</v>
      </c>
      <c r="Y300" s="1311">
        <f t="shared" si="85"/>
        <v>0</v>
      </c>
      <c r="Z300" s="1308"/>
    </row>
    <row r="301" spans="1:26">
      <c r="A301" s="704" t="str">
        <f>Sheet1!A275</f>
        <v>H53</v>
      </c>
      <c r="B301" s="24">
        <f>Sheet1!B275</f>
        <v>56.03</v>
      </c>
      <c r="C301" s="14">
        <f t="shared" si="74"/>
        <v>1.01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ca="1" si="86"/>
        <v>5315</v>
      </c>
      <c r="S301" s="334">
        <f t="shared" ca="1" si="87"/>
        <v>297799</v>
      </c>
      <c r="T301" s="1179">
        <f t="shared" ca="1" si="88"/>
        <v>30</v>
      </c>
      <c r="U301" s="1311">
        <f t="shared" si="82"/>
        <v>0</v>
      </c>
      <c r="V301" s="1311">
        <f t="shared" si="83"/>
        <v>0</v>
      </c>
      <c r="W301" s="1308"/>
      <c r="X301" s="1311">
        <f t="shared" si="84"/>
        <v>0</v>
      </c>
      <c r="Y301" s="1311">
        <f t="shared" si="85"/>
        <v>0</v>
      </c>
      <c r="Z301" s="1308"/>
    </row>
    <row r="302" spans="1:26">
      <c r="A302" s="704" t="str">
        <f>Sheet1!A276</f>
        <v>H54</v>
      </c>
      <c r="B302" s="24">
        <f>Sheet1!B276</f>
        <v>56.03</v>
      </c>
      <c r="C302" s="14">
        <f t="shared" si="74"/>
        <v>1.01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ca="1" si="86"/>
        <v>5315</v>
      </c>
      <c r="S302" s="334">
        <f t="shared" ca="1" si="87"/>
        <v>297799</v>
      </c>
      <c r="T302" s="1179">
        <f t="shared" ca="1" si="88"/>
        <v>30</v>
      </c>
      <c r="U302" s="1311">
        <f t="shared" si="82"/>
        <v>0</v>
      </c>
      <c r="V302" s="1311">
        <f t="shared" si="83"/>
        <v>0</v>
      </c>
      <c r="W302" s="1308"/>
      <c r="X302" s="1311">
        <f t="shared" si="84"/>
        <v>0</v>
      </c>
      <c r="Y302" s="1311">
        <f t="shared" si="85"/>
        <v>0</v>
      </c>
      <c r="Z302" s="1308"/>
    </row>
    <row r="303" spans="1:26">
      <c r="A303" s="704" t="str">
        <f>Sheet1!A277</f>
        <v>H55</v>
      </c>
      <c r="B303" s="24">
        <f>Sheet1!B277</f>
        <v>56.03</v>
      </c>
      <c r="C303" s="14">
        <f t="shared" si="74"/>
        <v>1.01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ca="1" si="86"/>
        <v>5315</v>
      </c>
      <c r="S303" s="334">
        <f t="shared" ca="1" si="87"/>
        <v>297799</v>
      </c>
      <c r="T303" s="1179">
        <f t="shared" ca="1" si="88"/>
        <v>30</v>
      </c>
      <c r="U303" s="1311">
        <f t="shared" si="82"/>
        <v>0</v>
      </c>
      <c r="V303" s="1311">
        <f t="shared" si="83"/>
        <v>0</v>
      </c>
      <c r="W303" s="1308"/>
      <c r="X303" s="1311">
        <f t="shared" si="84"/>
        <v>0</v>
      </c>
      <c r="Y303" s="1311">
        <f t="shared" si="85"/>
        <v>0</v>
      </c>
      <c r="Z303" s="1308"/>
    </row>
    <row r="304" spans="1:26">
      <c r="A304" s="704" t="str">
        <f>Sheet1!A278</f>
        <v>H56</v>
      </c>
      <c r="B304" s="24">
        <f>Sheet1!B278</f>
        <v>56.03</v>
      </c>
      <c r="C304" s="14">
        <f t="shared" si="74"/>
        <v>1.01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ca="1" si="86"/>
        <v>5315</v>
      </c>
      <c r="S304" s="334">
        <f t="shared" ca="1" si="87"/>
        <v>297799</v>
      </c>
      <c r="T304" s="1179">
        <f t="shared" ca="1" si="88"/>
        <v>30</v>
      </c>
      <c r="U304" s="1311">
        <f t="shared" si="82"/>
        <v>0</v>
      </c>
      <c r="V304" s="1311">
        <f t="shared" si="83"/>
        <v>0</v>
      </c>
      <c r="W304" s="1308"/>
      <c r="X304" s="1311">
        <f t="shared" si="84"/>
        <v>0</v>
      </c>
      <c r="Y304" s="1311">
        <f t="shared" si="85"/>
        <v>0</v>
      </c>
      <c r="Z304" s="1308"/>
    </row>
    <row r="305" spans="1:26">
      <c r="A305" s="704" t="str">
        <f>Sheet1!A279</f>
        <v>H57</v>
      </c>
      <c r="B305" s="24">
        <f>Sheet1!B279</f>
        <v>56.03</v>
      </c>
      <c r="C305" s="14">
        <f t="shared" si="74"/>
        <v>1.01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ca="1" si="86"/>
        <v>5315</v>
      </c>
      <c r="S305" s="334">
        <f t="shared" ca="1" si="87"/>
        <v>297799</v>
      </c>
      <c r="T305" s="1179">
        <f t="shared" ca="1" si="88"/>
        <v>30</v>
      </c>
      <c r="U305" s="1311">
        <f t="shared" si="82"/>
        <v>0</v>
      </c>
      <c r="V305" s="1311">
        <f t="shared" si="83"/>
        <v>0</v>
      </c>
      <c r="W305" s="1308"/>
      <c r="X305" s="1311">
        <f t="shared" si="84"/>
        <v>0</v>
      </c>
      <c r="Y305" s="1311">
        <f t="shared" si="85"/>
        <v>0</v>
      </c>
      <c r="Z305" s="1308"/>
    </row>
    <row r="306" spans="1:26">
      <c r="A306" s="704" t="str">
        <f>Sheet1!A280</f>
        <v>H58</v>
      </c>
      <c r="B306" s="24">
        <f>Sheet1!B280</f>
        <v>55.55</v>
      </c>
      <c r="C306" s="14">
        <f t="shared" si="74"/>
        <v>1.01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ca="1" si="86"/>
        <v>5315</v>
      </c>
      <c r="S306" s="334">
        <f t="shared" ca="1" si="87"/>
        <v>295248</v>
      </c>
      <c r="T306" s="1179">
        <f t="shared" ca="1" si="88"/>
        <v>30</v>
      </c>
      <c r="U306" s="1311">
        <f t="shared" si="82"/>
        <v>0</v>
      </c>
      <c r="V306" s="1311">
        <f t="shared" si="83"/>
        <v>0</v>
      </c>
      <c r="W306" s="1308"/>
      <c r="X306" s="1311">
        <f t="shared" si="84"/>
        <v>0</v>
      </c>
      <c r="Y306" s="1311">
        <f t="shared" si="85"/>
        <v>0</v>
      </c>
      <c r="Z306" s="1308"/>
    </row>
    <row r="307" spans="1:26">
      <c r="A307" s="704" t="str">
        <f>Sheet1!A281</f>
        <v>H59</v>
      </c>
      <c r="B307" s="24">
        <f>Sheet1!B281</f>
        <v>55.55</v>
      </c>
      <c r="C307" s="14">
        <f t="shared" si="74"/>
        <v>1.01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ca="1" si="86"/>
        <v>5315</v>
      </c>
      <c r="S307" s="334">
        <f t="shared" ca="1" si="87"/>
        <v>295248</v>
      </c>
      <c r="T307" s="1179">
        <f t="shared" ca="1" si="88"/>
        <v>30</v>
      </c>
      <c r="U307" s="1311">
        <f t="shared" si="82"/>
        <v>0</v>
      </c>
      <c r="V307" s="1311">
        <f t="shared" si="83"/>
        <v>0</v>
      </c>
      <c r="W307" s="1308"/>
      <c r="X307" s="1311">
        <f t="shared" si="84"/>
        <v>0</v>
      </c>
      <c r="Y307" s="1311">
        <f t="shared" si="85"/>
        <v>0</v>
      </c>
      <c r="Z307" s="1308"/>
    </row>
    <row r="308" spans="1:26">
      <c r="A308" s="704" t="str">
        <f>Sheet1!A282</f>
        <v>H60</v>
      </c>
      <c r="B308" s="24">
        <f>Sheet1!B282</f>
        <v>47.03</v>
      </c>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ca="1" si="86"/>
        <v>5262</v>
      </c>
      <c r="S308" s="334">
        <f t="shared" ca="1" si="87"/>
        <v>247472</v>
      </c>
      <c r="T308" s="1179">
        <f t="shared" ca="1" si="88"/>
        <v>25</v>
      </c>
      <c r="U308" s="1311">
        <f t="shared" si="82"/>
        <v>0</v>
      </c>
      <c r="V308" s="1311">
        <f t="shared" si="83"/>
        <v>0</v>
      </c>
      <c r="W308" s="1308"/>
      <c r="X308" s="1311">
        <f t="shared" si="84"/>
        <v>0</v>
      </c>
      <c r="Y308" s="1311">
        <f t="shared" si="85"/>
        <v>0</v>
      </c>
      <c r="Z308" s="1308"/>
    </row>
    <row r="309" spans="1:26">
      <c r="A309" s="704" t="str">
        <f>Sheet1!A283</f>
        <v>H61</v>
      </c>
      <c r="B309" s="24">
        <f>Sheet1!B283</f>
        <v>47.03</v>
      </c>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ca="1" si="86"/>
        <v>5262</v>
      </c>
      <c r="S309" s="334">
        <f t="shared" ca="1" si="87"/>
        <v>247472</v>
      </c>
      <c r="T309" s="1179">
        <f t="shared" ca="1" si="88"/>
        <v>25</v>
      </c>
      <c r="U309" s="1311">
        <f t="shared" si="82"/>
        <v>0</v>
      </c>
      <c r="V309" s="1311">
        <f t="shared" si="83"/>
        <v>0</v>
      </c>
      <c r="W309" s="1308"/>
      <c r="X309" s="1311">
        <f t="shared" si="84"/>
        <v>0</v>
      </c>
      <c r="Y309" s="1311">
        <f t="shared" si="85"/>
        <v>0</v>
      </c>
      <c r="Z309" s="1308"/>
    </row>
    <row r="310" spans="1:26">
      <c r="A310" s="704" t="str">
        <f>Sheet1!A284</f>
        <v>H62</v>
      </c>
      <c r="B310" s="24">
        <f>Sheet1!B284</f>
        <v>47.03</v>
      </c>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ca="1" si="86"/>
        <v>5262</v>
      </c>
      <c r="S310" s="334">
        <f t="shared" ca="1" si="87"/>
        <v>247472</v>
      </c>
      <c r="T310" s="1179">
        <f t="shared" ca="1" si="88"/>
        <v>25</v>
      </c>
      <c r="U310" s="1311">
        <f t="shared" si="82"/>
        <v>0</v>
      </c>
      <c r="V310" s="1311">
        <f t="shared" si="83"/>
        <v>0</v>
      </c>
      <c r="W310" s="1308"/>
      <c r="X310" s="1311">
        <f t="shared" si="84"/>
        <v>0</v>
      </c>
      <c r="Y310" s="1311">
        <f t="shared" si="85"/>
        <v>0</v>
      </c>
      <c r="Z310" s="1308"/>
    </row>
    <row r="311" spans="1:26">
      <c r="A311" s="704" t="str">
        <f>Sheet1!A285</f>
        <v>H63</v>
      </c>
      <c r="B311" s="24">
        <f>Sheet1!B285</f>
        <v>47.03</v>
      </c>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ca="1" si="86"/>
        <v>5262</v>
      </c>
      <c r="S311" s="334">
        <f t="shared" ca="1" si="87"/>
        <v>247472</v>
      </c>
      <c r="T311" s="1179">
        <f t="shared" ca="1" si="88"/>
        <v>25</v>
      </c>
      <c r="U311" s="1311">
        <f t="shared" si="82"/>
        <v>0</v>
      </c>
      <c r="V311" s="1311">
        <f t="shared" si="83"/>
        <v>0</v>
      </c>
      <c r="W311" s="1308"/>
      <c r="X311" s="1311">
        <f t="shared" si="84"/>
        <v>0</v>
      </c>
      <c r="Y311" s="1311">
        <f t="shared" si="85"/>
        <v>0</v>
      </c>
      <c r="Z311" s="1308"/>
    </row>
    <row r="312" spans="1:26">
      <c r="A312" s="704" t="str">
        <f>Sheet1!A286</f>
        <v>H64</v>
      </c>
      <c r="B312" s="24">
        <f>Sheet1!B286</f>
        <v>62.71</v>
      </c>
      <c r="C312" s="14">
        <f t="shared" si="74"/>
        <v>1.02</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ca="1" si="86"/>
        <v>5367</v>
      </c>
      <c r="S312" s="334">
        <f t="shared" ca="1" si="87"/>
        <v>336565</v>
      </c>
      <c r="T312" s="1179">
        <f t="shared" ca="1" si="88"/>
        <v>34</v>
      </c>
      <c r="U312" s="1311">
        <f t="shared" si="82"/>
        <v>0</v>
      </c>
      <c r="V312" s="1311">
        <f t="shared" si="83"/>
        <v>0</v>
      </c>
      <c r="W312" s="1308"/>
      <c r="X312" s="1311">
        <f t="shared" si="84"/>
        <v>0</v>
      </c>
      <c r="Y312" s="1311">
        <f t="shared" si="85"/>
        <v>0</v>
      </c>
      <c r="Z312" s="1308"/>
    </row>
    <row r="313" spans="1:26">
      <c r="A313" s="704" t="str">
        <f>Sheet1!A287</f>
        <v>H65</v>
      </c>
      <c r="B313" s="24">
        <f>Sheet1!B287</f>
        <v>59.55</v>
      </c>
      <c r="C313" s="14">
        <f t="shared" si="74"/>
        <v>1.01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ca="1" si="86"/>
        <v>5315</v>
      </c>
      <c r="S313" s="334">
        <f t="shared" ca="1" si="87"/>
        <v>316508</v>
      </c>
      <c r="T313" s="1179">
        <f t="shared" ca="1" si="88"/>
        <v>32</v>
      </c>
      <c r="U313" s="1311">
        <f t="shared" si="82"/>
        <v>0</v>
      </c>
      <c r="V313" s="1311">
        <f t="shared" si="83"/>
        <v>0</v>
      </c>
      <c r="W313" s="1308"/>
      <c r="X313" s="1311">
        <f t="shared" si="84"/>
        <v>0</v>
      </c>
      <c r="Y313" s="1311">
        <f t="shared" si="85"/>
        <v>0</v>
      </c>
      <c r="Z313" s="1308"/>
    </row>
    <row r="314" spans="1:26">
      <c r="A314" s="704" t="str">
        <f>Sheet1!A288</f>
        <v>H66</v>
      </c>
      <c r="B314" s="24">
        <f>Sheet1!B288</f>
        <v>46.27</v>
      </c>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ca="1" si="86"/>
        <v>5262</v>
      </c>
      <c r="S314" s="334">
        <f t="shared" ca="1" si="87"/>
        <v>243473</v>
      </c>
      <c r="T314" s="1179">
        <f t="shared" ca="1" si="88"/>
        <v>24</v>
      </c>
      <c r="U314" s="1311">
        <f t="shared" si="82"/>
        <v>0</v>
      </c>
      <c r="V314" s="1311">
        <f t="shared" si="83"/>
        <v>0</v>
      </c>
      <c r="W314" s="1308"/>
      <c r="X314" s="1311">
        <f t="shared" si="84"/>
        <v>0</v>
      </c>
      <c r="Y314" s="1311">
        <f t="shared" si="85"/>
        <v>0</v>
      </c>
      <c r="Z314" s="1308"/>
    </row>
    <row r="315" spans="1:26">
      <c r="A315" s="704" t="str">
        <f>Sheet1!A289</f>
        <v>H67</v>
      </c>
      <c r="B315" s="24">
        <f>Sheet1!B289</f>
        <v>46.27</v>
      </c>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ca="1" si="86"/>
        <v>5262</v>
      </c>
      <c r="S315" s="334">
        <f t="shared" ca="1" si="87"/>
        <v>243473</v>
      </c>
      <c r="T315" s="1179">
        <f t="shared" ca="1" si="88"/>
        <v>24</v>
      </c>
      <c r="U315" s="1311">
        <f t="shared" si="82"/>
        <v>0</v>
      </c>
      <c r="V315" s="1311">
        <f t="shared" si="83"/>
        <v>0</v>
      </c>
      <c r="W315" s="1308"/>
      <c r="X315" s="1311">
        <f t="shared" si="84"/>
        <v>0</v>
      </c>
      <c r="Y315" s="1311">
        <f t="shared" si="85"/>
        <v>0</v>
      </c>
      <c r="Z315" s="1308"/>
    </row>
    <row r="316" spans="1:26">
      <c r="A316" s="704" t="str">
        <f>Sheet1!A290</f>
        <v>H68</v>
      </c>
      <c r="B316" s="24">
        <f>Sheet1!B290</f>
        <v>46.27</v>
      </c>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ca="1" si="86"/>
        <v>5262</v>
      </c>
      <c r="S316" s="334">
        <f t="shared" ca="1" si="87"/>
        <v>243473</v>
      </c>
      <c r="T316" s="1179">
        <f t="shared" ca="1" si="88"/>
        <v>24</v>
      </c>
      <c r="U316" s="1311">
        <f t="shared" si="82"/>
        <v>0</v>
      </c>
      <c r="V316" s="1311">
        <f t="shared" si="83"/>
        <v>0</v>
      </c>
      <c r="W316" s="1308"/>
      <c r="X316" s="1311">
        <f t="shared" si="84"/>
        <v>0</v>
      </c>
      <c r="Y316" s="1311">
        <f t="shared" si="85"/>
        <v>0</v>
      </c>
      <c r="Z316" s="1308"/>
    </row>
    <row r="317" spans="1:26">
      <c r="A317" s="704" t="str">
        <f>Sheet1!A291</f>
        <v>H69</v>
      </c>
      <c r="B317" s="24">
        <f>Sheet1!B291</f>
        <v>46.27</v>
      </c>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ca="1" si="86"/>
        <v>5262</v>
      </c>
      <c r="S317" s="334">
        <f t="shared" ca="1" si="87"/>
        <v>243473</v>
      </c>
      <c r="T317" s="1179">
        <f t="shared" ca="1" si="88"/>
        <v>24</v>
      </c>
      <c r="U317" s="1311">
        <f t="shared" si="82"/>
        <v>0</v>
      </c>
      <c r="V317" s="1311">
        <f t="shared" si="83"/>
        <v>0</v>
      </c>
      <c r="W317" s="1308"/>
      <c r="X317" s="1311">
        <f t="shared" si="84"/>
        <v>0</v>
      </c>
      <c r="Y317" s="1311">
        <f t="shared" si="85"/>
        <v>0</v>
      </c>
      <c r="Z317" s="1308"/>
    </row>
    <row r="318" spans="1:26">
      <c r="A318" s="704" t="str">
        <f>Sheet1!A292</f>
        <v>H70</v>
      </c>
      <c r="B318" s="24">
        <f>Sheet1!B292</f>
        <v>51.55</v>
      </c>
      <c r="C318" s="14">
        <f t="shared" si="74"/>
        <v>1.01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ca="1" si="86"/>
        <v>5315</v>
      </c>
      <c r="S318" s="334">
        <f t="shared" ca="1" si="87"/>
        <v>273988</v>
      </c>
      <c r="T318" s="1179">
        <f t="shared" ca="1" si="88"/>
        <v>27</v>
      </c>
      <c r="U318" s="1311">
        <f t="shared" si="82"/>
        <v>0</v>
      </c>
      <c r="V318" s="1311">
        <f t="shared" si="83"/>
        <v>0</v>
      </c>
      <c r="W318" s="1308"/>
      <c r="X318" s="1311">
        <f t="shared" si="84"/>
        <v>0</v>
      </c>
      <c r="Y318" s="1311">
        <f t="shared" si="85"/>
        <v>0</v>
      </c>
      <c r="Z318" s="1308"/>
    </row>
    <row r="319" spans="1:26">
      <c r="A319" s="704" t="str">
        <f>Sheet1!A293</f>
        <v>H79</v>
      </c>
      <c r="B319" s="24">
        <f>Sheet1!B293</f>
        <v>56.19</v>
      </c>
      <c r="C319" s="14">
        <f t="shared" si="74"/>
        <v>1.01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ca="1" si="86"/>
        <v>5315</v>
      </c>
      <c r="S319" s="334">
        <f t="shared" ca="1" si="87"/>
        <v>298650</v>
      </c>
      <c r="T319" s="1179">
        <f t="shared" ca="1" si="88"/>
        <v>30</v>
      </c>
      <c r="U319" s="1311">
        <f t="shared" si="82"/>
        <v>0</v>
      </c>
      <c r="V319" s="1311">
        <f t="shared" si="83"/>
        <v>0</v>
      </c>
      <c r="W319" s="1308"/>
      <c r="X319" s="1311">
        <f t="shared" si="84"/>
        <v>0</v>
      </c>
      <c r="Y319" s="1311">
        <f t="shared" si="85"/>
        <v>0</v>
      </c>
      <c r="Z319" s="1308"/>
    </row>
    <row r="320" spans="1:26">
      <c r="A320" s="704" t="str">
        <f>Sheet1!A294</f>
        <v>H80</v>
      </c>
      <c r="B320" s="24">
        <f>Sheet1!B294</f>
        <v>56.19</v>
      </c>
      <c r="C320" s="14">
        <f t="shared" si="74"/>
        <v>1.01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ca="1" si="86"/>
        <v>5315</v>
      </c>
      <c r="S320" s="334">
        <f t="shared" ca="1" si="87"/>
        <v>298650</v>
      </c>
      <c r="T320" s="1179">
        <f t="shared" ca="1" si="88"/>
        <v>30</v>
      </c>
      <c r="U320" s="1311">
        <f t="shared" si="82"/>
        <v>0</v>
      </c>
      <c r="V320" s="1311">
        <f t="shared" si="83"/>
        <v>0</v>
      </c>
      <c r="W320" s="1308"/>
      <c r="X320" s="1311">
        <f t="shared" si="84"/>
        <v>0</v>
      </c>
      <c r="Y320" s="1311">
        <f t="shared" si="85"/>
        <v>0</v>
      </c>
      <c r="Z320" s="1308"/>
    </row>
    <row r="321" spans="1:26">
      <c r="A321" s="704" t="str">
        <f>Sheet1!A295</f>
        <v>H81</v>
      </c>
      <c r="B321" s="24">
        <f>Sheet1!B295</f>
        <v>56.19</v>
      </c>
      <c r="C321" s="14">
        <f t="shared" si="74"/>
        <v>1.01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ca="1" si="86"/>
        <v>5315</v>
      </c>
      <c r="S321" s="334">
        <f t="shared" ca="1" si="87"/>
        <v>298650</v>
      </c>
      <c r="T321" s="1179">
        <f t="shared" ca="1" si="88"/>
        <v>30</v>
      </c>
      <c r="U321" s="1311">
        <f t="shared" si="82"/>
        <v>0</v>
      </c>
      <c r="V321" s="1311">
        <f t="shared" si="83"/>
        <v>0</v>
      </c>
      <c r="W321" s="1308"/>
      <c r="X321" s="1311">
        <f t="shared" si="84"/>
        <v>0</v>
      </c>
      <c r="Y321" s="1311">
        <f t="shared" si="85"/>
        <v>0</v>
      </c>
      <c r="Z321" s="1308"/>
    </row>
    <row r="322" spans="1:26">
      <c r="A322" s="704" t="str">
        <f>Sheet1!A296</f>
        <v>H82</v>
      </c>
      <c r="B322" s="24">
        <f>Sheet1!B296</f>
        <v>56.19</v>
      </c>
      <c r="C322" s="14">
        <f t="shared" si="74"/>
        <v>1.01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ca="1" si="86"/>
        <v>5315</v>
      </c>
      <c r="S322" s="334">
        <f t="shared" ca="1" si="87"/>
        <v>298650</v>
      </c>
      <c r="T322" s="1179">
        <f t="shared" ca="1" si="88"/>
        <v>30</v>
      </c>
      <c r="U322" s="1311">
        <f t="shared" si="82"/>
        <v>0</v>
      </c>
      <c r="V322" s="1311">
        <f t="shared" si="83"/>
        <v>0</v>
      </c>
      <c r="W322" s="1308"/>
      <c r="X322" s="1311">
        <f t="shared" si="84"/>
        <v>0</v>
      </c>
      <c r="Y322" s="1311">
        <f t="shared" si="85"/>
        <v>0</v>
      </c>
      <c r="Z322" s="1308"/>
    </row>
    <row r="323" spans="1:26">
      <c r="A323" s="704" t="str">
        <f>Sheet1!A297</f>
        <v>H83</v>
      </c>
      <c r="B323" s="24">
        <f>Sheet1!B297</f>
        <v>56.19</v>
      </c>
      <c r="C323" s="14">
        <f t="shared" si="74"/>
        <v>1.01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ca="1" si="86"/>
        <v>5315</v>
      </c>
      <c r="S323" s="334">
        <f t="shared" ca="1" si="87"/>
        <v>298650</v>
      </c>
      <c r="T323" s="1179">
        <f t="shared" ca="1" si="88"/>
        <v>30</v>
      </c>
      <c r="U323" s="1311">
        <f t="shared" si="82"/>
        <v>0</v>
      </c>
      <c r="V323" s="1311">
        <f t="shared" si="83"/>
        <v>0</v>
      </c>
      <c r="W323" s="1308"/>
      <c r="X323" s="1311">
        <f t="shared" si="84"/>
        <v>0</v>
      </c>
      <c r="Y323" s="1311">
        <f t="shared" si="85"/>
        <v>0</v>
      </c>
      <c r="Z323" s="1308"/>
    </row>
    <row r="324" spans="1:26">
      <c r="A324" s="704" t="str">
        <f>Sheet1!A298</f>
        <v>H84</v>
      </c>
      <c r="B324" s="24">
        <f>Sheet1!B298</f>
        <v>56.19</v>
      </c>
      <c r="C324" s="14">
        <f t="shared" si="74"/>
        <v>1.01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ca="1" si="86"/>
        <v>5315</v>
      </c>
      <c r="S324" s="334">
        <f t="shared" ca="1" si="87"/>
        <v>298650</v>
      </c>
      <c r="T324" s="1179">
        <f t="shared" ca="1" si="88"/>
        <v>30</v>
      </c>
      <c r="U324" s="1311">
        <f t="shared" si="82"/>
        <v>0</v>
      </c>
      <c r="V324" s="1311">
        <f t="shared" si="83"/>
        <v>0</v>
      </c>
      <c r="W324" s="1308"/>
      <c r="X324" s="1311">
        <f t="shared" si="84"/>
        <v>0</v>
      </c>
      <c r="Y324" s="1311">
        <f t="shared" si="85"/>
        <v>0</v>
      </c>
      <c r="Z324" s="1308"/>
    </row>
    <row r="325" spans="1:26">
      <c r="A325" s="70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0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0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0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0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0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0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0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0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0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0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0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0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0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0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0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0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0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0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0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0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0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0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0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0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0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0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0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0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0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0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0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0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0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0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0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0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0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0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0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0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0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0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0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0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0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0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0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0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0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0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0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0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0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0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0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0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0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0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0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0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0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0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0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0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0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0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0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0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0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0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0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0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0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0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0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0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0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0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0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0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0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0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0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0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0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0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0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0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0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0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0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0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0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0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0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0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0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0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0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0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0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0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0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0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0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0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0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0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0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0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0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0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0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0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0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0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0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0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0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0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0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0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0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0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0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0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0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0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0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0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0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0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0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0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0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0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0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0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0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0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0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0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0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0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0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0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0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0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0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0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0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0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0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0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0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0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0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0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0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0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0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0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2334</v>
      </c>
      <c r="C1" s="1723"/>
      <c r="D1" s="2379"/>
      <c r="E1" s="2380"/>
      <c r="F1" s="1737" t="s">
        <v>2335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2" customFormat="1" ht="28.5" customHeight="1" thickTop="1">
      <c r="A2" s="1724" t="s">
        <v>2006</v>
      </c>
      <c r="B2" s="1722" t="e">
        <f ca="1">IF(D2="——",IF(C2="元",ROUND(C49*D3,0),ROUND(C49*D3/10000,0)),IF(C2="元",ROUND(C49*D3,0),ROUND(C49*D3/10000,0))-E2)</f>
        <v>#DIV/0!</v>
      </c>
      <c r="C2" s="163" t="str">
        <f>'数据-取费表'!B3</f>
        <v>万元</v>
      </c>
      <c r="D2" s="2382"/>
      <c r="E2" s="1840" t="e">
        <f ca="1">SUMIF(INDIRECT("'"&amp;G2&amp;"'"&amp;"!A:A"),"承租人权益价值",INDIRECT("'"&amp;G2&amp;"'"&amp;"!c:c"))</f>
        <v>#REF!</v>
      </c>
      <c r="F2" s="2383" t="str">
        <f>C2</f>
        <v>万元</v>
      </c>
      <c r="G2" s="2384"/>
      <c r="H2" s="978"/>
      <c r="I2" s="978"/>
      <c r="J2" s="978"/>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t="e">
        <f ca="1">ROUND(IF(D2="——",C49,IF(C2="万元",B2*10000/D3,B2/D3)),0)</f>
        <v>#DIV/0!</v>
      </c>
      <c r="C3" s="379" t="s">
        <v>2336</v>
      </c>
      <c r="D3" s="378">
        <f>IF(C1="仅计算典型户型",'数据-取费表'!E5,'数据-取费表'!B5)</f>
        <v>14802.98</v>
      </c>
      <c r="E3" s="978"/>
      <c r="F3" s="2391"/>
      <c r="G3" s="978"/>
      <c r="H3" s="978"/>
      <c r="I3" s="978"/>
      <c r="J3" s="978"/>
      <c r="K3" s="2385"/>
      <c r="L3" s="2386"/>
      <c r="M3" s="2387"/>
      <c r="N3" s="2387"/>
      <c r="O3" s="2387"/>
      <c r="P3" s="2392"/>
      <c r="Q3" s="2389"/>
      <c r="R3" s="2389"/>
      <c r="S3" s="2389"/>
      <c r="T3" s="2389"/>
      <c r="U3" s="2389"/>
      <c r="V3" s="2389"/>
      <c r="W3" s="2389"/>
      <c r="X3" s="2389"/>
      <c r="Y3" s="2389"/>
      <c r="Z3" s="2389"/>
      <c r="AA3" s="2389"/>
      <c r="AB3" s="2389"/>
      <c r="AC3" s="1355"/>
    </row>
    <row r="4" spans="1:29" ht="15">
      <c r="A4" s="380" t="s">
        <v>2337</v>
      </c>
      <c r="B4" s="381"/>
      <c r="C4" s="3009" t="s">
        <v>2338</v>
      </c>
      <c r="D4" s="3010"/>
      <c r="E4" s="3011" t="s">
        <v>2339</v>
      </c>
      <c r="F4" s="3012"/>
      <c r="G4" s="3009" t="s">
        <v>2340</v>
      </c>
      <c r="H4" s="3010"/>
      <c r="I4" s="3009" t="s">
        <v>2341</v>
      </c>
      <c r="J4" s="3010"/>
      <c r="K4" s="2393" t="s">
        <v>2342</v>
      </c>
      <c r="L4" s="1240"/>
      <c r="M4" s="1241"/>
      <c r="N4" s="1241"/>
      <c r="O4" s="1241"/>
      <c r="P4" s="3013" t="s">
        <v>2343</v>
      </c>
      <c r="Q4" s="3014"/>
      <c r="R4" s="3019" t="s">
        <v>2339</v>
      </c>
      <c r="S4" s="3020"/>
      <c r="T4" s="3019" t="s">
        <v>2340</v>
      </c>
      <c r="U4" s="3020"/>
      <c r="V4" s="3025" t="s">
        <v>2341</v>
      </c>
      <c r="W4" s="3025"/>
      <c r="X4" s="1896"/>
      <c r="Y4" s="3019" t="s">
        <v>2343</v>
      </c>
      <c r="Z4" s="3020"/>
      <c r="AA4" s="3006" t="s">
        <v>2339</v>
      </c>
      <c r="AB4" s="3006" t="s">
        <v>2340</v>
      </c>
      <c r="AC4" s="3006" t="s">
        <v>2341</v>
      </c>
    </row>
    <row r="5" spans="1:29" ht="15">
      <c r="A5" s="383"/>
      <c r="B5" s="384"/>
      <c r="C5" s="3002" t="s">
        <v>2344</v>
      </c>
      <c r="D5" s="3003"/>
      <c r="E5" s="3026" t="s">
        <v>2345</v>
      </c>
      <c r="F5" s="3027"/>
      <c r="G5" s="3002" t="s">
        <v>2346</v>
      </c>
      <c r="H5" s="3003"/>
      <c r="I5" s="3002" t="s">
        <v>2347</v>
      </c>
      <c r="J5" s="3003"/>
      <c r="K5" s="2394"/>
      <c r="L5" s="1240"/>
      <c r="M5" s="1241"/>
      <c r="N5" s="1241"/>
      <c r="O5" s="1241"/>
      <c r="P5" s="3015"/>
      <c r="Q5" s="3016"/>
      <c r="R5" s="3021"/>
      <c r="S5" s="3022"/>
      <c r="T5" s="3021"/>
      <c r="U5" s="3022"/>
      <c r="V5" s="3025"/>
      <c r="W5" s="3025"/>
      <c r="X5" s="1896"/>
      <c r="Y5" s="3021"/>
      <c r="Z5" s="3022"/>
      <c r="AA5" s="3007"/>
      <c r="AB5" s="3007"/>
      <c r="AC5" s="3007"/>
    </row>
    <row r="6" spans="1:29" ht="15.75" thickBot="1">
      <c r="A6" s="385"/>
      <c r="B6" s="386"/>
      <c r="C6" s="2999" t="s">
        <v>2348</v>
      </c>
      <c r="D6" s="3000"/>
      <c r="E6" s="2997" t="s">
        <v>2348</v>
      </c>
      <c r="F6" s="2998"/>
      <c r="G6" s="2999" t="s">
        <v>2348</v>
      </c>
      <c r="H6" s="3000"/>
      <c r="I6" s="2999" t="s">
        <v>2348</v>
      </c>
      <c r="J6" s="3000"/>
      <c r="K6" s="2394" t="s">
        <v>2349</v>
      </c>
      <c r="L6" s="1240"/>
      <c r="M6" s="1241"/>
      <c r="N6" s="1241"/>
      <c r="O6" s="1241"/>
      <c r="P6" s="3017"/>
      <c r="Q6" s="3018"/>
      <c r="R6" s="3021"/>
      <c r="S6" s="3022"/>
      <c r="T6" s="3023"/>
      <c r="U6" s="3024"/>
      <c r="V6" s="3025"/>
      <c r="W6" s="3025"/>
      <c r="X6" s="1896"/>
      <c r="Y6" s="3023"/>
      <c r="Z6" s="3024"/>
      <c r="AA6" s="3008"/>
      <c r="AB6" s="3008"/>
      <c r="AC6" s="3008"/>
    </row>
    <row r="7" spans="1:29" s="35" customFormat="1" ht="15.75" thickBot="1">
      <c r="A7" s="387" t="s">
        <v>2350</v>
      </c>
      <c r="B7" s="388"/>
      <c r="C7" s="389">
        <f>'数据-取费表'!B2</f>
        <v>43465</v>
      </c>
      <c r="D7" s="390">
        <v>100</v>
      </c>
      <c r="E7" s="391"/>
      <c r="F7" s="392">
        <f>SUMIF(58:58,YEAR(E7)&amp;"-"&amp;MONTH(E7),59:59)</f>
        <v>0</v>
      </c>
      <c r="G7" s="391"/>
      <c r="H7" s="390">
        <f>SUMIF(58:58,YEAR(G7)&amp;"-"&amp;MONTH(G7),59:59)</f>
        <v>0</v>
      </c>
      <c r="I7" s="391"/>
      <c r="J7" s="390">
        <f>SUMIF(58:58,YEAR(I7)&amp;"-"&amp;MONTH(I7),59:59)</f>
        <v>0</v>
      </c>
      <c r="K7" s="2395"/>
      <c r="L7" s="1242"/>
      <c r="M7" s="1243"/>
      <c r="N7" s="1243"/>
      <c r="O7" s="1243"/>
      <c r="P7" s="3004" t="s">
        <v>2351</v>
      </c>
      <c r="Q7" s="3028"/>
      <c r="R7" s="748" t="s">
        <v>34</v>
      </c>
      <c r="S7" s="749">
        <f t="shared" ref="S7:S15" si="0">F7</f>
        <v>0</v>
      </c>
      <c r="T7" s="748" t="s">
        <v>34</v>
      </c>
      <c r="U7" s="749">
        <f t="shared" ref="U7:U15" si="1">H7</f>
        <v>0</v>
      </c>
      <c r="V7" s="748" t="s">
        <v>34</v>
      </c>
      <c r="W7" s="749">
        <f t="shared" ref="W7:W15" si="2">J7</f>
        <v>0</v>
      </c>
      <c r="X7" s="750"/>
      <c r="Y7" s="3004" t="s">
        <v>2351</v>
      </c>
      <c r="Z7" s="3005"/>
      <c r="AA7" s="751" t="e">
        <f>D7/F7</f>
        <v>#DIV/0!</v>
      </c>
      <c r="AB7" s="751" t="e">
        <f>D7/H7</f>
        <v>#DIV/0!</v>
      </c>
      <c r="AC7" s="751" t="e">
        <f>D7/J7</f>
        <v>#DIV/0!</v>
      </c>
    </row>
    <row r="8" spans="1:29" s="35" customFormat="1" ht="15.75" thickBot="1">
      <c r="A8" s="387" t="s">
        <v>2352</v>
      </c>
      <c r="B8" s="388"/>
      <c r="C8" s="394" t="s">
        <v>2353</v>
      </c>
      <c r="D8" s="390">
        <v>100</v>
      </c>
      <c r="E8" s="2396"/>
      <c r="F8" s="392">
        <f>SUMIF(61:61,E8,62:62)-SUMIF(61:61,C8,62:62)+100</f>
        <v>0</v>
      </c>
      <c r="G8" s="394"/>
      <c r="H8" s="390">
        <f>SUMIF(61:61,G8,62:62)-SUMIF(61:61,C8,62:62)+100</f>
        <v>0</v>
      </c>
      <c r="I8" s="2396"/>
      <c r="J8" s="390">
        <f>SUMIF(61:61,I8,62:62)-SUMIF(61:61,C8,62:62)+100</f>
        <v>0</v>
      </c>
      <c r="K8" s="2395"/>
      <c r="L8" s="1242"/>
      <c r="M8" s="1243"/>
      <c r="N8" s="1243"/>
      <c r="O8" s="1243"/>
      <c r="P8" s="3004" t="s">
        <v>2354</v>
      </c>
      <c r="Q8" s="3005"/>
      <c r="R8" s="748" t="s">
        <v>34</v>
      </c>
      <c r="S8" s="749">
        <f t="shared" si="0"/>
        <v>0</v>
      </c>
      <c r="T8" s="748" t="s">
        <v>34</v>
      </c>
      <c r="U8" s="749">
        <f t="shared" si="1"/>
        <v>0</v>
      </c>
      <c r="V8" s="748" t="s">
        <v>34</v>
      </c>
      <c r="W8" s="749">
        <f t="shared" si="2"/>
        <v>0</v>
      </c>
      <c r="X8" s="750"/>
      <c r="Y8" s="3004" t="s">
        <v>2354</v>
      </c>
      <c r="Z8" s="3005"/>
      <c r="AA8" s="751" t="e">
        <f t="shared" ref="AA8:AA46" si="3">D8/F8</f>
        <v>#DIV/0!</v>
      </c>
      <c r="AB8" s="751" t="e">
        <f t="shared" ref="AB8:AB46" si="4">D8/H8</f>
        <v>#DIV/0!</v>
      </c>
      <c r="AC8" s="751"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5"/>
      <c r="L9" s="1242"/>
      <c r="M9" s="1243"/>
      <c r="N9" s="1243"/>
      <c r="O9" s="1243"/>
      <c r="P9" s="3070" t="s">
        <v>2357</v>
      </c>
      <c r="Q9" s="1883" t="str">
        <f t="shared" ref="Q9:Q15" si="6">B9</f>
        <v>用途</v>
      </c>
      <c r="R9" s="748" t="s">
        <v>25</v>
      </c>
      <c r="S9" s="749">
        <f t="shared" si="0"/>
        <v>100</v>
      </c>
      <c r="T9" s="748" t="s">
        <v>25</v>
      </c>
      <c r="U9" s="749">
        <f t="shared" si="1"/>
        <v>100</v>
      </c>
      <c r="V9" s="748" t="s">
        <v>25</v>
      </c>
      <c r="W9" s="749">
        <f t="shared" si="2"/>
        <v>100</v>
      </c>
      <c r="X9" s="750"/>
      <c r="Y9" s="2877"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70"/>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70"/>
      <c r="Q11" s="1883" t="str">
        <f t="shared" si="6"/>
        <v>容积率</v>
      </c>
      <c r="R11" s="748" t="s">
        <v>28</v>
      </c>
      <c r="S11" s="749" t="e">
        <f t="shared" si="0"/>
        <v>#N/A</v>
      </c>
      <c r="T11" s="748" t="s">
        <v>28</v>
      </c>
      <c r="U11" s="749" t="e">
        <f t="shared" si="1"/>
        <v>#N/A</v>
      </c>
      <c r="V11" s="748" t="s">
        <v>28</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2"/>
      <c r="M12" s="1243"/>
      <c r="N12" s="1243"/>
      <c r="O12" s="1243"/>
      <c r="P12" s="3070"/>
      <c r="Q12" s="1883">
        <f t="shared" si="6"/>
        <v>111</v>
      </c>
      <c r="R12" s="748" t="s">
        <v>28</v>
      </c>
      <c r="S12" s="749">
        <f t="shared" si="0"/>
        <v>100</v>
      </c>
      <c r="T12" s="748" t="s">
        <v>28</v>
      </c>
      <c r="U12" s="749">
        <f t="shared" si="1"/>
        <v>100</v>
      </c>
      <c r="V12" s="748" t="s">
        <v>28</v>
      </c>
      <c r="W12" s="749">
        <f t="shared" si="2"/>
        <v>100</v>
      </c>
      <c r="X12" s="750"/>
      <c r="Y12" s="2877"/>
      <c r="Z12" s="23">
        <f t="shared" si="7"/>
        <v>111</v>
      </c>
      <c r="AA12" s="751">
        <f>D12/F12</f>
        <v>1</v>
      </c>
      <c r="AB12" s="751">
        <f>D12/H12</f>
        <v>1</v>
      </c>
      <c r="AC12" s="751">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0"/>
      <c r="M13" s="1241"/>
      <c r="N13" s="1241"/>
      <c r="O13" s="1241"/>
      <c r="P13" s="3070"/>
      <c r="Q13" s="1883">
        <f t="shared" si="6"/>
        <v>111</v>
      </c>
      <c r="R13" s="748" t="s">
        <v>28</v>
      </c>
      <c r="S13" s="749">
        <f t="shared" si="0"/>
        <v>100</v>
      </c>
      <c r="T13" s="748" t="s">
        <v>28</v>
      </c>
      <c r="U13" s="749">
        <f t="shared" si="1"/>
        <v>100</v>
      </c>
      <c r="V13" s="748" t="s">
        <v>28</v>
      </c>
      <c r="W13" s="749">
        <f t="shared" si="2"/>
        <v>100</v>
      </c>
      <c r="X13" s="750"/>
      <c r="Y13" s="2877"/>
      <c r="Z13" s="23">
        <f t="shared" si="7"/>
        <v>111</v>
      </c>
      <c r="AA13" s="751">
        <f t="shared" si="3"/>
        <v>1</v>
      </c>
      <c r="AB13" s="751">
        <f t="shared" si="4"/>
        <v>1</v>
      </c>
      <c r="AC13" s="751">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0"/>
      <c r="M14" s="1241"/>
      <c r="N14" s="1241"/>
      <c r="O14" s="1241"/>
      <c r="P14" s="3070"/>
      <c r="Q14" s="1883">
        <f t="shared" si="6"/>
        <v>111</v>
      </c>
      <c r="R14" s="748" t="s">
        <v>28</v>
      </c>
      <c r="S14" s="749">
        <f t="shared" si="0"/>
        <v>100</v>
      </c>
      <c r="T14" s="748" t="s">
        <v>28</v>
      </c>
      <c r="U14" s="749">
        <f t="shared" si="1"/>
        <v>100</v>
      </c>
      <c r="V14" s="748" t="s">
        <v>28</v>
      </c>
      <c r="W14" s="749">
        <f t="shared" si="2"/>
        <v>100</v>
      </c>
      <c r="X14" s="750"/>
      <c r="Y14" s="2877"/>
      <c r="Z14" s="23">
        <f t="shared" si="7"/>
        <v>111</v>
      </c>
      <c r="AA14" s="751">
        <f t="shared" si="3"/>
        <v>1</v>
      </c>
      <c r="AB14" s="751">
        <f t="shared" si="4"/>
        <v>1</v>
      </c>
      <c r="AC14" s="751">
        <f t="shared" si="5"/>
        <v>1</v>
      </c>
    </row>
    <row r="15" spans="1:29" ht="99.75">
      <c r="A15" s="419" t="s">
        <v>2361</v>
      </c>
      <c r="B15" s="26" t="s">
        <v>1736</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71" t="s">
        <v>2362</v>
      </c>
      <c r="Q15" s="1895" t="str">
        <f t="shared" si="6"/>
        <v>居住社区成熟度</v>
      </c>
      <c r="R15" s="752" t="s">
        <v>28</v>
      </c>
      <c r="S15" s="753">
        <f t="shared" si="0"/>
        <v>100</v>
      </c>
      <c r="T15" s="752" t="s">
        <v>28</v>
      </c>
      <c r="U15" s="753">
        <f t="shared" si="1"/>
        <v>100</v>
      </c>
      <c r="V15" s="752" t="s">
        <v>28</v>
      </c>
      <c r="W15" s="753">
        <f t="shared" si="2"/>
        <v>100</v>
      </c>
      <c r="X15" s="1896"/>
      <c r="Y15" s="3029" t="s">
        <v>2362</v>
      </c>
      <c r="Z15" s="1898" t="str">
        <f t="shared" si="7"/>
        <v>居住社区成熟度</v>
      </c>
      <c r="AA15" s="1899">
        <f t="shared" si="3"/>
        <v>1</v>
      </c>
      <c r="AB15" s="1899">
        <f t="shared" si="4"/>
        <v>1</v>
      </c>
      <c r="AC15" s="1899">
        <f t="shared" si="5"/>
        <v>1</v>
      </c>
    </row>
    <row r="16" spans="1:29" ht="15">
      <c r="A16" s="408"/>
      <c r="B16" s="425"/>
      <c r="C16" s="426"/>
      <c r="D16" s="427"/>
      <c r="E16" s="428"/>
      <c r="F16" s="429"/>
      <c r="G16" s="2402"/>
      <c r="H16" s="430"/>
      <c r="I16" s="428"/>
      <c r="J16" s="427"/>
      <c r="K16" s="2403"/>
      <c r="L16" s="1250"/>
      <c r="M16" s="1241"/>
      <c r="N16" s="1241"/>
      <c r="O16" s="1241"/>
      <c r="P16" s="3072"/>
      <c r="Q16" s="1895"/>
      <c r="R16" s="752"/>
      <c r="S16" s="753"/>
      <c r="T16" s="752"/>
      <c r="U16" s="753"/>
      <c r="V16" s="752"/>
      <c r="W16" s="753"/>
      <c r="X16" s="1896"/>
      <c r="Y16" s="3030"/>
      <c r="Z16" s="1898"/>
      <c r="AA16" s="1899">
        <v>1</v>
      </c>
      <c r="AB16" s="1899">
        <v>1</v>
      </c>
      <c r="AC16" s="1899">
        <v>1</v>
      </c>
    </row>
    <row r="17" spans="1:29" ht="85.5">
      <c r="A17" s="408"/>
      <c r="B17" s="431" t="s">
        <v>1748</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72"/>
      <c r="Q17" s="1895" t="str">
        <f>B17</f>
        <v>交通便捷度</v>
      </c>
      <c r="R17" s="752" t="s">
        <v>28</v>
      </c>
      <c r="S17" s="753">
        <f>F17</f>
        <v>100</v>
      </c>
      <c r="T17" s="752" t="s">
        <v>28</v>
      </c>
      <c r="U17" s="753">
        <f>H17</f>
        <v>100</v>
      </c>
      <c r="V17" s="752" t="s">
        <v>28</v>
      </c>
      <c r="W17" s="753">
        <f>J17</f>
        <v>100</v>
      </c>
      <c r="X17" s="1896"/>
      <c r="Y17" s="3030"/>
      <c r="Z17" s="1898" t="str">
        <f>Q17</f>
        <v>交通便捷度</v>
      </c>
      <c r="AA17" s="1899">
        <f t="shared" si="3"/>
        <v>1</v>
      </c>
      <c r="AB17" s="1899">
        <f t="shared" si="4"/>
        <v>1</v>
      </c>
      <c r="AC17" s="1899">
        <f t="shared" si="5"/>
        <v>1</v>
      </c>
    </row>
    <row r="18" spans="1:29" ht="15">
      <c r="A18" s="408"/>
      <c r="B18" s="436"/>
      <c r="C18" s="437"/>
      <c r="D18" s="430"/>
      <c r="E18" s="1465"/>
      <c r="F18" s="433"/>
      <c r="G18" s="2405"/>
      <c r="H18" s="427"/>
      <c r="I18" s="1465"/>
      <c r="J18" s="427"/>
      <c r="K18" s="2403"/>
      <c r="L18" s="1250"/>
      <c r="M18" s="1241"/>
      <c r="N18" s="1241"/>
      <c r="O18" s="1241"/>
      <c r="P18" s="3072"/>
      <c r="Q18" s="1895"/>
      <c r="R18" s="752"/>
      <c r="S18" s="753"/>
      <c r="T18" s="752"/>
      <c r="U18" s="753"/>
      <c r="V18" s="752"/>
      <c r="W18" s="753"/>
      <c r="X18" s="1896"/>
      <c r="Y18" s="3030"/>
      <c r="Z18" s="1898"/>
      <c r="AA18" s="1899">
        <v>1</v>
      </c>
      <c r="AB18" s="1899">
        <v>1</v>
      </c>
      <c r="AC18" s="1899">
        <v>1</v>
      </c>
    </row>
    <row r="19" spans="1:29" ht="42.75">
      <c r="A19" s="408"/>
      <c r="B19" s="431" t="s">
        <v>1746</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72"/>
      <c r="Q19" s="1895" t="str">
        <f>B19</f>
        <v>公共配套设施</v>
      </c>
      <c r="R19" s="752" t="s">
        <v>28</v>
      </c>
      <c r="S19" s="753">
        <f>F19</f>
        <v>100</v>
      </c>
      <c r="T19" s="752" t="s">
        <v>28</v>
      </c>
      <c r="U19" s="753">
        <f>H19</f>
        <v>100</v>
      </c>
      <c r="V19" s="752" t="s">
        <v>28</v>
      </c>
      <c r="W19" s="753">
        <f>J19</f>
        <v>100</v>
      </c>
      <c r="X19" s="1896"/>
      <c r="Y19" s="3030"/>
      <c r="Z19" s="1898" t="str">
        <f>Q19</f>
        <v>公共配套设施</v>
      </c>
      <c r="AA19" s="1899">
        <f t="shared" si="3"/>
        <v>1</v>
      </c>
      <c r="AB19" s="1899">
        <f t="shared" si="4"/>
        <v>1</v>
      </c>
      <c r="AC19" s="1899">
        <f t="shared" si="5"/>
        <v>1</v>
      </c>
    </row>
    <row r="20" spans="1:29" ht="15">
      <c r="A20" s="408"/>
      <c r="B20" s="436"/>
      <c r="C20" s="426"/>
      <c r="D20" s="427"/>
      <c r="E20" s="428"/>
      <c r="F20" s="429"/>
      <c r="G20" s="2402"/>
      <c r="H20" s="427"/>
      <c r="I20" s="428"/>
      <c r="J20" s="427"/>
      <c r="K20" s="2403"/>
      <c r="L20" s="1250"/>
      <c r="M20" s="1241"/>
      <c r="N20" s="1241"/>
      <c r="O20" s="1241"/>
      <c r="P20" s="3072"/>
      <c r="Q20" s="1895"/>
      <c r="R20" s="752"/>
      <c r="S20" s="753"/>
      <c r="T20" s="752"/>
      <c r="U20" s="753"/>
      <c r="V20" s="752"/>
      <c r="W20" s="753"/>
      <c r="X20" s="1896"/>
      <c r="Y20" s="3030"/>
      <c r="Z20" s="1898"/>
      <c r="AA20" s="1899">
        <v>1</v>
      </c>
      <c r="AB20" s="1899">
        <v>1</v>
      </c>
      <c r="AC20" s="1899">
        <v>1</v>
      </c>
    </row>
    <row r="21" spans="1:29" ht="28.5">
      <c r="A21" s="408"/>
      <c r="B21" s="2406" t="s">
        <v>1749</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72"/>
      <c r="Q21" s="1895" t="str">
        <f>B21</f>
        <v>基础设施水平</v>
      </c>
      <c r="R21" s="752" t="s">
        <v>28</v>
      </c>
      <c r="S21" s="753">
        <f>F21</f>
        <v>100</v>
      </c>
      <c r="T21" s="752" t="s">
        <v>28</v>
      </c>
      <c r="U21" s="753">
        <f>H21</f>
        <v>100</v>
      </c>
      <c r="V21" s="752" t="s">
        <v>28</v>
      </c>
      <c r="W21" s="753">
        <f>J21</f>
        <v>100</v>
      </c>
      <c r="X21" s="1896"/>
      <c r="Y21" s="3030"/>
      <c r="Z21" s="1898" t="str">
        <f>Q21</f>
        <v>基础设施水平</v>
      </c>
      <c r="AA21" s="1899">
        <f t="shared" ref="AA21" si="8">D21/F21</f>
        <v>1</v>
      </c>
      <c r="AB21" s="1899">
        <f t="shared" ref="AB21" si="9">D21/H21</f>
        <v>1</v>
      </c>
      <c r="AC21" s="1899">
        <f t="shared" ref="AC21" si="10">D21/J21</f>
        <v>1</v>
      </c>
    </row>
    <row r="22" spans="1:29" ht="15">
      <c r="A22" s="408"/>
      <c r="B22" s="2406"/>
      <c r="C22" s="437"/>
      <c r="D22" s="427"/>
      <c r="E22" s="426"/>
      <c r="F22" s="429"/>
      <c r="G22" s="426"/>
      <c r="H22" s="427"/>
      <c r="I22" s="426"/>
      <c r="J22" s="427"/>
      <c r="K22" s="2407"/>
      <c r="L22" s="1250"/>
      <c r="M22" s="1241"/>
      <c r="N22" s="1241"/>
      <c r="O22" s="1241"/>
      <c r="P22" s="3072"/>
      <c r="Q22" s="1895"/>
      <c r="R22" s="752"/>
      <c r="S22" s="753"/>
      <c r="T22" s="752"/>
      <c r="U22" s="753"/>
      <c r="V22" s="752"/>
      <c r="W22" s="753"/>
      <c r="X22" s="1896"/>
      <c r="Y22" s="3030"/>
      <c r="Z22" s="1898"/>
      <c r="AA22" s="1899">
        <v>1</v>
      </c>
      <c r="AB22" s="1899">
        <v>1</v>
      </c>
      <c r="AC22" s="1899">
        <v>1</v>
      </c>
    </row>
    <row r="23" spans="1:29" ht="57">
      <c r="A23" s="408"/>
      <c r="B23" s="431" t="s">
        <v>1753</v>
      </c>
      <c r="C23" s="240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72"/>
      <c r="Q23" s="1895" t="str">
        <f>B23</f>
        <v>自然及人文环境</v>
      </c>
      <c r="R23" s="752" t="s">
        <v>28</v>
      </c>
      <c r="S23" s="753">
        <f>F23</f>
        <v>100</v>
      </c>
      <c r="T23" s="752" t="s">
        <v>28</v>
      </c>
      <c r="U23" s="753">
        <f>H23</f>
        <v>100</v>
      </c>
      <c r="V23" s="752" t="s">
        <v>28</v>
      </c>
      <c r="W23" s="753">
        <f>J23</f>
        <v>100</v>
      </c>
      <c r="X23" s="1896"/>
      <c r="Y23" s="3030"/>
      <c r="Z23" s="1898" t="str">
        <f>Q23</f>
        <v>自然及人文环境</v>
      </c>
      <c r="AA23" s="1899">
        <f t="shared" si="3"/>
        <v>1</v>
      </c>
      <c r="AB23" s="1899">
        <f t="shared" si="4"/>
        <v>1</v>
      </c>
      <c r="AC23" s="1899">
        <f t="shared" si="5"/>
        <v>1</v>
      </c>
    </row>
    <row r="24" spans="1:29" ht="15">
      <c r="A24" s="408"/>
      <c r="B24" s="436"/>
      <c r="C24" s="426"/>
      <c r="D24" s="427"/>
      <c r="E24" s="428"/>
      <c r="F24" s="429"/>
      <c r="G24" s="2402"/>
      <c r="H24" s="427"/>
      <c r="I24" s="428"/>
      <c r="J24" s="427"/>
      <c r="K24" s="2403"/>
      <c r="L24" s="1250"/>
      <c r="M24" s="1241"/>
      <c r="N24" s="1241"/>
      <c r="O24" s="1241"/>
      <c r="P24" s="3072"/>
      <c r="Q24" s="1895"/>
      <c r="R24" s="752"/>
      <c r="S24" s="753"/>
      <c r="T24" s="752"/>
      <c r="U24" s="753"/>
      <c r="V24" s="752"/>
      <c r="W24" s="753"/>
      <c r="X24" s="1896"/>
      <c r="Y24" s="3030"/>
      <c r="Z24" s="1898"/>
      <c r="AA24" s="1899">
        <v>1</v>
      </c>
      <c r="AB24" s="1899">
        <v>1</v>
      </c>
      <c r="AC24" s="1899">
        <v>1</v>
      </c>
    </row>
    <row r="25" spans="1:29" ht="15">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0"/>
      <c r="M25" s="1241"/>
      <c r="N25" s="1241"/>
      <c r="O25" s="1241"/>
      <c r="P25" s="3072"/>
      <c r="Q25" s="1895" t="str">
        <f t="shared" ref="Q25:Q46" si="11">B25</f>
        <v>楼层-1</v>
      </c>
      <c r="R25" s="752" t="s">
        <v>28</v>
      </c>
      <c r="S25" s="753">
        <f>F25</f>
        <v>100</v>
      </c>
      <c r="T25" s="752" t="s">
        <v>28</v>
      </c>
      <c r="U25" s="753">
        <f>H25</f>
        <v>100</v>
      </c>
      <c r="V25" s="752" t="s">
        <v>28</v>
      </c>
      <c r="W25" s="753">
        <f>J25</f>
        <v>100</v>
      </c>
      <c r="X25" s="1896"/>
      <c r="Y25" s="3030"/>
      <c r="Z25" s="1898" t="str">
        <f>Q25</f>
        <v>楼层-1</v>
      </c>
      <c r="AA25" s="1899">
        <f t="shared" si="3"/>
        <v>1</v>
      </c>
      <c r="AB25" s="1899">
        <f t="shared" si="4"/>
        <v>1</v>
      </c>
      <c r="AC25" s="1899">
        <f t="shared" si="5"/>
        <v>1</v>
      </c>
    </row>
    <row r="26" spans="1:29" ht="15">
      <c r="A26" s="408"/>
      <c r="B26" s="402" t="s">
        <v>2364</v>
      </c>
      <c r="C26" s="441"/>
      <c r="D26" s="415">
        <v>100</v>
      </c>
      <c r="E26" s="2408"/>
      <c r="F26" s="442">
        <f>SUMIF(88:88,E26,89:89)-SUMIF(88:88,C26,89:89)+100</f>
        <v>100</v>
      </c>
      <c r="G26" s="2409"/>
      <c r="H26" s="415">
        <f>SUMIF(88:88,G26,89:89)-SUMIF(88:88,C26,89:89)+100</f>
        <v>100</v>
      </c>
      <c r="I26" s="2408"/>
      <c r="J26" s="415">
        <f>SUMIF(88:88,I26,89:89)-SUMIF(88:88,C26,89:89)+100</f>
        <v>100</v>
      </c>
      <c r="K26" s="406"/>
      <c r="L26" s="1250"/>
      <c r="M26" s="1241"/>
      <c r="N26" s="1241"/>
      <c r="O26" s="1241"/>
      <c r="P26" s="3072"/>
      <c r="Q26" s="1895" t="str">
        <f t="shared" si="11"/>
        <v>朝向</v>
      </c>
      <c r="R26" s="752" t="s">
        <v>28</v>
      </c>
      <c r="S26" s="753">
        <f>F26</f>
        <v>100</v>
      </c>
      <c r="T26" s="752" t="s">
        <v>28</v>
      </c>
      <c r="U26" s="753">
        <f>H26</f>
        <v>100</v>
      </c>
      <c r="V26" s="752" t="s">
        <v>28</v>
      </c>
      <c r="W26" s="753">
        <f>J26</f>
        <v>100</v>
      </c>
      <c r="X26" s="1896"/>
      <c r="Y26" s="3030"/>
      <c r="Z26" s="1898" t="str">
        <f>Q26</f>
        <v>朝向</v>
      </c>
      <c r="AA26" s="1899">
        <f t="shared" si="3"/>
        <v>1</v>
      </c>
      <c r="AB26" s="1899">
        <f t="shared" si="4"/>
        <v>1</v>
      </c>
      <c r="AC26" s="1899">
        <f t="shared" si="5"/>
        <v>1</v>
      </c>
    </row>
    <row r="27" spans="1:29" s="35" customFormat="1" ht="15">
      <c r="A27" s="411"/>
      <c r="B27" s="2397" t="s">
        <v>2365</v>
      </c>
      <c r="C27" s="412"/>
      <c r="D27" s="443">
        <v>100</v>
      </c>
      <c r="E27" s="444"/>
      <c r="F27" s="445">
        <f>SUMIF(90:90,E27,91:91)-SUMIF(90:90,C27,91:91)+100</f>
        <v>100</v>
      </c>
      <c r="G27" s="446"/>
      <c r="H27" s="443">
        <f>SUMIF(90:90,G27,91:91)-SUMIF(90:90,C27,91:91)+100</f>
        <v>100</v>
      </c>
      <c r="I27" s="444"/>
      <c r="J27" s="443">
        <f>SUMIF(90:90,I27,91:91)-SUMIF(90:90,C27,91:91)+100</f>
        <v>100</v>
      </c>
      <c r="K27" s="2398"/>
      <c r="L27" s="1242"/>
      <c r="M27" s="1243"/>
      <c r="N27" s="1243"/>
      <c r="O27" s="1243"/>
      <c r="P27" s="3072"/>
      <c r="Q27" s="1883" t="str">
        <f t="shared" si="11"/>
        <v>道路级别</v>
      </c>
      <c r="R27" s="748" t="s">
        <v>28</v>
      </c>
      <c r="S27" s="749">
        <f>F27</f>
        <v>100</v>
      </c>
      <c r="T27" s="748" t="s">
        <v>28</v>
      </c>
      <c r="U27" s="749">
        <f>H27</f>
        <v>100</v>
      </c>
      <c r="V27" s="748" t="s">
        <v>28</v>
      </c>
      <c r="W27" s="749">
        <f>J27</f>
        <v>100</v>
      </c>
      <c r="X27" s="750"/>
      <c r="Y27" s="3030"/>
      <c r="Z27" s="23" t="str">
        <f>Q27</f>
        <v>道路级别</v>
      </c>
      <c r="AA27" s="1899">
        <f>D27/F27</f>
        <v>1</v>
      </c>
      <c r="AB27" s="1899">
        <f>D27/H27</f>
        <v>1</v>
      </c>
      <c r="AC27" s="1899">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0"/>
      <c r="M28" s="1241"/>
      <c r="N28" s="1241"/>
      <c r="O28" s="1241"/>
      <c r="P28" s="3072"/>
      <c r="Q28" s="1895">
        <f t="shared" si="11"/>
        <v>111</v>
      </c>
      <c r="R28" s="752" t="s">
        <v>28</v>
      </c>
      <c r="S28" s="753">
        <f t="shared" ref="S28:S46" si="12">F28</f>
        <v>100</v>
      </c>
      <c r="T28" s="752" t="s">
        <v>28</v>
      </c>
      <c r="U28" s="753">
        <f t="shared" ref="U28:U46" si="13">H28</f>
        <v>100</v>
      </c>
      <c r="V28" s="752" t="s">
        <v>28</v>
      </c>
      <c r="W28" s="753">
        <f t="shared" ref="W28:W46" si="14">J28</f>
        <v>100</v>
      </c>
      <c r="X28" s="1896"/>
      <c r="Y28" s="3030"/>
      <c r="Z28" s="1898">
        <f t="shared" ref="Z28:Z46" si="15">Q28</f>
        <v>111</v>
      </c>
      <c r="AA28" s="1899">
        <f t="shared" si="3"/>
        <v>1</v>
      </c>
      <c r="AB28" s="1899">
        <f t="shared" si="4"/>
        <v>1</v>
      </c>
      <c r="AC28" s="1899">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0"/>
      <c r="M29" s="1241"/>
      <c r="N29" s="1241"/>
      <c r="O29" s="1241"/>
      <c r="P29" s="3072"/>
      <c r="Q29" s="1895">
        <f t="shared" si="11"/>
        <v>111</v>
      </c>
      <c r="R29" s="752" t="s">
        <v>28</v>
      </c>
      <c r="S29" s="753">
        <f t="shared" si="12"/>
        <v>100</v>
      </c>
      <c r="T29" s="752" t="s">
        <v>28</v>
      </c>
      <c r="U29" s="753">
        <f t="shared" si="13"/>
        <v>100</v>
      </c>
      <c r="V29" s="752" t="s">
        <v>28</v>
      </c>
      <c r="W29" s="753">
        <f t="shared" si="14"/>
        <v>100</v>
      </c>
      <c r="X29" s="1896"/>
      <c r="Y29" s="3030"/>
      <c r="Z29" s="1898">
        <f t="shared" si="15"/>
        <v>111</v>
      </c>
      <c r="AA29" s="1899">
        <f t="shared" si="3"/>
        <v>1</v>
      </c>
      <c r="AB29" s="1899">
        <f t="shared" si="4"/>
        <v>1</v>
      </c>
      <c r="AC29" s="1899">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0"/>
      <c r="M30" s="1241"/>
      <c r="N30" s="1241"/>
      <c r="O30" s="1241"/>
      <c r="P30" s="3072"/>
      <c r="Q30" s="1895">
        <f t="shared" si="11"/>
        <v>111</v>
      </c>
      <c r="R30" s="752" t="s">
        <v>28</v>
      </c>
      <c r="S30" s="753">
        <f t="shared" si="12"/>
        <v>100</v>
      </c>
      <c r="T30" s="752" t="s">
        <v>28</v>
      </c>
      <c r="U30" s="753">
        <f t="shared" si="13"/>
        <v>100</v>
      </c>
      <c r="V30" s="752" t="s">
        <v>28</v>
      </c>
      <c r="W30" s="753">
        <f t="shared" si="14"/>
        <v>100</v>
      </c>
      <c r="X30" s="1896"/>
      <c r="Y30" s="3030"/>
      <c r="Z30" s="1898">
        <f t="shared" si="15"/>
        <v>111</v>
      </c>
      <c r="AA30" s="1899">
        <f t="shared" si="3"/>
        <v>1</v>
      </c>
      <c r="AB30" s="1899">
        <f t="shared" si="4"/>
        <v>1</v>
      </c>
      <c r="AC30" s="1899">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0"/>
      <c r="M31" s="1241"/>
      <c r="N31" s="1241"/>
      <c r="O31" s="1241"/>
      <c r="P31" s="3072"/>
      <c r="Q31" s="1895">
        <f t="shared" si="11"/>
        <v>111</v>
      </c>
      <c r="R31" s="752" t="s">
        <v>28</v>
      </c>
      <c r="S31" s="753">
        <f t="shared" si="12"/>
        <v>100</v>
      </c>
      <c r="T31" s="752" t="s">
        <v>28</v>
      </c>
      <c r="U31" s="753">
        <f t="shared" si="13"/>
        <v>100</v>
      </c>
      <c r="V31" s="752" t="s">
        <v>28</v>
      </c>
      <c r="W31" s="753">
        <f t="shared" si="14"/>
        <v>100</v>
      </c>
      <c r="X31" s="1896"/>
      <c r="Y31" s="3030"/>
      <c r="Z31" s="1898">
        <f t="shared" si="15"/>
        <v>111</v>
      </c>
      <c r="AA31" s="1899">
        <f t="shared" si="3"/>
        <v>1</v>
      </c>
      <c r="AB31" s="1899">
        <f t="shared" si="4"/>
        <v>1</v>
      </c>
      <c r="AC31" s="1899">
        <f t="shared" si="5"/>
        <v>1</v>
      </c>
    </row>
    <row r="32" spans="1:29" ht="15">
      <c r="A32" s="419" t="s">
        <v>2366</v>
      </c>
      <c r="B32" s="28" t="s">
        <v>2367</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0"/>
      <c r="M32" s="1241"/>
      <c r="N32" s="1241"/>
      <c r="O32" s="1241"/>
      <c r="P32" s="3066" t="s">
        <v>2368</v>
      </c>
      <c r="Q32" s="1895" t="str">
        <f t="shared" si="11"/>
        <v>建筑类型</v>
      </c>
      <c r="R32" s="752" t="s">
        <v>28</v>
      </c>
      <c r="S32" s="753">
        <f t="shared" si="12"/>
        <v>100</v>
      </c>
      <c r="T32" s="752" t="s">
        <v>28</v>
      </c>
      <c r="U32" s="753">
        <f t="shared" si="13"/>
        <v>100</v>
      </c>
      <c r="V32" s="752" t="s">
        <v>28</v>
      </c>
      <c r="W32" s="753">
        <f t="shared" si="14"/>
        <v>100</v>
      </c>
      <c r="X32" s="1896"/>
      <c r="Y32" s="3032" t="s">
        <v>2368</v>
      </c>
      <c r="Z32" s="1898" t="str">
        <f t="shared" si="15"/>
        <v>建筑类型</v>
      </c>
      <c r="AA32" s="1899">
        <f t="shared" si="3"/>
        <v>1</v>
      </c>
      <c r="AB32" s="1899">
        <f t="shared" si="4"/>
        <v>1</v>
      </c>
      <c r="AC32" s="1899">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48"/>
      <c r="M33" s="1251"/>
      <c r="N33" s="1251"/>
      <c r="O33" s="1251"/>
      <c r="P33" s="3067"/>
      <c r="Q33" s="754" t="str">
        <f t="shared" si="11"/>
        <v>项目建筑规模</v>
      </c>
      <c r="R33" s="755" t="s">
        <v>28</v>
      </c>
      <c r="S33" s="756" t="e">
        <f t="shared" si="12"/>
        <v>#N/A</v>
      </c>
      <c r="T33" s="755" t="s">
        <v>28</v>
      </c>
      <c r="U33" s="756" t="e">
        <f t="shared" si="13"/>
        <v>#N/A</v>
      </c>
      <c r="V33" s="755" t="s">
        <v>28</v>
      </c>
      <c r="W33" s="756" t="e">
        <f t="shared" si="14"/>
        <v>#N/A</v>
      </c>
      <c r="X33" s="757"/>
      <c r="Y33" s="3032"/>
      <c r="Z33" s="758" t="str">
        <f t="shared" si="15"/>
        <v>项目建筑规模</v>
      </c>
      <c r="AA33" s="1899" t="e">
        <f t="shared" si="3"/>
        <v>#N/A</v>
      </c>
      <c r="AB33" s="1899" t="e">
        <f t="shared" si="4"/>
        <v>#N/A</v>
      </c>
      <c r="AC33" s="1899"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0"/>
      <c r="M34" s="1241"/>
      <c r="N34" s="1241"/>
      <c r="O34" s="1241"/>
      <c r="P34" s="3067"/>
      <c r="Q34" s="1895" t="str">
        <f t="shared" si="11"/>
        <v>建筑结构</v>
      </c>
      <c r="R34" s="752" t="s">
        <v>28</v>
      </c>
      <c r="S34" s="753">
        <f t="shared" si="12"/>
        <v>100</v>
      </c>
      <c r="T34" s="752" t="s">
        <v>28</v>
      </c>
      <c r="U34" s="753">
        <f t="shared" si="13"/>
        <v>100</v>
      </c>
      <c r="V34" s="752" t="s">
        <v>28</v>
      </c>
      <c r="W34" s="753">
        <f t="shared" si="14"/>
        <v>100</v>
      </c>
      <c r="X34" s="1896"/>
      <c r="Y34" s="3032"/>
      <c r="Z34" s="1898" t="str">
        <f t="shared" si="15"/>
        <v>建筑结构</v>
      </c>
      <c r="AA34" s="1899">
        <f t="shared" si="3"/>
        <v>1</v>
      </c>
      <c r="AB34" s="1899">
        <f t="shared" si="4"/>
        <v>1</v>
      </c>
      <c r="AC34" s="1899">
        <f t="shared" si="5"/>
        <v>1</v>
      </c>
    </row>
    <row r="35" spans="1:29" ht="15">
      <c r="A35" s="453"/>
      <c r="B35" s="402" t="s">
        <v>2371</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0"/>
      <c r="M35" s="1241"/>
      <c r="N35" s="1241"/>
      <c r="O35" s="1241"/>
      <c r="P35" s="3067"/>
      <c r="Q35" s="1895" t="str">
        <f t="shared" si="11"/>
        <v>建筑品质</v>
      </c>
      <c r="R35" s="752" t="s">
        <v>28</v>
      </c>
      <c r="S35" s="753">
        <f t="shared" si="12"/>
        <v>100</v>
      </c>
      <c r="T35" s="752" t="s">
        <v>28</v>
      </c>
      <c r="U35" s="753">
        <f t="shared" si="13"/>
        <v>100</v>
      </c>
      <c r="V35" s="752" t="s">
        <v>28</v>
      </c>
      <c r="W35" s="753">
        <f t="shared" si="14"/>
        <v>100</v>
      </c>
      <c r="X35" s="1896"/>
      <c r="Y35" s="3032"/>
      <c r="Z35" s="1898" t="str">
        <f t="shared" si="15"/>
        <v>建筑品质</v>
      </c>
      <c r="AA35" s="1899">
        <f t="shared" si="3"/>
        <v>1</v>
      </c>
      <c r="AB35" s="1899">
        <f t="shared" si="4"/>
        <v>1</v>
      </c>
      <c r="AC35" s="1899">
        <f t="shared" si="5"/>
        <v>1</v>
      </c>
    </row>
    <row r="36" spans="1:29" ht="15">
      <c r="A36" s="453"/>
      <c r="B36" s="402" t="s">
        <v>2372</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0"/>
      <c r="M36" s="1241"/>
      <c r="N36" s="1241"/>
      <c r="O36" s="1241"/>
      <c r="P36" s="3067"/>
      <c r="Q36" s="1895" t="str">
        <f t="shared" si="11"/>
        <v>公共部分装修</v>
      </c>
      <c r="R36" s="752" t="s">
        <v>28</v>
      </c>
      <c r="S36" s="753">
        <f t="shared" si="12"/>
        <v>100</v>
      </c>
      <c r="T36" s="752" t="s">
        <v>28</v>
      </c>
      <c r="U36" s="753">
        <f t="shared" si="13"/>
        <v>100</v>
      </c>
      <c r="V36" s="752" t="s">
        <v>28</v>
      </c>
      <c r="W36" s="753">
        <f t="shared" si="14"/>
        <v>100</v>
      </c>
      <c r="X36" s="1896"/>
      <c r="Y36" s="3032"/>
      <c r="Z36" s="1898" t="str">
        <f t="shared" si="15"/>
        <v>公共部分装修</v>
      </c>
      <c r="AA36" s="1899">
        <f t="shared" si="3"/>
        <v>1</v>
      </c>
      <c r="AB36" s="1899">
        <f t="shared" si="4"/>
        <v>1</v>
      </c>
      <c r="AC36" s="1899">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67"/>
      <c r="Q37" s="1883" t="str">
        <f t="shared" si="11"/>
        <v>成新度</v>
      </c>
      <c r="R37" s="748" t="s">
        <v>28</v>
      </c>
      <c r="S37" s="749" t="e">
        <f t="shared" si="12"/>
        <v>#N/A</v>
      </c>
      <c r="T37" s="748" t="s">
        <v>28</v>
      </c>
      <c r="U37" s="749" t="e">
        <f t="shared" si="13"/>
        <v>#N/A</v>
      </c>
      <c r="V37" s="748" t="s">
        <v>28</v>
      </c>
      <c r="W37" s="749" t="e">
        <f t="shared" si="14"/>
        <v>#N/A</v>
      </c>
      <c r="X37" s="750"/>
      <c r="Y37" s="3032"/>
      <c r="Z37" s="23" t="str">
        <f t="shared" si="15"/>
        <v>成新度</v>
      </c>
      <c r="AA37" s="751" t="e">
        <f t="shared" si="3"/>
        <v>#N/A</v>
      </c>
      <c r="AB37" s="751" t="e">
        <f t="shared" si="4"/>
        <v>#N/A</v>
      </c>
      <c r="AC37" s="751" t="e">
        <f t="shared" si="5"/>
        <v>#N/A</v>
      </c>
    </row>
    <row r="38" spans="1:29" ht="15">
      <c r="A38" s="453"/>
      <c r="B38" s="402" t="s">
        <v>2374</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0"/>
      <c r="M38" s="1241"/>
      <c r="N38" s="1241"/>
      <c r="O38" s="1241"/>
      <c r="P38" s="3067" t="s">
        <v>2368</v>
      </c>
      <c r="Q38" s="1895" t="str">
        <f t="shared" si="11"/>
        <v>物业管理</v>
      </c>
      <c r="R38" s="752" t="s">
        <v>28</v>
      </c>
      <c r="S38" s="753">
        <f t="shared" si="12"/>
        <v>100</v>
      </c>
      <c r="T38" s="752" t="s">
        <v>28</v>
      </c>
      <c r="U38" s="753">
        <f t="shared" si="13"/>
        <v>100</v>
      </c>
      <c r="V38" s="752" t="s">
        <v>28</v>
      </c>
      <c r="W38" s="753">
        <f t="shared" si="14"/>
        <v>100</v>
      </c>
      <c r="X38" s="1896"/>
      <c r="Y38" s="3032" t="s">
        <v>2368</v>
      </c>
      <c r="Z38" s="1898" t="str">
        <f t="shared" si="15"/>
        <v>物业管理</v>
      </c>
      <c r="AA38" s="1899">
        <f t="shared" si="3"/>
        <v>1</v>
      </c>
      <c r="AB38" s="1899">
        <f t="shared" si="4"/>
        <v>1</v>
      </c>
      <c r="AC38" s="1899">
        <f t="shared" si="5"/>
        <v>1</v>
      </c>
    </row>
    <row r="39" spans="1:29" ht="15">
      <c r="A39" s="453"/>
      <c r="B39" s="402" t="s">
        <v>2375</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0"/>
      <c r="M39" s="1241"/>
      <c r="N39" s="1241"/>
      <c r="O39" s="1241"/>
      <c r="P39" s="3067"/>
      <c r="Q39" s="1895" t="str">
        <f t="shared" si="11"/>
        <v>市政基础设施</v>
      </c>
      <c r="R39" s="752" t="s">
        <v>28</v>
      </c>
      <c r="S39" s="753">
        <f t="shared" si="12"/>
        <v>100</v>
      </c>
      <c r="T39" s="752" t="s">
        <v>28</v>
      </c>
      <c r="U39" s="753">
        <f t="shared" si="13"/>
        <v>100</v>
      </c>
      <c r="V39" s="752" t="s">
        <v>28</v>
      </c>
      <c r="W39" s="753">
        <f t="shared" si="14"/>
        <v>100</v>
      </c>
      <c r="X39" s="1896"/>
      <c r="Y39" s="3032"/>
      <c r="Z39" s="1898" t="str">
        <f t="shared" si="15"/>
        <v>市政基础设施</v>
      </c>
      <c r="AA39" s="1899">
        <f t="shared" si="3"/>
        <v>1</v>
      </c>
      <c r="AB39" s="1899">
        <f t="shared" si="4"/>
        <v>1</v>
      </c>
      <c r="AC39" s="1899">
        <f t="shared" si="5"/>
        <v>1</v>
      </c>
    </row>
    <row r="40" spans="1:29" ht="15">
      <c r="A40" s="453"/>
      <c r="B40" s="402" t="s">
        <v>2376</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0"/>
      <c r="M40" s="1241"/>
      <c r="N40" s="1241"/>
      <c r="O40" s="1241"/>
      <c r="P40" s="3067"/>
      <c r="Q40" s="1895" t="str">
        <f t="shared" si="11"/>
        <v>房型</v>
      </c>
      <c r="R40" s="752" t="s">
        <v>28</v>
      </c>
      <c r="S40" s="753">
        <f t="shared" si="12"/>
        <v>100</v>
      </c>
      <c r="T40" s="752" t="s">
        <v>28</v>
      </c>
      <c r="U40" s="753">
        <f t="shared" si="13"/>
        <v>100</v>
      </c>
      <c r="V40" s="752" t="s">
        <v>28</v>
      </c>
      <c r="W40" s="753">
        <f t="shared" si="14"/>
        <v>100</v>
      </c>
      <c r="X40" s="1896"/>
      <c r="Y40" s="3032"/>
      <c r="Z40" s="1898" t="str">
        <f t="shared" si="15"/>
        <v>房型</v>
      </c>
      <c r="AA40" s="1899">
        <f t="shared" si="3"/>
        <v>1</v>
      </c>
      <c r="AB40" s="1899">
        <f t="shared" si="4"/>
        <v>1</v>
      </c>
      <c r="AC40" s="1899">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48"/>
      <c r="M41" s="1251"/>
      <c r="N41" s="1251"/>
      <c r="O41" s="1251"/>
      <c r="P41" s="3067"/>
      <c r="Q41" s="754" t="str">
        <f t="shared" si="11"/>
        <v>单套/主力户型建筑面积</v>
      </c>
      <c r="R41" s="755" t="s">
        <v>28</v>
      </c>
      <c r="S41" s="756">
        <f t="shared" si="12"/>
        <v>100</v>
      </c>
      <c r="T41" s="755" t="s">
        <v>28</v>
      </c>
      <c r="U41" s="756">
        <f t="shared" si="13"/>
        <v>100</v>
      </c>
      <c r="V41" s="755" t="s">
        <v>28</v>
      </c>
      <c r="W41" s="756">
        <f t="shared" si="14"/>
        <v>100</v>
      </c>
      <c r="X41" s="757"/>
      <c r="Y41" s="3032"/>
      <c r="Z41" s="758" t="str">
        <f t="shared" si="15"/>
        <v>单套/主力户型建筑面积</v>
      </c>
      <c r="AA41" s="1899">
        <f t="shared" si="3"/>
        <v>1</v>
      </c>
      <c r="AB41" s="1899">
        <f t="shared" si="4"/>
        <v>1</v>
      </c>
      <c r="AC41" s="1899">
        <f t="shared" si="5"/>
        <v>1</v>
      </c>
    </row>
    <row r="42" spans="1:29" ht="15">
      <c r="A42" s="453"/>
      <c r="B42" s="402" t="s">
        <v>2378</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0"/>
      <c r="M42" s="1241"/>
      <c r="N42" s="1241"/>
      <c r="O42" s="1241"/>
      <c r="P42" s="3067"/>
      <c r="Q42" s="1895" t="str">
        <f t="shared" si="11"/>
        <v>内部装修</v>
      </c>
      <c r="R42" s="752" t="s">
        <v>28</v>
      </c>
      <c r="S42" s="753">
        <f t="shared" si="12"/>
        <v>100</v>
      </c>
      <c r="T42" s="752" t="s">
        <v>28</v>
      </c>
      <c r="U42" s="753">
        <f t="shared" si="13"/>
        <v>100</v>
      </c>
      <c r="V42" s="752" t="s">
        <v>28</v>
      </c>
      <c r="W42" s="753">
        <f t="shared" si="14"/>
        <v>100</v>
      </c>
      <c r="X42" s="1896"/>
      <c r="Y42" s="3032"/>
      <c r="Z42" s="1898" t="str">
        <f t="shared" si="15"/>
        <v>内部装修</v>
      </c>
      <c r="AA42" s="1899">
        <f t="shared" si="3"/>
        <v>1</v>
      </c>
      <c r="AB42" s="1899">
        <f t="shared" si="4"/>
        <v>1</v>
      </c>
      <c r="AC42" s="1899">
        <f t="shared" si="5"/>
        <v>1</v>
      </c>
    </row>
    <row r="43" spans="1:29" ht="15">
      <c r="A43" s="453"/>
      <c r="B43" s="402" t="s">
        <v>2379</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0"/>
      <c r="M43" s="1241"/>
      <c r="N43" s="1241"/>
      <c r="O43" s="1241"/>
      <c r="P43" s="3067"/>
      <c r="Q43" s="1895" t="str">
        <f t="shared" si="11"/>
        <v>内部装修维护情况</v>
      </c>
      <c r="R43" s="752" t="s">
        <v>28</v>
      </c>
      <c r="S43" s="753">
        <f t="shared" si="12"/>
        <v>100</v>
      </c>
      <c r="T43" s="752" t="s">
        <v>28</v>
      </c>
      <c r="U43" s="753">
        <f t="shared" si="13"/>
        <v>100</v>
      </c>
      <c r="V43" s="752" t="s">
        <v>28</v>
      </c>
      <c r="W43" s="753">
        <f t="shared" si="14"/>
        <v>100</v>
      </c>
      <c r="X43" s="1896"/>
      <c r="Y43" s="3032"/>
      <c r="Z43" s="1898" t="str">
        <f t="shared" si="15"/>
        <v>内部装修维护情况</v>
      </c>
      <c r="AA43" s="1899">
        <f t="shared" si="3"/>
        <v>1</v>
      </c>
      <c r="AB43" s="1899">
        <f t="shared" si="4"/>
        <v>1</v>
      </c>
      <c r="AC43" s="1899">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2"/>
      <c r="M44" s="1243"/>
      <c r="N44" s="1243"/>
      <c r="O44" s="1243"/>
      <c r="P44" s="3067"/>
      <c r="Q44" s="1883">
        <f t="shared" si="11"/>
        <v>111</v>
      </c>
      <c r="R44" s="748" t="s">
        <v>28</v>
      </c>
      <c r="S44" s="749">
        <f t="shared" si="12"/>
        <v>100</v>
      </c>
      <c r="T44" s="748" t="s">
        <v>28</v>
      </c>
      <c r="U44" s="749">
        <f t="shared" si="13"/>
        <v>100</v>
      </c>
      <c r="V44" s="748" t="s">
        <v>28</v>
      </c>
      <c r="W44" s="749">
        <f t="shared" si="14"/>
        <v>100</v>
      </c>
      <c r="X44" s="750"/>
      <c r="Y44" s="3032"/>
      <c r="Z44" s="23">
        <f t="shared" si="15"/>
        <v>111</v>
      </c>
      <c r="AA44" s="751">
        <f t="shared" si="3"/>
        <v>1</v>
      </c>
      <c r="AB44" s="751">
        <f t="shared" si="4"/>
        <v>1</v>
      </c>
      <c r="AC44" s="751">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0"/>
      <c r="M45" s="1241"/>
      <c r="N45" s="1241"/>
      <c r="O45" s="1241"/>
      <c r="P45" s="3067"/>
      <c r="Q45" s="1895">
        <f t="shared" si="11"/>
        <v>111</v>
      </c>
      <c r="R45" s="752" t="s">
        <v>28</v>
      </c>
      <c r="S45" s="753">
        <f t="shared" si="12"/>
        <v>100</v>
      </c>
      <c r="T45" s="752" t="s">
        <v>28</v>
      </c>
      <c r="U45" s="753">
        <f t="shared" si="13"/>
        <v>100</v>
      </c>
      <c r="V45" s="752" t="s">
        <v>28</v>
      </c>
      <c r="W45" s="753">
        <f t="shared" si="14"/>
        <v>100</v>
      </c>
      <c r="X45" s="1896"/>
      <c r="Y45" s="3032"/>
      <c r="Z45" s="1898">
        <f t="shared" si="15"/>
        <v>111</v>
      </c>
      <c r="AA45" s="1899">
        <f t="shared" si="3"/>
        <v>1</v>
      </c>
      <c r="AB45" s="1899">
        <f t="shared" si="4"/>
        <v>1</v>
      </c>
      <c r="AC45" s="1899">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0"/>
      <c r="M46" s="1241"/>
      <c r="N46" s="1241"/>
      <c r="O46" s="1241"/>
      <c r="P46" s="3068"/>
      <c r="Q46" s="1895">
        <f t="shared" si="11"/>
        <v>111</v>
      </c>
      <c r="R46" s="752" t="s">
        <v>27</v>
      </c>
      <c r="S46" s="753">
        <f t="shared" si="12"/>
        <v>100</v>
      </c>
      <c r="T46" s="752" t="s">
        <v>27</v>
      </c>
      <c r="U46" s="753">
        <f t="shared" si="13"/>
        <v>100</v>
      </c>
      <c r="V46" s="752" t="s">
        <v>27</v>
      </c>
      <c r="W46" s="753">
        <f t="shared" si="14"/>
        <v>100</v>
      </c>
      <c r="X46" s="1896"/>
      <c r="Y46" s="3069"/>
      <c r="Z46" s="1898">
        <f t="shared" si="15"/>
        <v>111</v>
      </c>
      <c r="AA46" s="1899">
        <f t="shared" si="3"/>
        <v>1</v>
      </c>
      <c r="AB46" s="1899">
        <f t="shared" si="4"/>
        <v>1</v>
      </c>
      <c r="AC46" s="1899">
        <f t="shared" si="5"/>
        <v>1</v>
      </c>
    </row>
    <row r="47" spans="1:29" ht="15">
      <c r="A47" s="460" t="s">
        <v>2380</v>
      </c>
      <c r="B47" s="461"/>
      <c r="C47" s="1499" t="s">
        <v>26</v>
      </c>
      <c r="D47" s="1500"/>
      <c r="E47" s="1501"/>
      <c r="F47" s="1502"/>
      <c r="G47" s="1503"/>
      <c r="H47" s="1504"/>
      <c r="I47" s="1501"/>
      <c r="J47" s="1504"/>
      <c r="K47" s="2415"/>
      <c r="L47" s="1253"/>
      <c r="M47" s="1254"/>
      <c r="N47" s="1241"/>
      <c r="O47" s="1254"/>
      <c r="P47" s="3001" t="str">
        <f>A47</f>
        <v>成交单价（元/平方米）</v>
      </c>
      <c r="Q47" s="3001"/>
      <c r="R47" s="3033">
        <f>E47</f>
        <v>0</v>
      </c>
      <c r="S47" s="3033"/>
      <c r="T47" s="3033">
        <f>G47</f>
        <v>0</v>
      </c>
      <c r="U47" s="3033"/>
      <c r="V47" s="3033">
        <f>I47</f>
        <v>0</v>
      </c>
      <c r="W47" s="3033"/>
      <c r="X47" s="737"/>
      <c r="Y47" s="759"/>
      <c r="Z47" s="737"/>
      <c r="AA47" s="737"/>
      <c r="AB47" s="737"/>
      <c r="AC47" s="737"/>
    </row>
    <row r="48" spans="1:29" ht="15.75" thickBot="1">
      <c r="A48" s="467" t="s">
        <v>2381</v>
      </c>
      <c r="B48" s="468"/>
      <c r="C48" s="1505" t="e">
        <f>R49</f>
        <v>#DIV/0!</v>
      </c>
      <c r="D48" s="1506"/>
      <c r="E48" s="1507" t="e">
        <f>R48</f>
        <v>#DIV/0!</v>
      </c>
      <c r="F48" s="1507"/>
      <c r="G48" s="1505" t="e">
        <f>T48</f>
        <v>#DIV/0!</v>
      </c>
      <c r="H48" s="1506"/>
      <c r="I48" s="1507" t="e">
        <f>V48</f>
        <v>#DIV/0!</v>
      </c>
      <c r="J48" s="1506"/>
      <c r="K48" s="2416"/>
      <c r="L48" s="1253"/>
      <c r="M48" s="1254"/>
      <c r="N48" s="1254"/>
      <c r="O48" s="1254"/>
      <c r="P48" s="3001" t="str">
        <f>A48</f>
        <v>比较价值（元/平方米）</v>
      </c>
      <c r="Q48" s="3001"/>
      <c r="R48" s="3033" t="e">
        <f>IF(E1="售价",ROUND(PRODUCT(R47,AA7:AA46),0),ROUND(PRODUCT(R47,AA7:AA46),1))</f>
        <v>#DIV/0!</v>
      </c>
      <c r="S48" s="3033"/>
      <c r="T48" s="3073" t="e">
        <f>IF(E1="售价",ROUND(PRODUCT(T47,AB7:AB46),0),ROUND(PRODUCT(T47,AB7:AB46),1))</f>
        <v>#DIV/0!</v>
      </c>
      <c r="U48" s="3074"/>
      <c r="V48" s="3033" t="e">
        <f>IF(E1="售价",ROUND(PRODUCT(V47,AC7:AC46),0),ROUND(PRODUCT(V47,AC7:AC46),1))</f>
        <v>#DIV/0!</v>
      </c>
      <c r="W48" s="3033"/>
      <c r="X48" s="737"/>
      <c r="Y48" s="737"/>
      <c r="Z48" s="737"/>
      <c r="AA48" s="737"/>
      <c r="AB48" s="737"/>
      <c r="AC48" s="737"/>
    </row>
    <row r="49" spans="1:29" ht="15.75" thickBot="1">
      <c r="A49" s="473" t="s">
        <v>2382</v>
      </c>
      <c r="B49" s="474"/>
      <c r="C49" s="1508" t="e">
        <f>R49</f>
        <v>#DIV/0!</v>
      </c>
      <c r="D49" s="1509"/>
      <c r="E49" s="1509"/>
      <c r="F49" s="1509"/>
      <c r="G49" s="1509"/>
      <c r="H49" s="1509"/>
      <c r="I49" s="1509"/>
      <c r="J49" s="1509"/>
      <c r="K49" s="2417"/>
      <c r="L49" s="1253"/>
      <c r="M49" s="1254"/>
      <c r="N49" s="1254"/>
      <c r="O49" s="1254"/>
      <c r="P49" s="3034" t="str">
        <f>A49</f>
        <v>估价对象XX用房的比较价值（楼面单价，元/平方米）</v>
      </c>
      <c r="Q49" s="3035"/>
      <c r="R49" s="3036" t="e">
        <f>IF(E1="售价",ROUND(AVERAGE(R48:V48),0),ROUND(AVERAGE(R48:V48),1))</f>
        <v>#DIV/0!</v>
      </c>
      <c r="S49" s="3036"/>
      <c r="T49" s="3036"/>
      <c r="U49" s="3036"/>
      <c r="V49" s="3036"/>
      <c r="W49" s="3036"/>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9"/>
    </row>
    <row r="55" spans="1:29" s="483" customFormat="1">
      <c r="A55" s="1256"/>
      <c r="B55" s="1257"/>
      <c r="C55" s="1262"/>
      <c r="D55" s="1256"/>
      <c r="E55" s="1256"/>
      <c r="F55" s="1256"/>
      <c r="G55" s="1256"/>
      <c r="H55" s="1256"/>
      <c r="I55" s="1256"/>
      <c r="J55" s="1256"/>
      <c r="K55" s="1260"/>
      <c r="L55" s="1261"/>
      <c r="M55" s="1256"/>
      <c r="N55" s="1256"/>
      <c r="O55" s="1256"/>
      <c r="P55" s="2419"/>
    </row>
    <row r="56" spans="1:29">
      <c r="A56" s="1254"/>
      <c r="B56" s="1257"/>
      <c r="C56" s="1262"/>
      <c r="D56" s="1254"/>
      <c r="E56" s="1254"/>
      <c r="F56" s="1254"/>
      <c r="G56" s="1254"/>
      <c r="H56" s="1254"/>
      <c r="I56" s="1254"/>
      <c r="J56" s="1254"/>
      <c r="K56" s="1259"/>
      <c r="L56" s="1255"/>
      <c r="M56" s="1254"/>
      <c r="N56" s="1254"/>
      <c r="O56" s="1254"/>
    </row>
    <row r="57" spans="1:29" ht="21.75" thickBot="1">
      <c r="A57" s="741" t="s">
        <v>2386</v>
      </c>
      <c r="B57" s="737"/>
      <c r="C57" s="742"/>
      <c r="D57" s="742"/>
      <c r="E57" s="742"/>
      <c r="F57" s="743"/>
      <c r="G57" s="743"/>
      <c r="H57" s="742"/>
      <c r="I57" s="742"/>
      <c r="J57" s="742"/>
      <c r="K57" s="744"/>
      <c r="L57" s="745"/>
      <c r="M57" s="742"/>
      <c r="N57" s="742"/>
      <c r="O57" s="742"/>
      <c r="P57" s="2420"/>
      <c r="Q57" s="485"/>
    </row>
    <row r="58" spans="1:29" s="489" customFormat="1" ht="15">
      <c r="A58" s="486" t="s">
        <v>2387</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2389</v>
      </c>
      <c r="B61" s="491"/>
      <c r="C61" s="503" t="s">
        <v>2390</v>
      </c>
      <c r="D61" s="504"/>
      <c r="E61" s="504"/>
      <c r="F61" s="504"/>
      <c r="G61" s="504"/>
      <c r="H61" s="504"/>
      <c r="I61" s="504"/>
      <c r="J61" s="504"/>
      <c r="K61" s="504"/>
      <c r="L61" s="505"/>
      <c r="M61" s="506"/>
      <c r="N61" s="1263"/>
      <c r="O61" s="1263"/>
      <c r="P61" s="2423"/>
      <c r="Q61" s="485"/>
    </row>
    <row r="62" spans="1:29" s="35" customFormat="1" ht="15.75" thickBot="1">
      <c r="A62" s="502"/>
      <c r="B62" s="491"/>
      <c r="C62" s="492">
        <v>100</v>
      </c>
      <c r="D62" s="493"/>
      <c r="E62" s="493"/>
      <c r="F62" s="493"/>
      <c r="G62" s="493"/>
      <c r="H62" s="493"/>
      <c r="I62" s="493"/>
      <c r="J62" s="493"/>
      <c r="K62" s="493"/>
      <c r="L62" s="493"/>
      <c r="M62" s="495"/>
      <c r="N62" s="1263"/>
      <c r="O62" s="1263"/>
      <c r="P62" s="2422"/>
      <c r="Q62" s="485"/>
    </row>
    <row r="63" spans="1:29">
      <c r="A63" s="508" t="s">
        <v>2391</v>
      </c>
      <c r="B63" s="509" t="s">
        <v>2356</v>
      </c>
      <c r="C63" s="510">
        <f>C9</f>
        <v>0</v>
      </c>
      <c r="D63" s="511"/>
      <c r="E63" s="511"/>
      <c r="F63" s="511"/>
      <c r="G63" s="511"/>
      <c r="H63" s="511"/>
      <c r="I63" s="511"/>
      <c r="J63" s="511"/>
      <c r="K63" s="512"/>
      <c r="L63" s="513"/>
      <c r="M63" s="514"/>
      <c r="N63" s="1264"/>
      <c r="O63" s="1264"/>
      <c r="P63" s="2424"/>
      <c r="Q63" s="485"/>
    </row>
    <row r="64" spans="1:29" ht="15.75" thickBot="1">
      <c r="A64" s="516"/>
      <c r="B64" s="517"/>
      <c r="C64" s="518">
        <v>100</v>
      </c>
      <c r="D64" s="518"/>
      <c r="E64" s="518"/>
      <c r="F64" s="518"/>
      <c r="G64" s="518"/>
      <c r="H64" s="518"/>
      <c r="I64" s="518"/>
      <c r="J64" s="518"/>
      <c r="K64" s="518"/>
      <c r="L64" s="518"/>
      <c r="M64" s="519"/>
      <c r="N64" s="1265"/>
      <c r="O64" s="1265"/>
      <c r="P64" s="2424"/>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4"/>
      <c r="O65" s="1264"/>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4"/>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4"/>
      <c r="Q67" s="485"/>
    </row>
    <row r="68" spans="1:17" ht="15">
      <c r="A68" s="516"/>
      <c r="B68" s="531"/>
      <c r="C68" s="532"/>
      <c r="D68" s="532"/>
      <c r="E68" s="532"/>
      <c r="F68" s="532"/>
      <c r="G68" s="532"/>
      <c r="H68" s="532"/>
      <c r="I68" s="532"/>
      <c r="J68" s="532"/>
      <c r="K68" s="533"/>
      <c r="L68" s="534"/>
      <c r="M68" s="535"/>
      <c r="N68" s="1264"/>
      <c r="O68" s="1264"/>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4"/>
      <c r="Q69" s="485"/>
    </row>
    <row r="70" spans="1:17" s="452" customFormat="1" ht="15.75" thickTop="1">
      <c r="A70" s="536"/>
      <c r="B70" s="521">
        <f>B12</f>
        <v>111</v>
      </c>
      <c r="C70" s="537"/>
      <c r="D70" s="537"/>
      <c r="E70" s="537"/>
      <c r="F70" s="537"/>
      <c r="G70" s="537"/>
      <c r="H70" s="538"/>
      <c r="I70" s="538"/>
      <c r="J70" s="538"/>
      <c r="K70" s="538"/>
      <c r="L70" s="539"/>
      <c r="M70" s="540"/>
      <c r="N70" s="1266"/>
      <c r="O70" s="1266"/>
      <c r="P70" s="2425"/>
      <c r="Q70" s="543"/>
    </row>
    <row r="71" spans="1:17" s="452" customFormat="1" ht="15.75" thickBot="1">
      <c r="A71" s="536"/>
      <c r="B71" s="526"/>
      <c r="C71" s="544"/>
      <c r="D71" s="518"/>
      <c r="E71" s="518"/>
      <c r="F71" s="518"/>
      <c r="G71" s="518"/>
      <c r="H71" s="518"/>
      <c r="I71" s="518"/>
      <c r="J71" s="518"/>
      <c r="K71" s="518"/>
      <c r="L71" s="518"/>
      <c r="M71" s="519"/>
      <c r="N71" s="1265"/>
      <c r="O71" s="1265"/>
      <c r="P71" s="2425"/>
      <c r="Q71" s="543"/>
    </row>
    <row r="72" spans="1:17" s="452" customFormat="1" ht="15.75" thickTop="1">
      <c r="A72" s="536"/>
      <c r="B72" s="521">
        <f>B13</f>
        <v>111</v>
      </c>
      <c r="C72" s="537"/>
      <c r="D72" s="537"/>
      <c r="E72" s="537"/>
      <c r="F72" s="537"/>
      <c r="G72" s="537"/>
      <c r="H72" s="538"/>
      <c r="I72" s="538"/>
      <c r="J72" s="538"/>
      <c r="K72" s="538"/>
      <c r="L72" s="539"/>
      <c r="M72" s="540"/>
      <c r="N72" s="1266"/>
      <c r="O72" s="1266"/>
      <c r="P72" s="2426"/>
      <c r="Q72" s="545"/>
    </row>
    <row r="73" spans="1:17" s="452" customFormat="1" ht="15.75" thickBot="1">
      <c r="A73" s="536"/>
      <c r="B73" s="526"/>
      <c r="C73" s="544"/>
      <c r="D73" s="544"/>
      <c r="E73" s="544"/>
      <c r="F73" s="544"/>
      <c r="G73" s="544"/>
      <c r="H73" s="546"/>
      <c r="I73" s="546"/>
      <c r="J73" s="546"/>
      <c r="K73" s="546"/>
      <c r="L73" s="546"/>
      <c r="M73" s="547"/>
      <c r="N73" s="1266"/>
      <c r="O73" s="1266"/>
      <c r="P73" s="2425"/>
      <c r="Q73" s="543"/>
    </row>
    <row r="74" spans="1:17" s="452" customFormat="1" ht="15.75" thickTop="1">
      <c r="A74" s="536"/>
      <c r="B74" s="529">
        <f>B14</f>
        <v>111</v>
      </c>
      <c r="C74" s="537"/>
      <c r="D74" s="537"/>
      <c r="E74" s="537"/>
      <c r="F74" s="537"/>
      <c r="G74" s="504"/>
      <c r="H74" s="548"/>
      <c r="I74" s="548"/>
      <c r="J74" s="548"/>
      <c r="K74" s="548"/>
      <c r="L74" s="549"/>
      <c r="M74" s="550"/>
      <c r="N74" s="1266"/>
      <c r="O74" s="1266"/>
      <c r="P74" s="2427"/>
      <c r="Q74" s="543"/>
    </row>
    <row r="75" spans="1:17" s="452" customFormat="1" ht="15.75" thickBot="1">
      <c r="A75" s="552"/>
      <c r="B75" s="553"/>
      <c r="C75" s="554"/>
      <c r="D75" s="554"/>
      <c r="E75" s="554"/>
      <c r="F75" s="554"/>
      <c r="G75" s="554"/>
      <c r="H75" s="555"/>
      <c r="I75" s="555"/>
      <c r="J75" s="555"/>
      <c r="K75" s="555"/>
      <c r="L75" s="555"/>
      <c r="M75" s="556"/>
      <c r="N75" s="1266"/>
      <c r="O75" s="1266"/>
      <c r="P75" s="2425"/>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4"/>
      <c r="O76" s="1264"/>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4"/>
      <c r="O78" s="1264"/>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4"/>
      <c r="O80" s="1264"/>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4"/>
      <c r="Q81" s="485"/>
    </row>
    <row r="82" spans="1:17" ht="15.75" thickTop="1">
      <c r="A82" s="516"/>
      <c r="B82" s="529" t="s">
        <v>1749</v>
      </c>
      <c r="C82" s="522" t="s">
        <v>2407</v>
      </c>
      <c r="D82" s="522" t="s">
        <v>2408</v>
      </c>
      <c r="E82" s="522" t="s">
        <v>2409</v>
      </c>
      <c r="F82" s="522" t="s">
        <v>2410</v>
      </c>
      <c r="G82" s="522" t="s">
        <v>2411</v>
      </c>
      <c r="H82" s="522"/>
      <c r="I82" s="522"/>
      <c r="J82" s="522"/>
      <c r="K82" s="522"/>
      <c r="L82" s="522"/>
      <c r="M82" s="1464"/>
      <c r="N82" s="1265"/>
      <c r="O82" s="1265"/>
      <c r="P82" s="2424"/>
      <c r="Q82" s="485"/>
    </row>
    <row r="83" spans="1:17" ht="15.75" thickBot="1">
      <c r="A83" s="516"/>
      <c r="B83" s="529"/>
      <c r="C83" s="527">
        <v>100</v>
      </c>
      <c r="D83" s="527">
        <f>C83-$K21</f>
        <v>100</v>
      </c>
      <c r="E83" s="527">
        <f>D83-$K21</f>
        <v>100</v>
      </c>
      <c r="F83" s="527">
        <f>E83-$K21</f>
        <v>100</v>
      </c>
      <c r="G83" s="527">
        <f>F83-$K21</f>
        <v>100</v>
      </c>
      <c r="H83" s="642"/>
      <c r="I83" s="642"/>
      <c r="J83" s="642"/>
      <c r="K83" s="642"/>
      <c r="L83" s="642"/>
      <c r="M83" s="430"/>
      <c r="N83" s="1265"/>
      <c r="O83" s="1265"/>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4"/>
      <c r="O84" s="1264"/>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4"/>
      <c r="Q85" s="485"/>
    </row>
    <row r="86" spans="1:17" s="35" customFormat="1" ht="15.75" thickTop="1">
      <c r="A86" s="563"/>
      <c r="B86" s="521" t="s">
        <v>2413</v>
      </c>
      <c r="C86" s="537"/>
      <c r="D86" s="537"/>
      <c r="E86" s="537"/>
      <c r="F86" s="537"/>
      <c r="G86" s="537"/>
      <c r="H86" s="537"/>
      <c r="I86" s="537"/>
      <c r="J86" s="537"/>
      <c r="K86" s="537"/>
      <c r="L86" s="564"/>
      <c r="M86" s="565"/>
      <c r="N86" s="1263"/>
      <c r="O86" s="1263"/>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4"/>
      <c r="Q87" s="485"/>
    </row>
    <row r="88" spans="1:17" s="35" customFormat="1" ht="15.75" thickTop="1">
      <c r="A88" s="563"/>
      <c r="B88" s="521" t="s">
        <v>2414</v>
      </c>
      <c r="C88" s="537"/>
      <c r="D88" s="537"/>
      <c r="E88" s="537"/>
      <c r="F88" s="2429"/>
      <c r="G88" s="537"/>
      <c r="H88" s="537"/>
      <c r="I88" s="537"/>
      <c r="J88" s="537"/>
      <c r="K88" s="537"/>
      <c r="L88" s="537"/>
      <c r="M88" s="565"/>
      <c r="N88" s="1263"/>
      <c r="O88" s="1263"/>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4"/>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5"/>
      <c r="Q90" s="543"/>
    </row>
    <row r="91" spans="1:17" s="452" customFormat="1" ht="15.75" thickBot="1">
      <c r="A91" s="536"/>
      <c r="B91" s="526"/>
      <c r="C91" s="544"/>
      <c r="D91" s="544"/>
      <c r="E91" s="544"/>
      <c r="F91" s="544"/>
      <c r="G91" s="544"/>
      <c r="H91" s="546"/>
      <c r="I91" s="546"/>
      <c r="J91" s="546"/>
      <c r="K91" s="546"/>
      <c r="L91" s="546"/>
      <c r="M91" s="547"/>
      <c r="N91" s="1266"/>
      <c r="O91" s="1266"/>
      <c r="P91" s="2425"/>
      <c r="Q91" s="543"/>
    </row>
    <row r="92" spans="1:17" ht="15.75" thickTop="1">
      <c r="A92" s="516"/>
      <c r="B92" s="521">
        <f>B28</f>
        <v>111</v>
      </c>
      <c r="C92" s="537"/>
      <c r="D92" s="537"/>
      <c r="E92" s="537"/>
      <c r="F92" s="537"/>
      <c r="G92" s="567"/>
      <c r="H92" s="567"/>
      <c r="I92" s="567"/>
      <c r="J92" s="567"/>
      <c r="K92" s="568"/>
      <c r="L92" s="569"/>
      <c r="M92" s="570"/>
      <c r="N92" s="1264"/>
      <c r="O92" s="1264"/>
      <c r="P92" s="2424"/>
      <c r="Q92" s="485"/>
    </row>
    <row r="93" spans="1:17" ht="15.75" thickBot="1">
      <c r="A93" s="516"/>
      <c r="B93" s="526"/>
      <c r="C93" s="544"/>
      <c r="D93" s="518"/>
      <c r="E93" s="518"/>
      <c r="F93" s="518"/>
      <c r="G93" s="518"/>
      <c r="H93" s="518"/>
      <c r="I93" s="518"/>
      <c r="J93" s="518"/>
      <c r="K93" s="518"/>
      <c r="L93" s="518"/>
      <c r="M93" s="519"/>
      <c r="N93" s="1265"/>
      <c r="O93" s="1265"/>
      <c r="P93" s="2424"/>
      <c r="Q93" s="485"/>
    </row>
    <row r="94" spans="1:17" ht="15.75" thickTop="1">
      <c r="A94" s="516"/>
      <c r="B94" s="521">
        <f>B29</f>
        <v>111</v>
      </c>
      <c r="C94" s="537"/>
      <c r="D94" s="537"/>
      <c r="E94" s="537"/>
      <c r="F94" s="537"/>
      <c r="G94" s="567"/>
      <c r="H94" s="567"/>
      <c r="I94" s="567"/>
      <c r="J94" s="567"/>
      <c r="K94" s="568"/>
      <c r="L94" s="569"/>
      <c r="M94" s="570"/>
      <c r="N94" s="1264"/>
      <c r="O94" s="1264"/>
      <c r="P94" s="2424"/>
      <c r="Q94" s="485"/>
    </row>
    <row r="95" spans="1:17" ht="15.75" thickBot="1">
      <c r="A95" s="516"/>
      <c r="B95" s="526"/>
      <c r="C95" s="544"/>
      <c r="D95" s="544"/>
      <c r="E95" s="544"/>
      <c r="F95" s="544"/>
      <c r="G95" s="518"/>
      <c r="H95" s="518"/>
      <c r="I95" s="518"/>
      <c r="J95" s="518"/>
      <c r="K95" s="518"/>
      <c r="L95" s="518"/>
      <c r="M95" s="519"/>
      <c r="N95" s="1265"/>
      <c r="O95" s="1265"/>
      <c r="P95" s="2424"/>
      <c r="Q95" s="485"/>
    </row>
    <row r="96" spans="1:17" ht="15.75" thickTop="1">
      <c r="A96" s="516"/>
      <c r="B96" s="521">
        <f>B30</f>
        <v>111</v>
      </c>
      <c r="C96" s="537"/>
      <c r="D96" s="537"/>
      <c r="E96" s="537"/>
      <c r="F96" s="537"/>
      <c r="G96" s="567"/>
      <c r="H96" s="567"/>
      <c r="I96" s="567"/>
      <c r="J96" s="567"/>
      <c r="K96" s="568"/>
      <c r="L96" s="569"/>
      <c r="M96" s="570"/>
      <c r="N96" s="1264"/>
      <c r="O96" s="1264"/>
      <c r="P96" s="2424"/>
      <c r="Q96" s="485"/>
    </row>
    <row r="97" spans="1:17" ht="15.75" thickBot="1">
      <c r="A97" s="516"/>
      <c r="B97" s="526"/>
      <c r="C97" s="554"/>
      <c r="D97" s="554"/>
      <c r="E97" s="554"/>
      <c r="F97" s="554"/>
      <c r="G97" s="518"/>
      <c r="H97" s="518"/>
      <c r="I97" s="518"/>
      <c r="J97" s="518"/>
      <c r="K97" s="518"/>
      <c r="L97" s="518"/>
      <c r="M97" s="519"/>
      <c r="N97" s="1265"/>
      <c r="O97" s="1265"/>
      <c r="P97" s="2424"/>
      <c r="Q97" s="485"/>
    </row>
    <row r="98" spans="1:17" ht="15.75" thickTop="1">
      <c r="A98" s="516"/>
      <c r="B98" s="529">
        <f>B31</f>
        <v>111</v>
      </c>
      <c r="C98" s="571"/>
      <c r="D98" s="571"/>
      <c r="E98" s="571"/>
      <c r="F98" s="571"/>
      <c r="G98" s="571"/>
      <c r="H98" s="571"/>
      <c r="I98" s="571"/>
      <c r="J98" s="571"/>
      <c r="K98" s="572"/>
      <c r="L98" s="573"/>
      <c r="M98" s="574"/>
      <c r="N98" s="1264"/>
      <c r="O98" s="1264"/>
      <c r="P98" s="2424"/>
      <c r="Q98" s="485"/>
    </row>
    <row r="99" spans="1:17" ht="15.75" thickBot="1">
      <c r="A99" s="2430"/>
      <c r="B99" s="553"/>
      <c r="C99" s="575"/>
      <c r="D99" s="575"/>
      <c r="E99" s="575"/>
      <c r="F99" s="575"/>
      <c r="G99" s="575"/>
      <c r="H99" s="575"/>
      <c r="I99" s="575"/>
      <c r="J99" s="575"/>
      <c r="K99" s="575"/>
      <c r="L99" s="575"/>
      <c r="M99" s="576"/>
      <c r="N99" s="1265"/>
      <c r="O99" s="1265"/>
      <c r="P99" s="2424"/>
      <c r="Q99" s="485"/>
    </row>
    <row r="100" spans="1:17">
      <c r="A100" s="508" t="s">
        <v>2366</v>
      </c>
      <c r="B100" s="509" t="s">
        <v>2415</v>
      </c>
      <c r="C100" s="511"/>
      <c r="D100" s="511"/>
      <c r="E100" s="511"/>
      <c r="F100" s="511"/>
      <c r="G100" s="511"/>
      <c r="H100" s="511"/>
      <c r="I100" s="511"/>
      <c r="J100" s="511"/>
      <c r="K100" s="512"/>
      <c r="L100" s="513"/>
      <c r="M100" s="514"/>
      <c r="N100" s="1264"/>
      <c r="O100" s="1264"/>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4"/>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4"/>
      <c r="Q102" s="485"/>
    </row>
    <row r="103" spans="1:17" s="452" customFormat="1">
      <c r="A103" s="577"/>
      <c r="B103" s="578"/>
      <c r="C103" s="579"/>
      <c r="D103" s="579"/>
      <c r="E103" s="579"/>
      <c r="F103" s="579"/>
      <c r="G103" s="579"/>
      <c r="H103" s="579"/>
      <c r="I103" s="579"/>
      <c r="J103" s="580"/>
      <c r="K103" s="580"/>
      <c r="L103" s="581"/>
      <c r="M103" s="582"/>
      <c r="N103" s="1266"/>
      <c r="O103" s="1266"/>
      <c r="P103" s="2425"/>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5"/>
      <c r="Q104" s="543"/>
    </row>
    <row r="105" spans="1:17" ht="15" thickTop="1">
      <c r="A105" s="583"/>
      <c r="B105" s="521" t="s">
        <v>2417</v>
      </c>
      <c r="C105" s="537"/>
      <c r="D105" s="537"/>
      <c r="E105" s="567"/>
      <c r="F105" s="567"/>
      <c r="G105" s="567"/>
      <c r="H105" s="567"/>
      <c r="I105" s="567"/>
      <c r="J105" s="567"/>
      <c r="K105" s="568"/>
      <c r="L105" s="569"/>
      <c r="M105" s="570"/>
      <c r="N105" s="1264"/>
      <c r="O105" s="1264"/>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4"/>
      <c r="Q106" s="485"/>
    </row>
    <row r="107" spans="1:17" ht="15" thickTop="1">
      <c r="A107" s="583"/>
      <c r="B107" s="521" t="s">
        <v>2418</v>
      </c>
      <c r="C107" s="567"/>
      <c r="D107" s="567"/>
      <c r="E107" s="567"/>
      <c r="F107" s="567"/>
      <c r="G107" s="567"/>
      <c r="H107" s="567"/>
      <c r="I107" s="567"/>
      <c r="J107" s="567"/>
      <c r="K107" s="568"/>
      <c r="L107" s="569"/>
      <c r="M107" s="570"/>
      <c r="N107" s="1264"/>
      <c r="O107" s="1264"/>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4"/>
      <c r="Q108" s="485"/>
    </row>
    <row r="109" spans="1:17" ht="15" thickTop="1">
      <c r="A109" s="583"/>
      <c r="B109" s="521" t="s">
        <v>2419</v>
      </c>
      <c r="C109" s="537"/>
      <c r="D109" s="537"/>
      <c r="E109" s="537"/>
      <c r="F109" s="567"/>
      <c r="G109" s="567"/>
      <c r="H109" s="567"/>
      <c r="I109" s="567"/>
      <c r="J109" s="567"/>
      <c r="K109" s="568"/>
      <c r="L109" s="569"/>
      <c r="M109" s="570"/>
      <c r="N109" s="1264"/>
      <c r="O109" s="1264"/>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4"/>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5"/>
      <c r="Q113" s="543"/>
    </row>
    <row r="114" spans="1:17" ht="15" thickTop="1">
      <c r="A114" s="583"/>
      <c r="B114" s="521" t="s">
        <v>2421</v>
      </c>
      <c r="C114" s="537"/>
      <c r="D114" s="537"/>
      <c r="E114" s="567"/>
      <c r="F114" s="567"/>
      <c r="G114" s="567"/>
      <c r="H114" s="567"/>
      <c r="I114" s="567"/>
      <c r="J114" s="567"/>
      <c r="K114" s="568"/>
      <c r="L114" s="569"/>
      <c r="M114" s="570"/>
      <c r="N114" s="1264"/>
      <c r="O114" s="1264"/>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4"/>
      <c r="Q115" s="485"/>
    </row>
    <row r="116" spans="1:17" ht="15" thickTop="1">
      <c r="A116" s="583"/>
      <c r="B116" s="521" t="s">
        <v>2422</v>
      </c>
      <c r="C116" s="537"/>
      <c r="D116" s="537"/>
      <c r="E116" s="537"/>
      <c r="F116" s="537"/>
      <c r="G116" s="537"/>
      <c r="H116" s="567"/>
      <c r="I116" s="567"/>
      <c r="J116" s="567"/>
      <c r="K116" s="568"/>
      <c r="L116" s="569"/>
      <c r="M116" s="570"/>
      <c r="N116" s="1264"/>
      <c r="O116" s="1264"/>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4"/>
      <c r="Q117" s="485"/>
    </row>
    <row r="118" spans="1:17" ht="15" thickTop="1">
      <c r="A118" s="583"/>
      <c r="B118" s="521" t="s">
        <v>2423</v>
      </c>
      <c r="C118" s="567"/>
      <c r="D118" s="567"/>
      <c r="E118" s="567"/>
      <c r="F118" s="567"/>
      <c r="G118" s="567"/>
      <c r="H118" s="567"/>
      <c r="I118" s="567"/>
      <c r="J118" s="567"/>
      <c r="K118" s="568"/>
      <c r="L118" s="569"/>
      <c r="M118" s="570"/>
      <c r="N118" s="1264"/>
      <c r="O118" s="1264"/>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4"/>
      <c r="Q119" s="485"/>
    </row>
    <row r="120" spans="1:17" s="452" customFormat="1" ht="28.5" thickTop="1">
      <c r="A120" s="577"/>
      <c r="B120" s="521" t="s">
        <v>2377</v>
      </c>
      <c r="C120" s="537"/>
      <c r="D120" s="537"/>
      <c r="E120" s="537"/>
      <c r="F120" s="537"/>
      <c r="G120" s="537"/>
      <c r="H120" s="537"/>
      <c r="I120" s="537"/>
      <c r="J120" s="537"/>
      <c r="K120" s="537"/>
      <c r="L120" s="564"/>
      <c r="M120" s="565"/>
      <c r="N120" s="1266"/>
      <c r="O120" s="1266"/>
      <c r="P120" s="2425"/>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5"/>
      <c r="Q121" s="543"/>
    </row>
    <row r="122" spans="1:17" ht="15" thickTop="1">
      <c r="A122" s="583"/>
      <c r="B122" s="521" t="s">
        <v>2424</v>
      </c>
      <c r="C122" s="537"/>
      <c r="D122" s="537"/>
      <c r="E122" s="537"/>
      <c r="F122" s="567"/>
      <c r="G122" s="567"/>
      <c r="H122" s="567"/>
      <c r="I122" s="567"/>
      <c r="J122" s="567"/>
      <c r="K122" s="568"/>
      <c r="L122" s="569"/>
      <c r="M122" s="570"/>
      <c r="N122" s="1264"/>
      <c r="O122" s="1264"/>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4"/>
      <c r="O124" s="1264"/>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4"/>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5"/>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5"/>
      <c r="Q127" s="543"/>
    </row>
    <row r="128" spans="1:17" ht="15" thickTop="1">
      <c r="A128" s="583"/>
      <c r="B128" s="521">
        <f>B45</f>
        <v>111</v>
      </c>
      <c r="C128" s="537"/>
      <c r="D128" s="537"/>
      <c r="E128" s="537"/>
      <c r="F128" s="537"/>
      <c r="G128" s="567"/>
      <c r="H128" s="567"/>
      <c r="I128" s="567"/>
      <c r="J128" s="567"/>
      <c r="K128" s="568"/>
      <c r="L128" s="569"/>
      <c r="M128" s="570"/>
      <c r="N128" s="1264"/>
      <c r="O128" s="1264"/>
      <c r="P128" s="2424"/>
      <c r="Q128" s="485"/>
    </row>
    <row r="129" spans="1:17" ht="15.75" thickBot="1">
      <c r="A129" s="516"/>
      <c r="B129" s="526"/>
      <c r="C129" s="544"/>
      <c r="D129" s="544"/>
      <c r="E129" s="544"/>
      <c r="F129" s="544"/>
      <c r="G129" s="518"/>
      <c r="H129" s="518"/>
      <c r="I129" s="518"/>
      <c r="J129" s="518"/>
      <c r="K129" s="518"/>
      <c r="L129" s="518"/>
      <c r="M129" s="519"/>
      <c r="N129" s="1265"/>
      <c r="O129" s="1265"/>
      <c r="P129" s="2424"/>
      <c r="Q129" s="485"/>
    </row>
    <row r="130" spans="1:17" ht="15" thickTop="1">
      <c r="A130" s="583"/>
      <c r="B130" s="529">
        <f>B46</f>
        <v>111</v>
      </c>
      <c r="C130" s="537"/>
      <c r="D130" s="537"/>
      <c r="E130" s="537"/>
      <c r="F130" s="537"/>
      <c r="G130" s="571"/>
      <c r="H130" s="571"/>
      <c r="I130" s="571"/>
      <c r="J130" s="571"/>
      <c r="K130" s="504"/>
      <c r="L130" s="505"/>
      <c r="M130" s="574"/>
      <c r="N130" s="1264"/>
      <c r="O130" s="1264"/>
      <c r="P130" s="2424"/>
      <c r="Q130" s="485"/>
    </row>
    <row r="131" spans="1:17" ht="15.75" thickBot="1">
      <c r="A131" s="2430"/>
      <c r="B131" s="553"/>
      <c r="C131" s="554"/>
      <c r="D131" s="554"/>
      <c r="E131" s="554"/>
      <c r="F131" s="554"/>
      <c r="G131" s="575"/>
      <c r="H131" s="575"/>
      <c r="I131" s="575"/>
      <c r="J131" s="575"/>
      <c r="K131" s="575"/>
      <c r="L131" s="575"/>
      <c r="M131" s="576"/>
      <c r="N131" s="1265"/>
      <c r="O131" s="1265"/>
      <c r="P131" s="2424"/>
      <c r="Q131" s="485"/>
    </row>
    <row r="136" spans="1:17" ht="15" thickBot="1">
      <c r="B136" s="2431" t="s">
        <v>2426</v>
      </c>
    </row>
    <row r="137" spans="1:17" ht="15">
      <c r="B137" s="2432" t="s">
        <v>2427</v>
      </c>
      <c r="C137" s="2433"/>
      <c r="D137" s="2433"/>
      <c r="E137" s="2433"/>
      <c r="F137" s="2433"/>
      <c r="G137" s="2434"/>
      <c r="H137" s="2435"/>
      <c r="I137" s="2436" t="s">
        <v>2428</v>
      </c>
      <c r="J137" s="2433"/>
      <c r="K137" s="2437"/>
    </row>
    <row r="138" spans="1:17" ht="15">
      <c r="B138" s="2438"/>
      <c r="C138" s="62" t="s">
        <v>2429</v>
      </c>
      <c r="D138" s="62" t="s">
        <v>2430</v>
      </c>
      <c r="E138" s="2439" t="s">
        <v>2431</v>
      </c>
      <c r="F138" s="2440" t="s">
        <v>2432</v>
      </c>
      <c r="G138" s="62" t="s">
        <v>2430</v>
      </c>
      <c r="H138" s="63" t="s">
        <v>2431</v>
      </c>
      <c r="I138" s="2441"/>
      <c r="J138" s="62" t="s">
        <v>2433</v>
      </c>
      <c r="K138" s="63" t="s">
        <v>2434</v>
      </c>
    </row>
    <row r="139" spans="1:17" ht="15">
      <c r="B139" s="1122">
        <v>6</v>
      </c>
      <c r="C139" s="1130">
        <v>96</v>
      </c>
      <c r="D139" s="2442" t="s">
        <v>2435</v>
      </c>
      <c r="E139" s="1131">
        <v>100</v>
      </c>
      <c r="F139" s="1132">
        <v>102.5</v>
      </c>
      <c r="G139" s="2442" t="s">
        <v>2435</v>
      </c>
      <c r="H139" s="1133">
        <v>105</v>
      </c>
      <c r="I139" s="2443" t="s">
        <v>2436</v>
      </c>
      <c r="J139" s="1130">
        <v>20</v>
      </c>
      <c r="K139" s="1124">
        <f>C145/(J139-2)</f>
        <v>4.0555555555555553E-3</v>
      </c>
    </row>
    <row r="140" spans="1:17" ht="15">
      <c r="B140" s="1123">
        <v>5</v>
      </c>
      <c r="C140" s="1134">
        <v>100</v>
      </c>
      <c r="D140" s="1134"/>
      <c r="E140" s="1135"/>
      <c r="F140" s="1136">
        <v>102</v>
      </c>
      <c r="G140" s="1134"/>
      <c r="H140" s="1137"/>
      <c r="I140" s="2444" t="s">
        <v>2437</v>
      </c>
      <c r="J140" s="217">
        <f>ROUNDUP((J139-1)/2,0)</f>
        <v>10</v>
      </c>
      <c r="K140" s="1125">
        <v>100</v>
      </c>
    </row>
    <row r="141" spans="1:17" ht="15">
      <c r="B141" s="1123">
        <v>4</v>
      </c>
      <c r="C141" s="1134">
        <v>102</v>
      </c>
      <c r="D141" s="1134"/>
      <c r="E141" s="1135"/>
      <c r="F141" s="1136">
        <v>101.5</v>
      </c>
      <c r="G141" s="1134"/>
      <c r="H141" s="1137"/>
      <c r="I141" s="2444" t="s">
        <v>2438</v>
      </c>
      <c r="J141" s="217">
        <v>1</v>
      </c>
      <c r="K141" s="1126">
        <f>ROUND(100+(J141-J140)*K139*100,1)</f>
        <v>96.4</v>
      </c>
    </row>
    <row r="142" spans="1:17" ht="15">
      <c r="B142" s="1123">
        <v>3</v>
      </c>
      <c r="C142" s="1134">
        <v>103</v>
      </c>
      <c r="D142" s="1134"/>
      <c r="E142" s="1135"/>
      <c r="F142" s="1136">
        <v>101</v>
      </c>
      <c r="G142" s="1134"/>
      <c r="H142" s="1137"/>
      <c r="I142" s="2444" t="s">
        <v>2439</v>
      </c>
      <c r="J142" s="217">
        <f>J139</f>
        <v>20</v>
      </c>
      <c r="K142" s="1139">
        <v>95</v>
      </c>
    </row>
    <row r="143" spans="1:17" ht="15">
      <c r="B143" s="1123">
        <v>2</v>
      </c>
      <c r="C143" s="1134">
        <v>100</v>
      </c>
      <c r="D143" s="1134"/>
      <c r="E143" s="1135"/>
      <c r="F143" s="1136">
        <v>100.5</v>
      </c>
      <c r="G143" s="1134"/>
      <c r="H143" s="1137"/>
      <c r="I143" s="2444" t="s">
        <v>2440</v>
      </c>
      <c r="J143" s="1134">
        <v>15</v>
      </c>
      <c r="K143" s="1126">
        <f>ROUND(100+(J143-J140)*K139*100,1)</f>
        <v>102</v>
      </c>
    </row>
    <row r="144" spans="1:17" ht="15">
      <c r="B144" s="1123">
        <v>1</v>
      </c>
      <c r="C144" s="1134">
        <v>98</v>
      </c>
      <c r="D144" s="2445" t="s">
        <v>2441</v>
      </c>
      <c r="E144" s="1135">
        <v>102</v>
      </c>
      <c r="F144" s="1138">
        <v>100</v>
      </c>
      <c r="G144" s="2445" t="s">
        <v>2441</v>
      </c>
      <c r="H144" s="1137">
        <v>105</v>
      </c>
      <c r="I144" s="2444" t="s">
        <v>2440</v>
      </c>
      <c r="J144" s="1134">
        <v>18</v>
      </c>
      <c r="K144" s="1126">
        <f>ROUND(100+(J144-J140)*K139*100,1)</f>
        <v>103.2</v>
      </c>
    </row>
    <row r="145" spans="2:11" ht="15.75" thickBot="1">
      <c r="B145" s="2446" t="s">
        <v>2442</v>
      </c>
      <c r="C145" s="1128">
        <f>ROUND(MAX(C139:C144)/MIN(C139:C144)-1,3)</f>
        <v>7.2999999999999995E-2</v>
      </c>
      <c r="D145" s="1129"/>
      <c r="E145" s="1129"/>
      <c r="F145" s="2447" t="s">
        <v>2443</v>
      </c>
      <c r="G145" s="2448"/>
      <c r="H145" s="2449"/>
      <c r="I145" s="2450" t="s">
        <v>2440</v>
      </c>
      <c r="J145" s="1140">
        <v>8</v>
      </c>
      <c r="K145" s="1127">
        <f>ROUND(100+(J145-J140)*K139*100,1)</f>
        <v>99.2</v>
      </c>
    </row>
    <row r="147" spans="2:11">
      <c r="B147" s="2431" t="s">
        <v>2444</v>
      </c>
    </row>
    <row r="148" spans="2:11">
      <c r="B148" s="2431"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2446</v>
      </c>
      <c r="C1" s="1723"/>
      <c r="D1" s="2451"/>
      <c r="E1" s="2380"/>
      <c r="F1" s="1737" t="s">
        <v>2335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79"/>
      <c r="I2" s="979"/>
      <c r="J2" s="979"/>
      <c r="K2" s="979"/>
      <c r="L2" s="1238"/>
      <c r="M2" s="1239"/>
      <c r="N2" s="1239"/>
      <c r="O2" s="1239"/>
      <c r="P2" s="2453"/>
      <c r="Q2" s="746"/>
      <c r="R2" s="746"/>
      <c r="S2" s="746"/>
      <c r="T2" s="746"/>
      <c r="U2" s="746"/>
      <c r="V2" s="746"/>
      <c r="W2" s="746"/>
      <c r="X2" s="746"/>
      <c r="Y2" s="746"/>
      <c r="Z2" s="746"/>
      <c r="AA2" s="746"/>
      <c r="AB2" s="746"/>
      <c r="AC2" s="747"/>
    </row>
    <row r="3" spans="1:29" s="377" customFormat="1" ht="28.5" customHeight="1" thickBot="1">
      <c r="A3" s="167" t="s">
        <v>2007</v>
      </c>
      <c r="B3" s="593" t="e">
        <f ca="1">ROUND(IF(D2="——",C49,IF(C2="万元",B2*10000/D3,B2/D3)),0)</f>
        <v>#DIV/0!</v>
      </c>
      <c r="C3" s="379" t="s">
        <v>2336</v>
      </c>
      <c r="D3" s="378">
        <f>IF(C1="仅计算典型户型",'数据-取费表'!E5,'数据-取费表'!B5)</f>
        <v>14802.98</v>
      </c>
      <c r="E3" s="2454"/>
      <c r="F3" s="980"/>
      <c r="G3" s="979"/>
      <c r="H3" s="979"/>
      <c r="I3" s="979"/>
      <c r="J3" s="979"/>
      <c r="K3" s="981"/>
      <c r="L3" s="1238"/>
      <c r="M3" s="1239"/>
      <c r="N3" s="1239"/>
      <c r="O3" s="1239"/>
      <c r="P3" s="2453"/>
      <c r="Q3" s="746"/>
      <c r="R3" s="746"/>
      <c r="S3" s="746"/>
      <c r="T3" s="746"/>
      <c r="U3" s="746"/>
      <c r="V3" s="746"/>
      <c r="W3" s="746"/>
      <c r="X3" s="746"/>
      <c r="Y3" s="746"/>
      <c r="Z3" s="746"/>
      <c r="AA3" s="746"/>
      <c r="AB3" s="746"/>
      <c r="AC3" s="760"/>
    </row>
    <row r="4" spans="1:29" ht="15">
      <c r="A4" s="380" t="s">
        <v>2337</v>
      </c>
      <c r="B4" s="381"/>
      <c r="C4" s="3009" t="s">
        <v>2338</v>
      </c>
      <c r="D4" s="3010"/>
      <c r="E4" s="3011" t="s">
        <v>2339</v>
      </c>
      <c r="F4" s="3012"/>
      <c r="G4" s="3009" t="s">
        <v>2340</v>
      </c>
      <c r="H4" s="3010"/>
      <c r="I4" s="3009" t="s">
        <v>2341</v>
      </c>
      <c r="J4" s="3010"/>
      <c r="K4" s="594" t="s">
        <v>2342</v>
      </c>
      <c r="L4" s="1240"/>
      <c r="M4" s="1241"/>
      <c r="N4" s="1241"/>
      <c r="O4" s="1241"/>
      <c r="P4" s="3013" t="s">
        <v>2343</v>
      </c>
      <c r="Q4" s="3014"/>
      <c r="R4" s="3019" t="s">
        <v>2339</v>
      </c>
      <c r="S4" s="3020"/>
      <c r="T4" s="3019" t="s">
        <v>2340</v>
      </c>
      <c r="U4" s="3020"/>
      <c r="V4" s="3025" t="s">
        <v>2341</v>
      </c>
      <c r="W4" s="3025"/>
      <c r="X4" s="1896"/>
      <c r="Y4" s="3019" t="s">
        <v>2343</v>
      </c>
      <c r="Z4" s="3020"/>
      <c r="AA4" s="3006" t="s">
        <v>2339</v>
      </c>
      <c r="AB4" s="3025" t="s">
        <v>2340</v>
      </c>
      <c r="AC4" s="3006" t="s">
        <v>2341</v>
      </c>
    </row>
    <row r="5" spans="1:29" ht="15">
      <c r="A5" s="383"/>
      <c r="B5" s="384"/>
      <c r="C5" s="3002" t="s">
        <v>2344</v>
      </c>
      <c r="D5" s="3003"/>
      <c r="E5" s="3026" t="s">
        <v>2345</v>
      </c>
      <c r="F5" s="3027"/>
      <c r="G5" s="3002" t="s">
        <v>2346</v>
      </c>
      <c r="H5" s="3003"/>
      <c r="I5" s="3002" t="s">
        <v>2347</v>
      </c>
      <c r="J5" s="3003"/>
      <c r="K5" s="594"/>
      <c r="L5" s="1240"/>
      <c r="M5" s="1241"/>
      <c r="N5" s="1241"/>
      <c r="O5" s="1241"/>
      <c r="P5" s="3015"/>
      <c r="Q5" s="3016"/>
      <c r="R5" s="3021"/>
      <c r="S5" s="3022"/>
      <c r="T5" s="3021"/>
      <c r="U5" s="3022"/>
      <c r="V5" s="3025"/>
      <c r="W5" s="3025"/>
      <c r="X5" s="1896"/>
      <c r="Y5" s="3021"/>
      <c r="Z5" s="3022"/>
      <c r="AA5" s="3007"/>
      <c r="AB5" s="3025"/>
      <c r="AC5" s="3007"/>
    </row>
    <row r="6" spans="1:29" ht="15.75" thickBot="1">
      <c r="A6" s="385"/>
      <c r="B6" s="386"/>
      <c r="C6" s="2999" t="s">
        <v>2348</v>
      </c>
      <c r="D6" s="3000"/>
      <c r="E6" s="2997" t="s">
        <v>2348</v>
      </c>
      <c r="F6" s="2998"/>
      <c r="G6" s="2999" t="s">
        <v>2348</v>
      </c>
      <c r="H6" s="3000"/>
      <c r="I6" s="2999" t="s">
        <v>2348</v>
      </c>
      <c r="J6" s="3000"/>
      <c r="K6" s="594" t="s">
        <v>2349</v>
      </c>
      <c r="L6" s="1240"/>
      <c r="M6" s="1241"/>
      <c r="N6" s="1241"/>
      <c r="O6" s="1241"/>
      <c r="P6" s="3017"/>
      <c r="Q6" s="3018"/>
      <c r="R6" s="3021"/>
      <c r="S6" s="3022"/>
      <c r="T6" s="3023"/>
      <c r="U6" s="3024"/>
      <c r="V6" s="3025"/>
      <c r="W6" s="3025"/>
      <c r="X6" s="1896"/>
      <c r="Y6" s="3023"/>
      <c r="Z6" s="3024"/>
      <c r="AA6" s="3008"/>
      <c r="AB6" s="3025"/>
      <c r="AC6" s="3008"/>
    </row>
    <row r="7" spans="1:29" s="35" customFormat="1" ht="15.75" thickBot="1">
      <c r="A7" s="387" t="s">
        <v>2350</v>
      </c>
      <c r="B7" s="388"/>
      <c r="C7" s="389">
        <f>'数据-取费表'!B2</f>
        <v>43465</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04" t="s">
        <v>2351</v>
      </c>
      <c r="Q7" s="3028"/>
      <c r="R7" s="748" t="s">
        <v>25</v>
      </c>
      <c r="S7" s="749">
        <f t="shared" ref="S7:S15" si="0">F7</f>
        <v>0</v>
      </c>
      <c r="T7" s="748" t="s">
        <v>25</v>
      </c>
      <c r="U7" s="749">
        <f t="shared" ref="U7:U15" si="1">H7</f>
        <v>0</v>
      </c>
      <c r="V7" s="748" t="s">
        <v>25</v>
      </c>
      <c r="W7" s="749">
        <f t="shared" ref="W7:W15" si="2">J7</f>
        <v>0</v>
      </c>
      <c r="X7" s="750"/>
      <c r="Y7" s="3004" t="s">
        <v>2351</v>
      </c>
      <c r="Z7" s="3005"/>
      <c r="AA7" s="751" t="e">
        <f>D7/F7</f>
        <v>#DIV/0!</v>
      </c>
      <c r="AB7" s="751" t="e">
        <f>D7/H7</f>
        <v>#DIV/0!</v>
      </c>
      <c r="AC7" s="751"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04" t="s">
        <v>2354</v>
      </c>
      <c r="Q8" s="3005"/>
      <c r="R8" s="748" t="s">
        <v>25</v>
      </c>
      <c r="S8" s="749">
        <f t="shared" si="0"/>
        <v>0</v>
      </c>
      <c r="T8" s="748" t="s">
        <v>25</v>
      </c>
      <c r="U8" s="749">
        <f t="shared" si="1"/>
        <v>0</v>
      </c>
      <c r="V8" s="748" t="s">
        <v>25</v>
      </c>
      <c r="W8" s="749">
        <f t="shared" si="2"/>
        <v>0</v>
      </c>
      <c r="X8" s="750"/>
      <c r="Y8" s="3004" t="s">
        <v>2354</v>
      </c>
      <c r="Z8" s="3005"/>
      <c r="AA8" s="751" t="e">
        <f t="shared" ref="AA8:AA46" si="3">D8/F8</f>
        <v>#DIV/0!</v>
      </c>
      <c r="AB8" s="751" t="e">
        <f t="shared" ref="AB8:AB46" si="4">D8/H8</f>
        <v>#DIV/0!</v>
      </c>
      <c r="AC8" s="751"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70" t="s">
        <v>2357</v>
      </c>
      <c r="Q9" s="1883" t="str">
        <f t="shared" ref="Q9:Q15" si="6">B9</f>
        <v>用途</v>
      </c>
      <c r="R9" s="748" t="s">
        <v>25</v>
      </c>
      <c r="S9" s="749">
        <f t="shared" si="0"/>
        <v>100</v>
      </c>
      <c r="T9" s="748" t="s">
        <v>25</v>
      </c>
      <c r="U9" s="749">
        <f t="shared" si="1"/>
        <v>100</v>
      </c>
      <c r="V9" s="748" t="s">
        <v>25</v>
      </c>
      <c r="W9" s="749">
        <f t="shared" si="2"/>
        <v>100</v>
      </c>
      <c r="X9" s="750"/>
      <c r="Y9" s="2877"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70"/>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70"/>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70"/>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70"/>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70"/>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71.25">
      <c r="A15" s="419" t="s">
        <v>2361</v>
      </c>
      <c r="B15" s="26" t="s">
        <v>2447</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71" t="s">
        <v>2362</v>
      </c>
      <c r="Q15" s="1895" t="str">
        <f t="shared" si="6"/>
        <v>商业繁华度</v>
      </c>
      <c r="R15" s="752" t="s">
        <v>25</v>
      </c>
      <c r="S15" s="753">
        <f t="shared" si="0"/>
        <v>100</v>
      </c>
      <c r="T15" s="752" t="s">
        <v>25</v>
      </c>
      <c r="U15" s="753">
        <f t="shared" si="1"/>
        <v>100</v>
      </c>
      <c r="V15" s="752" t="s">
        <v>25</v>
      </c>
      <c r="W15" s="753">
        <f t="shared" si="2"/>
        <v>100</v>
      </c>
      <c r="X15" s="1896"/>
      <c r="Y15" s="3029" t="s">
        <v>2362</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72"/>
      <c r="Q16" s="1895"/>
      <c r="R16" s="752"/>
      <c r="S16" s="753"/>
      <c r="T16" s="752"/>
      <c r="U16" s="753"/>
      <c r="V16" s="752"/>
      <c r="W16" s="753"/>
      <c r="X16" s="1896"/>
      <c r="Y16" s="3030"/>
      <c r="Z16" s="1898"/>
      <c r="AA16" s="1899">
        <v>1</v>
      </c>
      <c r="AB16" s="1899">
        <v>1</v>
      </c>
      <c r="AC16" s="1899">
        <v>1</v>
      </c>
    </row>
    <row r="17" spans="1:29" ht="85.5">
      <c r="A17" s="408"/>
      <c r="B17" s="431" t="s">
        <v>1748</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72"/>
      <c r="Q17" s="1895" t="str">
        <f>B17</f>
        <v>交通便捷度</v>
      </c>
      <c r="R17" s="752" t="s">
        <v>25</v>
      </c>
      <c r="S17" s="753">
        <f>F17</f>
        <v>100</v>
      </c>
      <c r="T17" s="752" t="s">
        <v>25</v>
      </c>
      <c r="U17" s="753">
        <f>H17</f>
        <v>100</v>
      </c>
      <c r="V17" s="752" t="s">
        <v>25</v>
      </c>
      <c r="W17" s="753">
        <f>J17</f>
        <v>100</v>
      </c>
      <c r="X17" s="1896"/>
      <c r="Y17" s="3030"/>
      <c r="Z17" s="1898" t="str">
        <f>Q17</f>
        <v>交通便捷度</v>
      </c>
      <c r="AA17" s="1899">
        <f t="shared" si="3"/>
        <v>1</v>
      </c>
      <c r="AB17" s="1899">
        <f t="shared" si="4"/>
        <v>1</v>
      </c>
      <c r="AC17" s="1899">
        <f t="shared" si="5"/>
        <v>1</v>
      </c>
    </row>
    <row r="18" spans="1:29" ht="15">
      <c r="A18" s="408"/>
      <c r="B18" s="436"/>
      <c r="C18" s="437"/>
      <c r="D18" s="430"/>
      <c r="E18" s="1465"/>
      <c r="F18" s="433"/>
      <c r="G18" s="2405"/>
      <c r="H18" s="427"/>
      <c r="I18" s="1465"/>
      <c r="J18" s="427"/>
      <c r="K18" s="599"/>
      <c r="L18" s="1250"/>
      <c r="M18" s="1241"/>
      <c r="N18" s="1241"/>
      <c r="O18" s="1241"/>
      <c r="P18" s="3072"/>
      <c r="Q18" s="1895"/>
      <c r="R18" s="752"/>
      <c r="S18" s="753"/>
      <c r="T18" s="752"/>
      <c r="U18" s="753"/>
      <c r="V18" s="752"/>
      <c r="W18" s="753"/>
      <c r="X18" s="1896"/>
      <c r="Y18" s="3030"/>
      <c r="Z18" s="1898"/>
      <c r="AA18" s="1899">
        <v>1</v>
      </c>
      <c r="AB18" s="1899">
        <v>1</v>
      </c>
      <c r="AC18" s="1899">
        <v>1</v>
      </c>
    </row>
    <row r="19" spans="1:29" ht="42.75">
      <c r="A19" s="408"/>
      <c r="B19" s="431" t="s">
        <v>2448</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72"/>
      <c r="Q19" s="1895" t="str">
        <f>B19</f>
        <v>公共配套设施</v>
      </c>
      <c r="R19" s="752" t="s">
        <v>25</v>
      </c>
      <c r="S19" s="753">
        <f>F19</f>
        <v>100</v>
      </c>
      <c r="T19" s="752" t="s">
        <v>25</v>
      </c>
      <c r="U19" s="753">
        <f>H19</f>
        <v>100</v>
      </c>
      <c r="V19" s="752" t="s">
        <v>25</v>
      </c>
      <c r="W19" s="753">
        <f>J19</f>
        <v>100</v>
      </c>
      <c r="X19" s="1896"/>
      <c r="Y19" s="3030"/>
      <c r="Z19" s="1898" t="str">
        <f>Q19</f>
        <v>公共配套设施</v>
      </c>
      <c r="AA19" s="1899">
        <f t="shared" si="3"/>
        <v>1</v>
      </c>
      <c r="AB19" s="1899">
        <f t="shared" si="4"/>
        <v>1</v>
      </c>
      <c r="AC19" s="1899">
        <f t="shared" si="5"/>
        <v>1</v>
      </c>
    </row>
    <row r="20" spans="1:29" ht="15">
      <c r="A20" s="408"/>
      <c r="B20" s="436"/>
      <c r="C20" s="426"/>
      <c r="D20" s="427"/>
      <c r="E20" s="428"/>
      <c r="F20" s="429"/>
      <c r="G20" s="2402"/>
      <c r="H20" s="427"/>
      <c r="I20" s="428"/>
      <c r="J20" s="427"/>
      <c r="K20" s="599"/>
      <c r="L20" s="1250"/>
      <c r="M20" s="1241"/>
      <c r="N20" s="1241"/>
      <c r="O20" s="1241"/>
      <c r="P20" s="3072"/>
      <c r="Q20" s="1895"/>
      <c r="R20" s="752"/>
      <c r="S20" s="753"/>
      <c r="T20" s="752"/>
      <c r="U20" s="753"/>
      <c r="V20" s="752"/>
      <c r="W20" s="753"/>
      <c r="X20" s="1896"/>
      <c r="Y20" s="3030"/>
      <c r="Z20" s="1898"/>
      <c r="AA20" s="1899">
        <v>1</v>
      </c>
      <c r="AB20" s="1899">
        <v>1</v>
      </c>
      <c r="AC20" s="1899">
        <v>1</v>
      </c>
    </row>
    <row r="21" spans="1:29" ht="28.5">
      <c r="A21" s="408"/>
      <c r="B21" s="2406" t="s">
        <v>2449</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72"/>
      <c r="Q21" s="1895" t="str">
        <f>B21</f>
        <v>基础设施水平</v>
      </c>
      <c r="R21" s="752" t="s">
        <v>25</v>
      </c>
      <c r="S21" s="753">
        <f>F21</f>
        <v>100</v>
      </c>
      <c r="T21" s="752" t="s">
        <v>25</v>
      </c>
      <c r="U21" s="753">
        <f>H21</f>
        <v>100</v>
      </c>
      <c r="V21" s="752" t="s">
        <v>25</v>
      </c>
      <c r="W21" s="753">
        <f>J21</f>
        <v>100</v>
      </c>
      <c r="X21" s="1896"/>
      <c r="Y21" s="3030"/>
      <c r="Z21" s="1898" t="str">
        <f>Q21</f>
        <v>基础设施水平</v>
      </c>
      <c r="AA21" s="1899">
        <f t="shared" ref="AA21" si="8">D21/F21</f>
        <v>1</v>
      </c>
      <c r="AB21" s="1899">
        <f t="shared" ref="AB21" si="9">D21/H21</f>
        <v>1</v>
      </c>
      <c r="AC21" s="1899">
        <f t="shared" ref="AC21" si="10">D21/J21</f>
        <v>1</v>
      </c>
    </row>
    <row r="22" spans="1:29" ht="15">
      <c r="A22" s="408"/>
      <c r="B22" s="2406"/>
      <c r="C22" s="437"/>
      <c r="D22" s="427"/>
      <c r="E22" s="426"/>
      <c r="F22" s="429"/>
      <c r="G22" s="426"/>
      <c r="H22" s="427"/>
      <c r="I22" s="426"/>
      <c r="J22" s="427"/>
      <c r="K22" s="1466"/>
      <c r="L22" s="1250"/>
      <c r="M22" s="1241"/>
      <c r="N22" s="1241"/>
      <c r="O22" s="1241"/>
      <c r="P22" s="3072"/>
      <c r="Q22" s="1895"/>
      <c r="R22" s="752"/>
      <c r="S22" s="753"/>
      <c r="T22" s="752"/>
      <c r="U22" s="753"/>
      <c r="V22" s="752"/>
      <c r="W22" s="753"/>
      <c r="X22" s="1896"/>
      <c r="Y22" s="3030"/>
      <c r="Z22" s="1898"/>
      <c r="AA22" s="1899">
        <v>1</v>
      </c>
      <c r="AB22" s="1899">
        <v>1</v>
      </c>
      <c r="AC22" s="1899">
        <v>1</v>
      </c>
    </row>
    <row r="23" spans="1:29" ht="57">
      <c r="A23" s="408"/>
      <c r="B23" s="431" t="s">
        <v>1753</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72"/>
      <c r="Q23" s="1895" t="str">
        <f>B23</f>
        <v>自然及人文环境</v>
      </c>
      <c r="R23" s="752" t="s">
        <v>25</v>
      </c>
      <c r="S23" s="753">
        <f>F23</f>
        <v>100</v>
      </c>
      <c r="T23" s="752" t="s">
        <v>25</v>
      </c>
      <c r="U23" s="753">
        <f>H23</f>
        <v>100</v>
      </c>
      <c r="V23" s="752" t="s">
        <v>25</v>
      </c>
      <c r="W23" s="753">
        <f>J23</f>
        <v>100</v>
      </c>
      <c r="X23" s="1896"/>
      <c r="Y23" s="3030"/>
      <c r="Z23" s="1898" t="str">
        <f>Q23</f>
        <v>自然及人文环境</v>
      </c>
      <c r="AA23" s="1899">
        <f t="shared" si="3"/>
        <v>1</v>
      </c>
      <c r="AB23" s="1899">
        <f t="shared" si="4"/>
        <v>1</v>
      </c>
      <c r="AC23" s="1899">
        <f t="shared" si="5"/>
        <v>1</v>
      </c>
    </row>
    <row r="24" spans="1:29" ht="15">
      <c r="A24" s="408"/>
      <c r="B24" s="436"/>
      <c r="C24" s="426"/>
      <c r="D24" s="427"/>
      <c r="E24" s="428"/>
      <c r="F24" s="429"/>
      <c r="G24" s="2402"/>
      <c r="H24" s="427"/>
      <c r="I24" s="428"/>
      <c r="J24" s="427"/>
      <c r="K24" s="599"/>
      <c r="L24" s="1250"/>
      <c r="M24" s="1241"/>
      <c r="N24" s="1241"/>
      <c r="O24" s="1241"/>
      <c r="P24" s="3072"/>
      <c r="Q24" s="1895"/>
      <c r="R24" s="752"/>
      <c r="S24" s="753"/>
      <c r="T24" s="752"/>
      <c r="U24" s="753"/>
      <c r="V24" s="752"/>
      <c r="W24" s="753"/>
      <c r="X24" s="1896"/>
      <c r="Y24" s="3030"/>
      <c r="Z24" s="1898"/>
      <c r="AA24" s="1899">
        <v>1</v>
      </c>
      <c r="AB24" s="1899">
        <v>1</v>
      </c>
      <c r="AC24" s="1899">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72"/>
      <c r="Q25" s="1895" t="str">
        <f t="shared" ref="Q25:Q46" si="11">B25</f>
        <v>临街状况</v>
      </c>
      <c r="R25" s="752" t="s">
        <v>25</v>
      </c>
      <c r="S25" s="753">
        <f>F25</f>
        <v>100</v>
      </c>
      <c r="T25" s="752" t="s">
        <v>25</v>
      </c>
      <c r="U25" s="753">
        <f>H25</f>
        <v>100</v>
      </c>
      <c r="V25" s="752" t="s">
        <v>25</v>
      </c>
      <c r="W25" s="753">
        <f>J25</f>
        <v>100</v>
      </c>
      <c r="X25" s="1896"/>
      <c r="Y25" s="3030"/>
      <c r="Z25" s="1898" t="str">
        <f>Q25</f>
        <v>临街状况</v>
      </c>
      <c r="AA25" s="1899">
        <f t="shared" si="3"/>
        <v>1</v>
      </c>
      <c r="AB25" s="1899">
        <f t="shared" si="4"/>
        <v>1</v>
      </c>
      <c r="AC25" s="1899">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72"/>
      <c r="Q26" s="1895" t="str">
        <f t="shared" si="11"/>
        <v>平面位置/可视性</v>
      </c>
      <c r="R26" s="752" t="s">
        <v>25</v>
      </c>
      <c r="S26" s="753">
        <f>F26</f>
        <v>100</v>
      </c>
      <c r="T26" s="752" t="s">
        <v>25</v>
      </c>
      <c r="U26" s="753">
        <f>H26</f>
        <v>100</v>
      </c>
      <c r="V26" s="752" t="s">
        <v>25</v>
      </c>
      <c r="W26" s="753">
        <f>J26</f>
        <v>100</v>
      </c>
      <c r="X26" s="1896"/>
      <c r="Y26" s="3030"/>
      <c r="Z26" s="1898" t="str">
        <f>Q26</f>
        <v>平面位置/可视性</v>
      </c>
      <c r="AA26" s="1899">
        <f t="shared" si="3"/>
        <v>1</v>
      </c>
      <c r="AB26" s="1899">
        <f t="shared" si="4"/>
        <v>1</v>
      </c>
      <c r="AC26" s="1899">
        <f t="shared" si="5"/>
        <v>1</v>
      </c>
    </row>
    <row r="27" spans="1:29" s="35" customFormat="1" ht="15">
      <c r="A27" s="411"/>
      <c r="B27" s="431" t="s">
        <v>2452</v>
      </c>
      <c r="C27" s="2456"/>
      <c r="D27" s="443">
        <v>100</v>
      </c>
      <c r="E27" s="2456"/>
      <c r="F27" s="445">
        <f>SUMIF(90:90,E27,91:91)-SUMIF(90:90,C27,91:91)+100</f>
        <v>100</v>
      </c>
      <c r="G27" s="2456"/>
      <c r="H27" s="443">
        <f>SUMIF(90:90,G27,91:91)-SUMIF(90:90,C27,91:91)+100</f>
        <v>100</v>
      </c>
      <c r="I27" s="2456"/>
      <c r="J27" s="443">
        <f>SUMIF(90:90,I27,91:91)-SUMIF(90:90,C27,91:91)+100</f>
        <v>100</v>
      </c>
      <c r="K27" s="596"/>
      <c r="L27" s="1242"/>
      <c r="M27" s="1243"/>
      <c r="N27" s="1243"/>
      <c r="O27" s="1243"/>
      <c r="P27" s="3072"/>
      <c r="Q27" s="1883" t="str">
        <f t="shared" si="11"/>
        <v>人流量</v>
      </c>
      <c r="R27" s="748" t="s">
        <v>25</v>
      </c>
      <c r="S27" s="749">
        <f>F27</f>
        <v>100</v>
      </c>
      <c r="T27" s="748" t="s">
        <v>25</v>
      </c>
      <c r="U27" s="749">
        <f>H27</f>
        <v>100</v>
      </c>
      <c r="V27" s="748" t="s">
        <v>25</v>
      </c>
      <c r="W27" s="749">
        <f>J27</f>
        <v>100</v>
      </c>
      <c r="X27" s="750"/>
      <c r="Y27" s="3030"/>
      <c r="Z27" s="23" t="str">
        <f>Q27</f>
        <v>人流量</v>
      </c>
      <c r="AA27" s="1899">
        <f>D27/F27</f>
        <v>1</v>
      </c>
      <c r="AB27" s="1899">
        <f>D27/H27</f>
        <v>1</v>
      </c>
      <c r="AC27" s="1899">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72"/>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30"/>
      <c r="Z28" s="1898" t="str">
        <f t="shared" ref="Z28:Z46" si="15">Q28</f>
        <v>楼层</v>
      </c>
      <c r="AA28" s="1899">
        <f t="shared" si="3"/>
        <v>1</v>
      </c>
      <c r="AB28" s="1899">
        <f t="shared" si="4"/>
        <v>1</v>
      </c>
      <c r="AC28" s="1899">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72"/>
      <c r="Q29" s="1895">
        <f t="shared" si="11"/>
        <v>111</v>
      </c>
      <c r="R29" s="752" t="s">
        <v>25</v>
      </c>
      <c r="S29" s="753">
        <f t="shared" si="12"/>
        <v>100</v>
      </c>
      <c r="T29" s="752" t="s">
        <v>25</v>
      </c>
      <c r="U29" s="753">
        <f t="shared" si="13"/>
        <v>100</v>
      </c>
      <c r="V29" s="752" t="s">
        <v>25</v>
      </c>
      <c r="W29" s="753">
        <f t="shared" si="14"/>
        <v>100</v>
      </c>
      <c r="X29" s="1896"/>
      <c r="Y29" s="3030"/>
      <c r="Z29" s="1898">
        <f t="shared" si="15"/>
        <v>111</v>
      </c>
      <c r="AA29" s="1899">
        <f t="shared" si="3"/>
        <v>1</v>
      </c>
      <c r="AB29" s="1899">
        <f t="shared" si="4"/>
        <v>1</v>
      </c>
      <c r="AC29" s="1899">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72"/>
      <c r="Q30" s="1895">
        <f t="shared" si="11"/>
        <v>111</v>
      </c>
      <c r="R30" s="752" t="s">
        <v>25</v>
      </c>
      <c r="S30" s="753">
        <f t="shared" si="12"/>
        <v>100</v>
      </c>
      <c r="T30" s="752" t="s">
        <v>25</v>
      </c>
      <c r="U30" s="753">
        <f t="shared" si="13"/>
        <v>100</v>
      </c>
      <c r="V30" s="752" t="s">
        <v>25</v>
      </c>
      <c r="W30" s="753">
        <f t="shared" si="14"/>
        <v>100</v>
      </c>
      <c r="X30" s="1896"/>
      <c r="Y30" s="3030"/>
      <c r="Z30" s="1898">
        <f t="shared" si="15"/>
        <v>111</v>
      </c>
      <c r="AA30" s="1899">
        <f t="shared" si="3"/>
        <v>1</v>
      </c>
      <c r="AB30" s="1899">
        <f t="shared" si="4"/>
        <v>1</v>
      </c>
      <c r="AC30" s="1899">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72"/>
      <c r="Q31" s="1895">
        <f t="shared" si="11"/>
        <v>111</v>
      </c>
      <c r="R31" s="752" t="s">
        <v>25</v>
      </c>
      <c r="S31" s="753">
        <f t="shared" si="12"/>
        <v>100</v>
      </c>
      <c r="T31" s="752" t="s">
        <v>25</v>
      </c>
      <c r="U31" s="753">
        <f t="shared" si="13"/>
        <v>100</v>
      </c>
      <c r="V31" s="752" t="s">
        <v>25</v>
      </c>
      <c r="W31" s="753">
        <f t="shared" si="14"/>
        <v>100</v>
      </c>
      <c r="X31" s="1896"/>
      <c r="Y31" s="3030"/>
      <c r="Z31" s="1898">
        <f t="shared" si="15"/>
        <v>111</v>
      </c>
      <c r="AA31" s="1899">
        <f t="shared" si="3"/>
        <v>1</v>
      </c>
      <c r="AB31" s="1899">
        <f t="shared" si="4"/>
        <v>1</v>
      </c>
      <c r="AC31" s="1899">
        <f t="shared" si="5"/>
        <v>1</v>
      </c>
    </row>
    <row r="32" spans="1:29" ht="15">
      <c r="A32" s="419" t="s">
        <v>2366</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0"/>
      <c r="M32" s="1241"/>
      <c r="N32" s="1241"/>
      <c r="O32" s="1241"/>
      <c r="P32" s="3066" t="s">
        <v>2368</v>
      </c>
      <c r="Q32" s="1895" t="str">
        <f t="shared" si="11"/>
        <v>商业类型</v>
      </c>
      <c r="R32" s="752" t="s">
        <v>25</v>
      </c>
      <c r="S32" s="753">
        <f t="shared" si="12"/>
        <v>100</v>
      </c>
      <c r="T32" s="752" t="s">
        <v>25</v>
      </c>
      <c r="U32" s="753">
        <f t="shared" si="13"/>
        <v>100</v>
      </c>
      <c r="V32" s="752" t="s">
        <v>25</v>
      </c>
      <c r="W32" s="753">
        <f t="shared" si="14"/>
        <v>100</v>
      </c>
      <c r="X32" s="1896"/>
      <c r="Y32" s="3032" t="s">
        <v>2368</v>
      </c>
      <c r="Z32" s="1898" t="str">
        <f t="shared" si="15"/>
        <v>商业类型</v>
      </c>
      <c r="AA32" s="1899">
        <f t="shared" si="3"/>
        <v>1</v>
      </c>
      <c r="AB32" s="1899">
        <f t="shared" si="4"/>
        <v>1</v>
      </c>
      <c r="AC32" s="1899">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67"/>
      <c r="Q33" s="754" t="str">
        <f t="shared" si="11"/>
        <v>项目建筑规模</v>
      </c>
      <c r="R33" s="755" t="s">
        <v>25</v>
      </c>
      <c r="S33" s="756" t="e">
        <f t="shared" si="12"/>
        <v>#N/A</v>
      </c>
      <c r="T33" s="755" t="s">
        <v>25</v>
      </c>
      <c r="U33" s="756" t="e">
        <f t="shared" si="13"/>
        <v>#N/A</v>
      </c>
      <c r="V33" s="755" t="s">
        <v>25</v>
      </c>
      <c r="W33" s="756" t="e">
        <f t="shared" si="14"/>
        <v>#N/A</v>
      </c>
      <c r="X33" s="757"/>
      <c r="Y33" s="3032"/>
      <c r="Z33" s="758" t="str">
        <f t="shared" si="15"/>
        <v>项目建筑规模</v>
      </c>
      <c r="AA33" s="1899" t="e">
        <f t="shared" si="3"/>
        <v>#N/A</v>
      </c>
      <c r="AB33" s="1899" t="e">
        <f t="shared" si="4"/>
        <v>#N/A</v>
      </c>
      <c r="AC33" s="1899"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0"/>
      <c r="M34" s="1241"/>
      <c r="N34" s="1241"/>
      <c r="O34" s="1241"/>
      <c r="P34" s="3067"/>
      <c r="Q34" s="1895" t="str">
        <f t="shared" si="11"/>
        <v>建筑结构</v>
      </c>
      <c r="R34" s="752" t="s">
        <v>25</v>
      </c>
      <c r="S34" s="753">
        <f t="shared" si="12"/>
        <v>100</v>
      </c>
      <c r="T34" s="752" t="s">
        <v>25</v>
      </c>
      <c r="U34" s="753">
        <f t="shared" si="13"/>
        <v>100</v>
      </c>
      <c r="V34" s="752" t="s">
        <v>25</v>
      </c>
      <c r="W34" s="753">
        <f t="shared" si="14"/>
        <v>100</v>
      </c>
      <c r="X34" s="1896"/>
      <c r="Y34" s="3032"/>
      <c r="Z34" s="1898" t="str">
        <f t="shared" si="15"/>
        <v>建筑结构</v>
      </c>
      <c r="AA34" s="1899">
        <f t="shared" si="3"/>
        <v>1</v>
      </c>
      <c r="AB34" s="1899">
        <f t="shared" si="4"/>
        <v>1</v>
      </c>
      <c r="AC34" s="1899">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0"/>
      <c r="M35" s="1241"/>
      <c r="N35" s="1241"/>
      <c r="O35" s="1241"/>
      <c r="P35" s="3067"/>
      <c r="Q35" s="1895" t="str">
        <f t="shared" si="11"/>
        <v>公共部分装修</v>
      </c>
      <c r="R35" s="752" t="s">
        <v>25</v>
      </c>
      <c r="S35" s="753">
        <f t="shared" si="12"/>
        <v>100</v>
      </c>
      <c r="T35" s="752" t="s">
        <v>25</v>
      </c>
      <c r="U35" s="753">
        <f t="shared" si="13"/>
        <v>100</v>
      </c>
      <c r="V35" s="752" t="s">
        <v>25</v>
      </c>
      <c r="W35" s="753">
        <f t="shared" si="14"/>
        <v>100</v>
      </c>
      <c r="X35" s="1896"/>
      <c r="Y35" s="3032"/>
      <c r="Z35" s="1898" t="str">
        <f t="shared" si="15"/>
        <v>公共部分装修</v>
      </c>
      <c r="AA35" s="1899">
        <f t="shared" si="3"/>
        <v>1</v>
      </c>
      <c r="AB35" s="1899">
        <f t="shared" si="4"/>
        <v>1</v>
      </c>
      <c r="AC35" s="1899">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67"/>
      <c r="Q36" s="1895" t="str">
        <f t="shared" si="11"/>
        <v>成新度</v>
      </c>
      <c r="R36" s="752" t="s">
        <v>25</v>
      </c>
      <c r="S36" s="753" t="e">
        <f t="shared" si="12"/>
        <v>#N/A</v>
      </c>
      <c r="T36" s="752" t="s">
        <v>25</v>
      </c>
      <c r="U36" s="753" t="e">
        <f t="shared" si="13"/>
        <v>#N/A</v>
      </c>
      <c r="V36" s="752" t="s">
        <v>25</v>
      </c>
      <c r="W36" s="753" t="e">
        <f t="shared" si="14"/>
        <v>#N/A</v>
      </c>
      <c r="X36" s="1896"/>
      <c r="Y36" s="3032"/>
      <c r="Z36" s="1898" t="str">
        <f t="shared" si="15"/>
        <v>成新度</v>
      </c>
      <c r="AA36" s="1899" t="e">
        <f t="shared" si="3"/>
        <v>#N/A</v>
      </c>
      <c r="AB36" s="1899" t="e">
        <f t="shared" si="4"/>
        <v>#N/A</v>
      </c>
      <c r="AC36" s="1899"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2"/>
      <c r="M37" s="1243"/>
      <c r="N37" s="1243"/>
      <c r="O37" s="1243"/>
      <c r="P37" s="3067"/>
      <c r="Q37" s="1883" t="str">
        <f t="shared" si="11"/>
        <v>市政基础设施</v>
      </c>
      <c r="R37" s="748" t="s">
        <v>25</v>
      </c>
      <c r="S37" s="749">
        <f t="shared" si="12"/>
        <v>100</v>
      </c>
      <c r="T37" s="748" t="s">
        <v>25</v>
      </c>
      <c r="U37" s="749">
        <f t="shared" si="13"/>
        <v>100</v>
      </c>
      <c r="V37" s="748" t="s">
        <v>25</v>
      </c>
      <c r="W37" s="749">
        <f t="shared" si="14"/>
        <v>100</v>
      </c>
      <c r="X37" s="750"/>
      <c r="Y37" s="3032"/>
      <c r="Z37" s="23" t="str">
        <f t="shared" si="15"/>
        <v>市政基础设施</v>
      </c>
      <c r="AA37" s="751">
        <f t="shared" si="3"/>
        <v>1</v>
      </c>
      <c r="AB37" s="751">
        <f t="shared" si="4"/>
        <v>1</v>
      </c>
      <c r="AC37" s="751">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0"/>
      <c r="M38" s="1241"/>
      <c r="N38" s="1241"/>
      <c r="O38" s="1241"/>
      <c r="P38" s="3067" t="s">
        <v>2368</v>
      </c>
      <c r="Q38" s="1895" t="str">
        <f t="shared" si="11"/>
        <v>业态</v>
      </c>
      <c r="R38" s="752" t="s">
        <v>25</v>
      </c>
      <c r="S38" s="753">
        <f t="shared" si="12"/>
        <v>100</v>
      </c>
      <c r="T38" s="752" t="s">
        <v>25</v>
      </c>
      <c r="U38" s="753">
        <f t="shared" si="13"/>
        <v>100</v>
      </c>
      <c r="V38" s="752" t="s">
        <v>25</v>
      </c>
      <c r="W38" s="753">
        <f t="shared" si="14"/>
        <v>100</v>
      </c>
      <c r="X38" s="1896"/>
      <c r="Y38" s="3032" t="s">
        <v>2368</v>
      </c>
      <c r="Z38" s="1898" t="str">
        <f t="shared" si="15"/>
        <v>业态</v>
      </c>
      <c r="AA38" s="1899">
        <f t="shared" si="3"/>
        <v>1</v>
      </c>
      <c r="AB38" s="1899">
        <f t="shared" si="4"/>
        <v>1</v>
      </c>
      <c r="AC38" s="1899">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0"/>
      <c r="M39" s="1241"/>
      <c r="N39" s="1241"/>
      <c r="O39" s="1241"/>
      <c r="P39" s="3067"/>
      <c r="Q39" s="1895" t="str">
        <f t="shared" si="11"/>
        <v>层高</v>
      </c>
      <c r="R39" s="752" t="s">
        <v>25</v>
      </c>
      <c r="S39" s="753">
        <f t="shared" si="12"/>
        <v>100</v>
      </c>
      <c r="T39" s="752" t="s">
        <v>25</v>
      </c>
      <c r="U39" s="753">
        <f t="shared" si="13"/>
        <v>100</v>
      </c>
      <c r="V39" s="752" t="s">
        <v>25</v>
      </c>
      <c r="W39" s="753">
        <f t="shared" si="14"/>
        <v>100</v>
      </c>
      <c r="X39" s="1896"/>
      <c r="Y39" s="3032"/>
      <c r="Z39" s="1898" t="str">
        <f t="shared" si="15"/>
        <v>层高</v>
      </c>
      <c r="AA39" s="1899">
        <f t="shared" si="3"/>
        <v>1</v>
      </c>
      <c r="AB39" s="1899">
        <f t="shared" si="4"/>
        <v>1</v>
      </c>
      <c r="AC39" s="1899">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67"/>
      <c r="Q40" s="1895" t="str">
        <f t="shared" si="11"/>
        <v>单套建筑面积</v>
      </c>
      <c r="R40" s="752" t="s">
        <v>25</v>
      </c>
      <c r="S40" s="753">
        <f t="shared" si="12"/>
        <v>100</v>
      </c>
      <c r="T40" s="752" t="s">
        <v>25</v>
      </c>
      <c r="U40" s="753">
        <f t="shared" si="13"/>
        <v>100</v>
      </c>
      <c r="V40" s="752" t="s">
        <v>25</v>
      </c>
      <c r="W40" s="753">
        <f t="shared" si="14"/>
        <v>100</v>
      </c>
      <c r="X40" s="1896"/>
      <c r="Y40" s="3032"/>
      <c r="Z40" s="1898" t="str">
        <f t="shared" si="15"/>
        <v>单套建筑面积</v>
      </c>
      <c r="AA40" s="1899">
        <f t="shared" si="3"/>
        <v>1</v>
      </c>
      <c r="AB40" s="1899">
        <f t="shared" si="4"/>
        <v>1</v>
      </c>
      <c r="AC40" s="1899">
        <f t="shared" si="5"/>
        <v>1</v>
      </c>
    </row>
    <row r="41" spans="1:29" s="452" customFormat="1" ht="15">
      <c r="A41" s="449"/>
      <c r="B41" s="1900"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67"/>
      <c r="Q41" s="754" t="str">
        <f t="shared" si="11"/>
        <v>进深比</v>
      </c>
      <c r="R41" s="755" t="s">
        <v>25</v>
      </c>
      <c r="S41" s="756">
        <f t="shared" si="12"/>
        <v>100</v>
      </c>
      <c r="T41" s="755" t="s">
        <v>25</v>
      </c>
      <c r="U41" s="756">
        <f t="shared" si="13"/>
        <v>100</v>
      </c>
      <c r="V41" s="755" t="s">
        <v>25</v>
      </c>
      <c r="W41" s="756">
        <f t="shared" si="14"/>
        <v>100</v>
      </c>
      <c r="X41" s="757"/>
      <c r="Y41" s="3032"/>
      <c r="Z41" s="758" t="str">
        <f t="shared" si="15"/>
        <v>进深比</v>
      </c>
      <c r="AA41" s="1899">
        <f t="shared" si="3"/>
        <v>1</v>
      </c>
      <c r="AB41" s="1899">
        <f t="shared" si="4"/>
        <v>1</v>
      </c>
      <c r="AC41" s="1899">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0"/>
      <c r="M42" s="1241"/>
      <c r="N42" s="1241"/>
      <c r="O42" s="1241"/>
      <c r="P42" s="3067"/>
      <c r="Q42" s="1895" t="str">
        <f t="shared" si="11"/>
        <v>内部装修</v>
      </c>
      <c r="R42" s="752" t="s">
        <v>25</v>
      </c>
      <c r="S42" s="753">
        <f t="shared" si="12"/>
        <v>100</v>
      </c>
      <c r="T42" s="752" t="s">
        <v>25</v>
      </c>
      <c r="U42" s="753">
        <f t="shared" si="13"/>
        <v>100</v>
      </c>
      <c r="V42" s="752" t="s">
        <v>25</v>
      </c>
      <c r="W42" s="753">
        <f t="shared" si="14"/>
        <v>100</v>
      </c>
      <c r="X42" s="1896"/>
      <c r="Y42" s="3032"/>
      <c r="Z42" s="1898" t="str">
        <f t="shared" si="15"/>
        <v>内部装修</v>
      </c>
      <c r="AA42" s="1899">
        <f t="shared" si="3"/>
        <v>1</v>
      </c>
      <c r="AB42" s="1899">
        <f t="shared" si="4"/>
        <v>1</v>
      </c>
      <c r="AC42" s="1899">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0"/>
      <c r="M43" s="1241"/>
      <c r="N43" s="1241"/>
      <c r="O43" s="1241"/>
      <c r="P43" s="3067"/>
      <c r="Q43" s="1895" t="str">
        <f t="shared" si="11"/>
        <v>内部装修维护情况</v>
      </c>
      <c r="R43" s="752" t="s">
        <v>25</v>
      </c>
      <c r="S43" s="753">
        <f t="shared" si="12"/>
        <v>100</v>
      </c>
      <c r="T43" s="752" t="s">
        <v>25</v>
      </c>
      <c r="U43" s="753">
        <f t="shared" si="13"/>
        <v>100</v>
      </c>
      <c r="V43" s="752" t="s">
        <v>25</v>
      </c>
      <c r="W43" s="753">
        <f t="shared" si="14"/>
        <v>100</v>
      </c>
      <c r="X43" s="1896"/>
      <c r="Y43" s="3032"/>
      <c r="Z43" s="1898" t="str">
        <f t="shared" si="15"/>
        <v>内部装修维护情况</v>
      </c>
      <c r="AA43" s="1899">
        <f t="shared" si="3"/>
        <v>1</v>
      </c>
      <c r="AB43" s="1899">
        <f t="shared" si="4"/>
        <v>1</v>
      </c>
      <c r="AC43" s="1899">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67"/>
      <c r="Q44" s="1883">
        <f t="shared" si="11"/>
        <v>111</v>
      </c>
      <c r="R44" s="748" t="s">
        <v>25</v>
      </c>
      <c r="S44" s="749">
        <f t="shared" si="12"/>
        <v>100</v>
      </c>
      <c r="T44" s="748" t="s">
        <v>25</v>
      </c>
      <c r="U44" s="749">
        <f t="shared" si="13"/>
        <v>100</v>
      </c>
      <c r="V44" s="748" t="s">
        <v>25</v>
      </c>
      <c r="W44" s="749">
        <f t="shared" si="14"/>
        <v>100</v>
      </c>
      <c r="X44" s="750"/>
      <c r="Y44" s="3032"/>
      <c r="Z44" s="23">
        <f t="shared" si="15"/>
        <v>111</v>
      </c>
      <c r="AA44" s="751">
        <f t="shared" si="3"/>
        <v>1</v>
      </c>
      <c r="AB44" s="751">
        <f t="shared" si="4"/>
        <v>1</v>
      </c>
      <c r="AC44" s="751">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67"/>
      <c r="Q45" s="1895">
        <f t="shared" si="11"/>
        <v>111</v>
      </c>
      <c r="R45" s="752" t="s">
        <v>25</v>
      </c>
      <c r="S45" s="753">
        <f t="shared" si="12"/>
        <v>100</v>
      </c>
      <c r="T45" s="752" t="s">
        <v>25</v>
      </c>
      <c r="U45" s="753">
        <f t="shared" si="13"/>
        <v>100</v>
      </c>
      <c r="V45" s="752" t="s">
        <v>25</v>
      </c>
      <c r="W45" s="753">
        <f t="shared" si="14"/>
        <v>100</v>
      </c>
      <c r="X45" s="1896"/>
      <c r="Y45" s="3032"/>
      <c r="Z45" s="1898">
        <f t="shared" si="15"/>
        <v>111</v>
      </c>
      <c r="AA45" s="1899">
        <f t="shared" si="3"/>
        <v>1</v>
      </c>
      <c r="AB45" s="1899">
        <f t="shared" si="4"/>
        <v>1</v>
      </c>
      <c r="AC45" s="1899">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68"/>
      <c r="Q46" s="1895">
        <f t="shared" si="11"/>
        <v>111</v>
      </c>
      <c r="R46" s="752" t="s">
        <v>25</v>
      </c>
      <c r="S46" s="753">
        <f t="shared" si="12"/>
        <v>100</v>
      </c>
      <c r="T46" s="752" t="s">
        <v>25</v>
      </c>
      <c r="U46" s="753">
        <f t="shared" si="13"/>
        <v>100</v>
      </c>
      <c r="V46" s="752" t="s">
        <v>25</v>
      </c>
      <c r="W46" s="753">
        <f t="shared" si="14"/>
        <v>100</v>
      </c>
      <c r="X46" s="1896"/>
      <c r="Y46" s="3069"/>
      <c r="Z46" s="1898">
        <f t="shared" si="15"/>
        <v>111</v>
      </c>
      <c r="AA46" s="1899">
        <f t="shared" si="3"/>
        <v>1</v>
      </c>
      <c r="AB46" s="1899">
        <f t="shared" si="4"/>
        <v>1</v>
      </c>
      <c r="AC46" s="1899">
        <f t="shared" si="5"/>
        <v>1</v>
      </c>
    </row>
    <row r="47" spans="1:29" ht="15">
      <c r="A47" s="460" t="s">
        <v>2380</v>
      </c>
      <c r="B47" s="461"/>
      <c r="C47" s="1499" t="s">
        <v>1</v>
      </c>
      <c r="D47" s="1500"/>
      <c r="E47" s="1501"/>
      <c r="F47" s="1502"/>
      <c r="G47" s="1503"/>
      <c r="H47" s="1504"/>
      <c r="I47" s="1501"/>
      <c r="J47" s="1504"/>
      <c r="K47" s="761"/>
      <c r="L47" s="1253"/>
      <c r="M47" s="1254"/>
      <c r="N47" s="1241"/>
      <c r="O47" s="1254"/>
      <c r="P47" s="3001" t="str">
        <f>A47</f>
        <v>成交单价（元/平方米）</v>
      </c>
      <c r="Q47" s="3001"/>
      <c r="R47" s="3033">
        <f>E47</f>
        <v>0</v>
      </c>
      <c r="S47" s="3033"/>
      <c r="T47" s="3033">
        <f>G47</f>
        <v>0</v>
      </c>
      <c r="U47" s="3033"/>
      <c r="V47" s="3033">
        <f>I47</f>
        <v>0</v>
      </c>
      <c r="W47" s="3033"/>
      <c r="X47" s="737"/>
      <c r="Y47" s="759"/>
      <c r="Z47" s="737"/>
      <c r="AA47" s="737"/>
      <c r="AB47" s="737"/>
      <c r="AC47" s="737"/>
    </row>
    <row r="48" spans="1:29" ht="15.75" thickBot="1">
      <c r="A48" s="467" t="s">
        <v>2463</v>
      </c>
      <c r="B48" s="468"/>
      <c r="C48" s="1505" t="e">
        <f>R49</f>
        <v>#DIV/0!</v>
      </c>
      <c r="D48" s="1506"/>
      <c r="E48" s="1507" t="e">
        <f>R48</f>
        <v>#DIV/0!</v>
      </c>
      <c r="F48" s="1507"/>
      <c r="G48" s="1505" t="e">
        <f>T48</f>
        <v>#DIV/0!</v>
      </c>
      <c r="H48" s="1506"/>
      <c r="I48" s="1507" t="e">
        <f>V48</f>
        <v>#DIV/0!</v>
      </c>
      <c r="J48" s="1506"/>
      <c r="K48" s="762"/>
      <c r="L48" s="1253"/>
      <c r="M48" s="1254"/>
      <c r="N48" s="1241"/>
      <c r="O48" s="1254"/>
      <c r="P48" s="3001" t="str">
        <f>A48</f>
        <v>比较价值（元/平方米）</v>
      </c>
      <c r="Q48" s="3001"/>
      <c r="R48" s="3033" t="e">
        <f>IF(E1="售价",ROUND(PRODUCT(R47,AA7:AA46),0),ROUND(PRODUCT(R47,AA7:AA46),1))</f>
        <v>#DIV/0!</v>
      </c>
      <c r="S48" s="3033"/>
      <c r="T48" s="3033" t="e">
        <f>IF(E1="售价",ROUND(PRODUCT(T47,AB7:AB46),0),ROUND(PRODUCT(T47,AB7:AB46),1))</f>
        <v>#DIV/0!</v>
      </c>
      <c r="U48" s="3033"/>
      <c r="V48" s="3033" t="e">
        <f>IF(E1="售价",ROUND(PRODUCT(V47,AC7:AC46),0),ROUND(PRODUCT(V47,AC7:AC46),1))</f>
        <v>#DIV/0!</v>
      </c>
      <c r="W48" s="3033"/>
      <c r="X48" s="737"/>
      <c r="Y48" s="737"/>
      <c r="Z48" s="737"/>
      <c r="AA48" s="737"/>
      <c r="AB48" s="737"/>
      <c r="AC48" s="737"/>
    </row>
    <row r="49" spans="1:29" ht="15.75" thickBot="1">
      <c r="A49" s="473" t="s">
        <v>2464</v>
      </c>
      <c r="B49" s="474"/>
      <c r="C49" s="1509" t="e">
        <f>R49</f>
        <v>#DIV/0!</v>
      </c>
      <c r="D49" s="1509"/>
      <c r="E49" s="1509"/>
      <c r="F49" s="1509"/>
      <c r="G49" s="1509"/>
      <c r="H49" s="1509"/>
      <c r="I49" s="1509"/>
      <c r="J49" s="1509"/>
      <c r="K49" s="763"/>
      <c r="L49" s="1253"/>
      <c r="M49" s="1254"/>
      <c r="N49" s="1241"/>
      <c r="O49" s="1254"/>
      <c r="P49" s="3034" t="str">
        <f>A49</f>
        <v>估价对象XX用房的比较价值（楼面单价，元/平方米）</v>
      </c>
      <c r="Q49" s="3035"/>
      <c r="R49" s="3036" t="e">
        <f>IF(E1="售价",ROUND(AVERAGE(R48:V48),0),ROUND(AVERAGE(R48:V48),1))</f>
        <v>#DIV/0!</v>
      </c>
      <c r="S49" s="3036"/>
      <c r="T49" s="3036"/>
      <c r="U49" s="3036"/>
      <c r="V49" s="3036"/>
      <c r="W49" s="3036"/>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7"/>
      <c r="Q51" s="1254"/>
      <c r="R51" s="1254"/>
      <c r="S51" s="1254"/>
      <c r="T51" s="1254"/>
      <c r="U51" s="1254"/>
      <c r="V51" s="1254"/>
      <c r="W51" s="1254"/>
      <c r="X51" s="1254"/>
      <c r="Y51" s="1254"/>
      <c r="Z51" s="1254"/>
      <c r="AA51" s="1254"/>
      <c r="AB51" s="1254"/>
      <c r="AC51" s="1254"/>
    </row>
    <row r="52" spans="1:29" ht="13.5" customHeight="1">
      <c r="A52" s="1254"/>
      <c r="B52" s="1254"/>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7"/>
      <c r="Q52" s="1254"/>
      <c r="R52" s="1254"/>
      <c r="S52" s="1254"/>
      <c r="T52" s="1254"/>
      <c r="U52" s="1254"/>
      <c r="V52" s="1254"/>
      <c r="W52" s="1254"/>
      <c r="X52" s="1254"/>
      <c r="Y52" s="1254"/>
      <c r="Z52" s="1254"/>
      <c r="AA52" s="1254"/>
      <c r="AB52" s="1254"/>
      <c r="AC52" s="1254"/>
    </row>
    <row r="53" spans="1:29" ht="13.5" customHeight="1">
      <c r="A53" s="1254"/>
      <c r="B53" s="1254"/>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7"/>
      <c r="Q53" s="1254"/>
      <c r="R53" s="1254"/>
      <c r="S53" s="1254"/>
      <c r="T53" s="1254"/>
      <c r="U53" s="1254"/>
      <c r="V53" s="1254"/>
      <c r="W53" s="1254"/>
      <c r="X53" s="1254"/>
      <c r="Y53" s="1254"/>
      <c r="Z53" s="1254"/>
      <c r="AA53" s="1254"/>
      <c r="AB53" s="1254"/>
      <c r="AC53" s="1254"/>
    </row>
    <row r="54" spans="1:29" s="483" customFormat="1" ht="13.5" customHeight="1">
      <c r="A54" s="1256"/>
      <c r="B54" s="1256"/>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8"/>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7"/>
      <c r="Q56" s="1254"/>
      <c r="R56" s="1254"/>
      <c r="S56" s="1254"/>
      <c r="T56" s="1254"/>
      <c r="U56" s="1254"/>
      <c r="V56" s="1254"/>
      <c r="W56" s="1254"/>
      <c r="X56" s="1254"/>
      <c r="Y56" s="1254"/>
      <c r="Z56" s="1254"/>
      <c r="AA56" s="1254"/>
      <c r="AB56" s="1254"/>
      <c r="AC56" s="1254"/>
    </row>
    <row r="57" spans="1:29" ht="21.75" thickBot="1">
      <c r="A57" s="741" t="s">
        <v>2468</v>
      </c>
      <c r="B57" s="737"/>
      <c r="C57" s="742"/>
      <c r="D57" s="742"/>
      <c r="E57" s="742"/>
      <c r="F57" s="743"/>
      <c r="G57" s="743"/>
      <c r="H57" s="742"/>
      <c r="I57" s="742"/>
      <c r="J57" s="742"/>
      <c r="K57" s="744"/>
      <c r="L57" s="1269"/>
      <c r="M57" s="1270"/>
      <c r="N57" s="1270"/>
      <c r="O57" s="1270"/>
      <c r="P57" s="2459"/>
      <c r="Q57" s="2460"/>
      <c r="R57" s="1254"/>
      <c r="S57" s="1254"/>
      <c r="T57" s="1254"/>
      <c r="U57" s="1254"/>
      <c r="V57" s="1254"/>
      <c r="W57" s="1254"/>
      <c r="X57" s="1254"/>
      <c r="Y57" s="1254"/>
      <c r="Z57" s="1254"/>
      <c r="AA57" s="1254"/>
      <c r="AB57" s="1254"/>
      <c r="AC57" s="1254"/>
    </row>
    <row r="58" spans="1:29" s="489" customFormat="1" ht="15">
      <c r="A58" s="486" t="s">
        <v>2350</v>
      </c>
      <c r="B58" s="487"/>
      <c r="C58" s="1675" t="str">
        <f>YEAR(C7)&amp;"-"&amp;MONTH(C7)</f>
        <v>2018-12</v>
      </c>
      <c r="D58" s="1676">
        <f>EDATE(C58,-1)</f>
        <v>43405</v>
      </c>
      <c r="E58" s="1676">
        <f t="shared" ref="E58:O58" si="16">EDATE(D58,-1)</f>
        <v>43374</v>
      </c>
      <c r="F58" s="1676">
        <f t="shared" si="16"/>
        <v>43344</v>
      </c>
      <c r="G58" s="1676">
        <f t="shared" si="16"/>
        <v>43313</v>
      </c>
      <c r="H58" s="1676">
        <f t="shared" si="16"/>
        <v>43282</v>
      </c>
      <c r="I58" s="1676">
        <f t="shared" si="16"/>
        <v>43252</v>
      </c>
      <c r="J58" s="1676">
        <f t="shared" si="16"/>
        <v>43221</v>
      </c>
      <c r="K58" s="1676">
        <f t="shared" si="16"/>
        <v>43191</v>
      </c>
      <c r="L58" s="1676">
        <f t="shared" si="16"/>
        <v>43160</v>
      </c>
      <c r="M58" s="1676">
        <f t="shared" si="16"/>
        <v>43132</v>
      </c>
      <c r="N58" s="1676">
        <f t="shared" si="16"/>
        <v>43101</v>
      </c>
      <c r="O58" s="1676">
        <f t="shared" si="16"/>
        <v>43070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2352</v>
      </c>
      <c r="B61" s="491"/>
      <c r="C61" s="503" t="s">
        <v>2353</v>
      </c>
      <c r="D61" s="504"/>
      <c r="E61" s="504"/>
      <c r="F61" s="504"/>
      <c r="G61" s="504"/>
      <c r="H61" s="504"/>
      <c r="I61" s="504"/>
      <c r="J61" s="504"/>
      <c r="K61" s="504"/>
      <c r="L61" s="505"/>
      <c r="M61" s="506"/>
      <c r="N61" s="1263"/>
      <c r="O61" s="1263"/>
      <c r="P61" s="2423"/>
      <c r="Q61" s="485"/>
    </row>
    <row r="62" spans="1:29" s="35" customFormat="1" ht="15.75" thickBot="1">
      <c r="A62" s="502"/>
      <c r="B62" s="491"/>
      <c r="C62" s="492">
        <v>100</v>
      </c>
      <c r="D62" s="493"/>
      <c r="E62" s="493"/>
      <c r="F62" s="493"/>
      <c r="G62" s="493"/>
      <c r="H62" s="493"/>
      <c r="I62" s="493"/>
      <c r="J62" s="493"/>
      <c r="K62" s="493"/>
      <c r="L62" s="493"/>
      <c r="M62" s="495"/>
      <c r="N62" s="1263"/>
      <c r="O62" s="1263"/>
      <c r="P62" s="2422"/>
      <c r="Q62" s="485"/>
    </row>
    <row r="63" spans="1:29">
      <c r="A63" s="508" t="s">
        <v>2391</v>
      </c>
      <c r="B63" s="509" t="s">
        <v>2356</v>
      </c>
      <c r="C63" s="510">
        <f>C9</f>
        <v>0</v>
      </c>
      <c r="D63" s="511"/>
      <c r="E63" s="511"/>
      <c r="F63" s="511"/>
      <c r="G63" s="511"/>
      <c r="H63" s="511"/>
      <c r="I63" s="511"/>
      <c r="J63" s="511"/>
      <c r="K63" s="512"/>
      <c r="L63" s="513"/>
      <c r="M63" s="514"/>
      <c r="N63" s="1264"/>
      <c r="O63" s="1264"/>
      <c r="P63" s="2424"/>
      <c r="Q63" s="485"/>
    </row>
    <row r="64" spans="1:29" ht="15.75" thickBot="1">
      <c r="A64" s="516"/>
      <c r="B64" s="517"/>
      <c r="C64" s="518">
        <v>100</v>
      </c>
      <c r="D64" s="518"/>
      <c r="E64" s="518"/>
      <c r="F64" s="518"/>
      <c r="G64" s="518"/>
      <c r="H64" s="518"/>
      <c r="I64" s="518"/>
      <c r="J64" s="518"/>
      <c r="K64" s="518"/>
      <c r="L64" s="518"/>
      <c r="M64" s="519"/>
      <c r="N64" s="1265"/>
      <c r="O64" s="1265"/>
      <c r="P64" s="2424"/>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4"/>
      <c r="O65" s="1264"/>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4"/>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4"/>
      <c r="Q67" s="485"/>
    </row>
    <row r="68" spans="1:17" ht="15">
      <c r="A68" s="516"/>
      <c r="B68" s="531"/>
      <c r="C68" s="532"/>
      <c r="D68" s="532"/>
      <c r="E68" s="532"/>
      <c r="F68" s="532"/>
      <c r="G68" s="532"/>
      <c r="H68" s="532"/>
      <c r="I68" s="532"/>
      <c r="J68" s="532"/>
      <c r="K68" s="533"/>
      <c r="L68" s="534"/>
      <c r="M68" s="535"/>
      <c r="N68" s="1264"/>
      <c r="O68" s="1264"/>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4"/>
      <c r="Q69" s="485"/>
    </row>
    <row r="70" spans="1:17" s="452" customFormat="1" ht="15.75" thickTop="1">
      <c r="A70" s="536"/>
      <c r="B70" s="521">
        <f>B12</f>
        <v>111</v>
      </c>
      <c r="C70" s="537"/>
      <c r="D70" s="537"/>
      <c r="E70" s="537"/>
      <c r="F70" s="537"/>
      <c r="G70" s="537"/>
      <c r="H70" s="538"/>
      <c r="I70" s="538"/>
      <c r="J70" s="538"/>
      <c r="K70" s="538"/>
      <c r="L70" s="539"/>
      <c r="M70" s="540"/>
      <c r="N70" s="1266"/>
      <c r="O70" s="1266"/>
      <c r="P70" s="2425"/>
      <c r="Q70" s="543"/>
    </row>
    <row r="71" spans="1:17" s="452" customFormat="1" ht="15.75" thickBot="1">
      <c r="A71" s="536"/>
      <c r="B71" s="526"/>
      <c r="C71" s="544"/>
      <c r="D71" s="518"/>
      <c r="E71" s="518"/>
      <c r="F71" s="518"/>
      <c r="G71" s="518"/>
      <c r="H71" s="518"/>
      <c r="I71" s="518"/>
      <c r="J71" s="518"/>
      <c r="K71" s="518"/>
      <c r="L71" s="518"/>
      <c r="M71" s="519"/>
      <c r="N71" s="1265"/>
      <c r="O71" s="1265"/>
      <c r="P71" s="2425"/>
      <c r="Q71" s="543"/>
    </row>
    <row r="72" spans="1:17" s="452" customFormat="1" ht="15.75" thickTop="1">
      <c r="A72" s="536"/>
      <c r="B72" s="521">
        <f>B13</f>
        <v>111</v>
      </c>
      <c r="C72" s="537"/>
      <c r="D72" s="537"/>
      <c r="E72" s="537"/>
      <c r="F72" s="537"/>
      <c r="G72" s="537"/>
      <c r="H72" s="538"/>
      <c r="I72" s="538"/>
      <c r="J72" s="538"/>
      <c r="K72" s="538"/>
      <c r="L72" s="539"/>
      <c r="M72" s="540"/>
      <c r="N72" s="1266"/>
      <c r="O72" s="1266"/>
      <c r="P72" s="2426"/>
      <c r="Q72" s="545"/>
    </row>
    <row r="73" spans="1:17" s="452" customFormat="1" ht="15.75" thickBot="1">
      <c r="A73" s="536"/>
      <c r="B73" s="526"/>
      <c r="C73" s="544"/>
      <c r="D73" s="518"/>
      <c r="E73" s="518"/>
      <c r="F73" s="518"/>
      <c r="G73" s="544"/>
      <c r="H73" s="546"/>
      <c r="I73" s="546"/>
      <c r="J73" s="546"/>
      <c r="K73" s="546"/>
      <c r="L73" s="546"/>
      <c r="M73" s="547"/>
      <c r="N73" s="1266"/>
      <c r="O73" s="1266"/>
      <c r="P73" s="2425"/>
      <c r="Q73" s="543"/>
    </row>
    <row r="74" spans="1:17" s="452" customFormat="1" ht="15.75" thickTop="1">
      <c r="A74" s="536"/>
      <c r="B74" s="529">
        <f>B14</f>
        <v>111</v>
      </c>
      <c r="C74" s="537"/>
      <c r="D74" s="537"/>
      <c r="E74" s="537"/>
      <c r="F74" s="537"/>
      <c r="G74" s="504"/>
      <c r="H74" s="548"/>
      <c r="I74" s="548"/>
      <c r="J74" s="548"/>
      <c r="K74" s="548"/>
      <c r="L74" s="549"/>
      <c r="M74" s="550"/>
      <c r="N74" s="1266"/>
      <c r="O74" s="1266"/>
      <c r="P74" s="2427"/>
      <c r="Q74" s="543"/>
    </row>
    <row r="75" spans="1:17" s="452" customFormat="1" ht="15.75" thickBot="1">
      <c r="A75" s="552"/>
      <c r="B75" s="553"/>
      <c r="C75" s="554"/>
      <c r="D75" s="554"/>
      <c r="E75" s="554"/>
      <c r="F75" s="554"/>
      <c r="G75" s="554"/>
      <c r="H75" s="555"/>
      <c r="I75" s="555"/>
      <c r="J75" s="555"/>
      <c r="K75" s="555"/>
      <c r="L75" s="555"/>
      <c r="M75" s="556"/>
      <c r="N75" s="1266"/>
      <c r="O75" s="1266"/>
      <c r="P75" s="2425"/>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4"/>
      <c r="O76" s="1264"/>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4"/>
      <c r="O78" s="1264"/>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4"/>
      <c r="O80" s="1264"/>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4"/>
      <c r="Q81" s="485"/>
    </row>
    <row r="82" spans="1:17" ht="15.75" thickTop="1">
      <c r="A82" s="516"/>
      <c r="B82" s="529" t="s">
        <v>2449</v>
      </c>
      <c r="C82" s="522" t="s">
        <v>2407</v>
      </c>
      <c r="D82" s="522" t="s">
        <v>2408</v>
      </c>
      <c r="E82" s="522" t="s">
        <v>2409</v>
      </c>
      <c r="F82" s="522" t="s">
        <v>2410</v>
      </c>
      <c r="G82" s="522" t="s">
        <v>2411</v>
      </c>
      <c r="H82" s="522"/>
      <c r="I82" s="522"/>
      <c r="J82" s="522"/>
      <c r="K82" s="522"/>
      <c r="L82" s="522"/>
      <c r="M82" s="1464"/>
      <c r="N82" s="1265"/>
      <c r="O82" s="1265"/>
      <c r="P82" s="2424"/>
      <c r="Q82" s="485"/>
    </row>
    <row r="83" spans="1:17" ht="15.75" thickBot="1">
      <c r="A83" s="516"/>
      <c r="B83" s="529"/>
      <c r="C83" s="527">
        <v>100</v>
      </c>
      <c r="D83" s="527">
        <f>C83-$K21</f>
        <v>100</v>
      </c>
      <c r="E83" s="527">
        <f>D83-$K21</f>
        <v>100</v>
      </c>
      <c r="F83" s="527">
        <f>E83-$K21</f>
        <v>100</v>
      </c>
      <c r="G83" s="527">
        <f>F83-$K21</f>
        <v>100</v>
      </c>
      <c r="H83" s="642"/>
      <c r="I83" s="642"/>
      <c r="J83" s="642"/>
      <c r="K83" s="642"/>
      <c r="L83" s="642"/>
      <c r="M83" s="430"/>
      <c r="N83" s="1265"/>
      <c r="O83" s="1265"/>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4"/>
      <c r="O84" s="1264"/>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4"/>
      <c r="Q85" s="485"/>
    </row>
    <row r="86" spans="1:17" s="35" customFormat="1" ht="15.75" thickTop="1">
      <c r="A86" s="563"/>
      <c r="B86" s="521" t="s">
        <v>2469</v>
      </c>
      <c r="C86" s="537"/>
      <c r="D86" s="537"/>
      <c r="E86" s="537"/>
      <c r="F86" s="537"/>
      <c r="G86" s="537"/>
      <c r="H86" s="537"/>
      <c r="I86" s="537"/>
      <c r="J86" s="537"/>
      <c r="K86" s="537"/>
      <c r="L86" s="564"/>
      <c r="M86" s="565"/>
      <c r="N86" s="1263"/>
      <c r="O86" s="1263"/>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3"/>
      <c r="O88" s="1263"/>
      <c r="P88" s="2424"/>
      <c r="Q88" s="485"/>
    </row>
    <row r="89" spans="1:17" s="35" customFormat="1" ht="15.75" thickBot="1">
      <c r="A89" s="563"/>
      <c r="B89" s="526"/>
      <c r="C89" s="544"/>
      <c r="D89" s="518"/>
      <c r="E89" s="518"/>
      <c r="F89" s="518"/>
      <c r="G89" s="518"/>
      <c r="H89" s="518"/>
      <c r="I89" s="518"/>
      <c r="J89" s="518"/>
      <c r="K89" s="518"/>
      <c r="L89" s="518"/>
      <c r="M89" s="518"/>
      <c r="N89" s="1265"/>
      <c r="O89" s="1265"/>
      <c r="P89" s="2424"/>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5"/>
      <c r="Q91" s="543"/>
    </row>
    <row r="92" spans="1:17" ht="15.75" thickTop="1">
      <c r="A92" s="516"/>
      <c r="B92" s="521" t="str">
        <f>B28</f>
        <v>楼层</v>
      </c>
      <c r="C92" s="537"/>
      <c r="D92" s="537"/>
      <c r="E92" s="537"/>
      <c r="F92" s="537"/>
      <c r="G92" s="537"/>
      <c r="H92" s="537"/>
      <c r="I92" s="537"/>
      <c r="J92" s="537"/>
      <c r="K92" s="537"/>
      <c r="L92" s="564"/>
      <c r="M92" s="565"/>
      <c r="N92" s="1264"/>
      <c r="O92" s="1264"/>
      <c r="P92" s="2424"/>
      <c r="Q92" s="485"/>
    </row>
    <row r="93" spans="1:17" ht="15.75" thickBot="1">
      <c r="A93" s="516"/>
      <c r="B93" s="526"/>
      <c r="C93" s="518"/>
      <c r="D93" s="518"/>
      <c r="E93" s="518"/>
      <c r="F93" s="518"/>
      <c r="G93" s="518"/>
      <c r="H93" s="518"/>
      <c r="I93" s="518"/>
      <c r="J93" s="518"/>
      <c r="K93" s="518"/>
      <c r="L93" s="518"/>
      <c r="M93" s="519"/>
      <c r="N93" s="1265"/>
      <c r="O93" s="1265"/>
      <c r="P93" s="2424"/>
      <c r="Q93" s="485"/>
    </row>
    <row r="94" spans="1:17" ht="15.75" thickTop="1">
      <c r="A94" s="516"/>
      <c r="B94" s="521">
        <f>B29</f>
        <v>111</v>
      </c>
      <c r="C94" s="537"/>
      <c r="D94" s="537"/>
      <c r="E94" s="537"/>
      <c r="F94" s="537"/>
      <c r="G94" s="567"/>
      <c r="H94" s="567"/>
      <c r="I94" s="567"/>
      <c r="J94" s="567"/>
      <c r="K94" s="568"/>
      <c r="L94" s="569"/>
      <c r="M94" s="570"/>
      <c r="N94" s="1264"/>
      <c r="O94" s="1264"/>
      <c r="P94" s="2424"/>
      <c r="Q94" s="485"/>
    </row>
    <row r="95" spans="1:17" ht="15.75" thickBot="1">
      <c r="A95" s="516"/>
      <c r="B95" s="526"/>
      <c r="C95" s="544"/>
      <c r="D95" s="518"/>
      <c r="E95" s="518"/>
      <c r="F95" s="518"/>
      <c r="G95" s="518"/>
      <c r="H95" s="518"/>
      <c r="I95" s="518"/>
      <c r="J95" s="518"/>
      <c r="K95" s="518"/>
      <c r="L95" s="518"/>
      <c r="M95" s="519"/>
      <c r="N95" s="1265"/>
      <c r="O95" s="1265"/>
      <c r="P95" s="2424"/>
      <c r="Q95" s="485"/>
    </row>
    <row r="96" spans="1:17" ht="15.75" thickTop="1">
      <c r="A96" s="516"/>
      <c r="B96" s="521">
        <f>B30</f>
        <v>111</v>
      </c>
      <c r="C96" s="537"/>
      <c r="D96" s="537"/>
      <c r="E96" s="537"/>
      <c r="F96" s="537"/>
      <c r="G96" s="567"/>
      <c r="H96" s="567"/>
      <c r="I96" s="567"/>
      <c r="J96" s="567"/>
      <c r="K96" s="568"/>
      <c r="L96" s="569"/>
      <c r="M96" s="570"/>
      <c r="N96" s="1264"/>
      <c r="O96" s="1264"/>
      <c r="P96" s="2424"/>
      <c r="Q96" s="485"/>
    </row>
    <row r="97" spans="1:17" ht="15.75" thickBot="1">
      <c r="A97" s="516"/>
      <c r="B97" s="526"/>
      <c r="C97" s="544"/>
      <c r="D97" s="518"/>
      <c r="E97" s="518"/>
      <c r="F97" s="518"/>
      <c r="G97" s="518"/>
      <c r="H97" s="518"/>
      <c r="I97" s="518"/>
      <c r="J97" s="518"/>
      <c r="K97" s="518"/>
      <c r="L97" s="518"/>
      <c r="M97" s="519"/>
      <c r="N97" s="1265"/>
      <c r="O97" s="1265"/>
      <c r="P97" s="2424"/>
      <c r="Q97" s="485"/>
    </row>
    <row r="98" spans="1:17" ht="15.75" thickTop="1">
      <c r="A98" s="516"/>
      <c r="B98" s="529">
        <f>B31</f>
        <v>111</v>
      </c>
      <c r="C98" s="537"/>
      <c r="D98" s="537"/>
      <c r="E98" s="537"/>
      <c r="F98" s="537"/>
      <c r="G98" s="571"/>
      <c r="H98" s="571"/>
      <c r="I98" s="571"/>
      <c r="J98" s="571"/>
      <c r="K98" s="572"/>
      <c r="L98" s="573"/>
      <c r="M98" s="574"/>
      <c r="N98" s="1264"/>
      <c r="O98" s="1264"/>
      <c r="P98" s="2424"/>
      <c r="Q98" s="485"/>
    </row>
    <row r="99" spans="1:17" ht="15.75" thickBot="1">
      <c r="A99" s="2430"/>
      <c r="B99" s="553"/>
      <c r="C99" s="554"/>
      <c r="D99" s="554"/>
      <c r="E99" s="554"/>
      <c r="F99" s="554"/>
      <c r="G99" s="575"/>
      <c r="H99" s="575"/>
      <c r="I99" s="575"/>
      <c r="J99" s="575"/>
      <c r="K99" s="575"/>
      <c r="L99" s="575"/>
      <c r="M99" s="576"/>
      <c r="N99" s="1265"/>
      <c r="O99" s="1265"/>
      <c r="P99" s="2424"/>
      <c r="Q99" s="485"/>
    </row>
    <row r="100" spans="1:17">
      <c r="A100" s="508" t="s">
        <v>2366</v>
      </c>
      <c r="B100" s="509" t="s">
        <v>2470</v>
      </c>
      <c r="C100" s="511"/>
      <c r="D100" s="511"/>
      <c r="E100" s="511"/>
      <c r="F100" s="511"/>
      <c r="G100" s="511"/>
      <c r="H100" s="511"/>
      <c r="I100" s="511"/>
      <c r="J100" s="511"/>
      <c r="K100" s="512"/>
      <c r="L100" s="513"/>
      <c r="M100" s="514"/>
      <c r="N100" s="1264"/>
      <c r="O100" s="1264"/>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4"/>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4"/>
      <c r="Q102" s="485"/>
    </row>
    <row r="103" spans="1:17" s="452" customFormat="1">
      <c r="A103" s="577"/>
      <c r="B103" s="578"/>
      <c r="C103" s="579"/>
      <c r="D103" s="579"/>
      <c r="E103" s="579"/>
      <c r="F103" s="579"/>
      <c r="G103" s="579"/>
      <c r="H103" s="579"/>
      <c r="I103" s="579"/>
      <c r="J103" s="580"/>
      <c r="K103" s="580"/>
      <c r="L103" s="581"/>
      <c r="M103" s="582"/>
      <c r="N103" s="1266"/>
      <c r="O103" s="1266"/>
      <c r="P103" s="2425"/>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5"/>
      <c r="Q104" s="543"/>
    </row>
    <row r="105" spans="1:17" ht="15" thickTop="1">
      <c r="A105" s="583"/>
      <c r="B105" s="521" t="s">
        <v>2417</v>
      </c>
      <c r="C105" s="537"/>
      <c r="D105" s="537"/>
      <c r="E105" s="567"/>
      <c r="F105" s="567"/>
      <c r="G105" s="567"/>
      <c r="H105" s="567"/>
      <c r="I105" s="567"/>
      <c r="J105" s="567"/>
      <c r="K105" s="568"/>
      <c r="L105" s="569"/>
      <c r="M105" s="570"/>
      <c r="N105" s="1264"/>
      <c r="O105" s="1264"/>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4"/>
      <c r="Q106" s="485"/>
    </row>
    <row r="107" spans="1:17" ht="15" thickTop="1">
      <c r="A107" s="583"/>
      <c r="B107" s="521" t="s">
        <v>2419</v>
      </c>
      <c r="C107" s="537"/>
      <c r="D107" s="537"/>
      <c r="E107" s="537"/>
      <c r="F107" s="567"/>
      <c r="G107" s="567"/>
      <c r="H107" s="567"/>
      <c r="I107" s="567"/>
      <c r="J107" s="567"/>
      <c r="K107" s="568"/>
      <c r="L107" s="569"/>
      <c r="M107" s="570"/>
      <c r="N107" s="1264"/>
      <c r="O107" s="1264"/>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4"/>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4"/>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4"/>
      <c r="Q111" s="485"/>
    </row>
    <row r="112" spans="1:17" s="452" customFormat="1" ht="15" thickTop="1">
      <c r="A112" s="577"/>
      <c r="B112" s="521" t="s">
        <v>2422</v>
      </c>
      <c r="C112" s="537"/>
      <c r="D112" s="537"/>
      <c r="E112" s="537"/>
      <c r="F112" s="537"/>
      <c r="G112" s="537"/>
      <c r="H112" s="567"/>
      <c r="I112" s="567"/>
      <c r="J112" s="567"/>
      <c r="K112" s="568"/>
      <c r="L112" s="569"/>
      <c r="M112" s="570"/>
      <c r="N112" s="1266"/>
      <c r="O112" s="1266"/>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5"/>
      <c r="Q113" s="543"/>
    </row>
    <row r="114" spans="1:17" ht="15" thickTop="1">
      <c r="A114" s="583"/>
      <c r="B114" s="521" t="s">
        <v>2471</v>
      </c>
      <c r="C114" s="537"/>
      <c r="D114" s="537"/>
      <c r="E114" s="567"/>
      <c r="F114" s="567"/>
      <c r="G114" s="567"/>
      <c r="H114" s="567"/>
      <c r="I114" s="567"/>
      <c r="J114" s="567"/>
      <c r="K114" s="568"/>
      <c r="L114" s="569"/>
      <c r="M114" s="570"/>
      <c r="N114" s="1264"/>
      <c r="O114" s="1264"/>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4"/>
      <c r="Q115" s="485"/>
    </row>
    <row r="116" spans="1:17" ht="15" thickTop="1">
      <c r="A116" s="583"/>
      <c r="B116" s="521" t="s">
        <v>2472</v>
      </c>
      <c r="C116" s="537"/>
      <c r="D116" s="537"/>
      <c r="E116" s="537"/>
      <c r="F116" s="537"/>
      <c r="G116" s="537"/>
      <c r="H116" s="567"/>
      <c r="I116" s="567"/>
      <c r="J116" s="567"/>
      <c r="K116" s="568"/>
      <c r="L116" s="569"/>
      <c r="M116" s="570"/>
      <c r="N116" s="1264"/>
      <c r="O116" s="1264"/>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4"/>
      <c r="Q117" s="485"/>
    </row>
    <row r="118" spans="1:17" ht="15" thickTop="1">
      <c r="A118" s="583"/>
      <c r="B118" s="521" t="s">
        <v>2473</v>
      </c>
      <c r="C118" s="611"/>
      <c r="D118" s="611"/>
      <c r="E118" s="611"/>
      <c r="F118" s="611"/>
      <c r="G118" s="611"/>
      <c r="H118" s="538"/>
      <c r="I118" s="538"/>
      <c r="J118" s="538"/>
      <c r="K118" s="538"/>
      <c r="L118" s="539"/>
      <c r="M118" s="540"/>
      <c r="N118" s="1264"/>
      <c r="O118" s="1264"/>
      <c r="P118" s="2424"/>
      <c r="Q118" s="485"/>
    </row>
    <row r="119" spans="1:17" ht="15.75" thickBot="1">
      <c r="A119" s="516"/>
      <c r="B119" s="526"/>
      <c r="C119" s="544"/>
      <c r="D119" s="518"/>
      <c r="E119" s="518"/>
      <c r="F119" s="518"/>
      <c r="G119" s="518"/>
      <c r="H119" s="518"/>
      <c r="I119" s="518"/>
      <c r="J119" s="518"/>
      <c r="K119" s="518"/>
      <c r="L119" s="518"/>
      <c r="M119" s="519"/>
      <c r="N119" s="1265"/>
      <c r="O119" s="1265"/>
      <c r="P119" s="2424"/>
      <c r="Q119" s="485"/>
    </row>
    <row r="120" spans="1:17" s="452" customFormat="1" ht="15" thickTop="1">
      <c r="A120" s="577"/>
      <c r="B120" s="521" t="s">
        <v>2474</v>
      </c>
      <c r="C120" s="567"/>
      <c r="D120" s="567"/>
      <c r="E120" s="567"/>
      <c r="F120" s="567"/>
      <c r="G120" s="538"/>
      <c r="H120" s="538"/>
      <c r="I120" s="538"/>
      <c r="J120" s="538"/>
      <c r="K120" s="538"/>
      <c r="L120" s="539"/>
      <c r="M120" s="540"/>
      <c r="N120" s="1266"/>
      <c r="O120" s="1266"/>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5"/>
      <c r="Q121" s="543"/>
    </row>
    <row r="122" spans="1:17" ht="15" thickTop="1">
      <c r="A122" s="583"/>
      <c r="B122" s="521" t="s">
        <v>2424</v>
      </c>
      <c r="C122" s="537"/>
      <c r="D122" s="537"/>
      <c r="E122" s="537"/>
      <c r="F122" s="567"/>
      <c r="G122" s="567"/>
      <c r="H122" s="567"/>
      <c r="I122" s="567"/>
      <c r="J122" s="567"/>
      <c r="K122" s="568"/>
      <c r="L122" s="569"/>
      <c r="M122" s="570"/>
      <c r="N122" s="1264"/>
      <c r="O122" s="1264"/>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4"/>
      <c r="O124" s="1264"/>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4"/>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5"/>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5"/>
      <c r="Q127" s="543"/>
    </row>
    <row r="128" spans="1:17" ht="15" thickTop="1">
      <c r="A128" s="583"/>
      <c r="B128" s="521">
        <f>B45</f>
        <v>111</v>
      </c>
      <c r="C128" s="537"/>
      <c r="D128" s="537"/>
      <c r="E128" s="537"/>
      <c r="F128" s="537"/>
      <c r="G128" s="567"/>
      <c r="H128" s="567"/>
      <c r="I128" s="567"/>
      <c r="J128" s="567"/>
      <c r="K128" s="568"/>
      <c r="L128" s="569"/>
      <c r="M128" s="570"/>
      <c r="N128" s="1264"/>
      <c r="O128" s="1264"/>
      <c r="P128" s="2424"/>
      <c r="Q128" s="485"/>
    </row>
    <row r="129" spans="1:17" ht="15.75" thickBot="1">
      <c r="A129" s="516"/>
      <c r="B129" s="526"/>
      <c r="C129" s="544"/>
      <c r="D129" s="518"/>
      <c r="E129" s="518"/>
      <c r="F129" s="518"/>
      <c r="G129" s="518"/>
      <c r="H129" s="518"/>
      <c r="I129" s="518"/>
      <c r="J129" s="518"/>
      <c r="K129" s="518"/>
      <c r="L129" s="518"/>
      <c r="M129" s="519"/>
      <c r="N129" s="1265"/>
      <c r="O129" s="1265"/>
      <c r="P129" s="2424"/>
      <c r="Q129" s="485"/>
    </row>
    <row r="130" spans="1:17" ht="15" thickTop="1">
      <c r="A130" s="583"/>
      <c r="B130" s="529">
        <f>B46</f>
        <v>111</v>
      </c>
      <c r="C130" s="537"/>
      <c r="D130" s="537"/>
      <c r="E130" s="537"/>
      <c r="F130" s="537"/>
      <c r="G130" s="571"/>
      <c r="H130" s="571"/>
      <c r="I130" s="571"/>
      <c r="J130" s="571"/>
      <c r="K130" s="504"/>
      <c r="L130" s="505"/>
      <c r="M130" s="574"/>
      <c r="N130" s="1264"/>
      <c r="O130" s="1264"/>
      <c r="P130" s="2424"/>
      <c r="Q130" s="485"/>
    </row>
    <row r="131" spans="1:17" ht="15.75" thickBot="1">
      <c r="A131" s="2430"/>
      <c r="B131" s="553"/>
      <c r="C131" s="554"/>
      <c r="D131" s="554"/>
      <c r="E131" s="554"/>
      <c r="F131" s="554"/>
      <c r="G131" s="575"/>
      <c r="H131" s="575"/>
      <c r="I131" s="575"/>
      <c r="J131" s="575"/>
      <c r="K131" s="575"/>
      <c r="L131" s="575"/>
      <c r="M131" s="576"/>
      <c r="N131" s="1265"/>
      <c r="O131" s="1265"/>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2475</v>
      </c>
      <c r="C1" s="1723"/>
      <c r="D1" s="1736"/>
      <c r="E1" s="2380"/>
      <c r="F1" s="1737" t="s">
        <v>2335</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7" customFormat="1" ht="28.5" customHeight="1" thickTop="1">
      <c r="A2" s="1724" t="s">
        <v>2006</v>
      </c>
      <c r="B2" s="1722" t="e">
        <f ca="1">IF(D2="——",IF(C2="元",ROUND(C50*D3,0),ROUND(C50*D3/10000,0)),IF(C2="元",ROUND(C50*D3,0),ROUND(C50*D3/10000,0))-E2)</f>
        <v>#DIV/0!</v>
      </c>
      <c r="C2" s="163" t="str">
        <f>'数据-取费表'!B3</f>
        <v>万元</v>
      </c>
      <c r="D2" s="2382"/>
      <c r="E2" s="1839" t="e">
        <f ca="1">SUMIF(INDIRECT("'"&amp;G2&amp;"'"&amp;"!A:A"),"承租人权益价值",INDIRECT("'"&amp;G2&amp;"'"&amp;"!c:c"))</f>
        <v>#REF!</v>
      </c>
      <c r="F2" s="2383" t="str">
        <f>C2</f>
        <v>万元</v>
      </c>
      <c r="G2" s="2384"/>
      <c r="H2" s="979"/>
      <c r="I2" s="979"/>
      <c r="J2" s="979"/>
      <c r="K2" s="979"/>
      <c r="L2" s="1238"/>
      <c r="M2" s="1239"/>
      <c r="N2" s="1239"/>
      <c r="O2" s="1239"/>
      <c r="P2" s="746"/>
      <c r="Q2" s="746"/>
      <c r="R2" s="746"/>
      <c r="S2" s="746"/>
      <c r="T2" s="746"/>
      <c r="U2" s="746"/>
      <c r="V2" s="746"/>
      <c r="W2" s="746"/>
      <c r="X2" s="746"/>
      <c r="Y2" s="746"/>
      <c r="Z2" s="746"/>
      <c r="AA2" s="746"/>
      <c r="AB2" s="2462"/>
      <c r="AC2" s="760"/>
    </row>
    <row r="3" spans="1:29" s="377" customFormat="1" ht="28.5" customHeight="1" thickBot="1">
      <c r="A3" s="167" t="s">
        <v>2007</v>
      </c>
      <c r="B3" s="593" t="e">
        <f ca="1">ROUND(IF(D2="——",C50,IF(C2="万元",B2*10000/D3,B2/D3)),0)</f>
        <v>#DIV/0!</v>
      </c>
      <c r="C3" s="379" t="s">
        <v>2336</v>
      </c>
      <c r="D3" s="378">
        <f>IF(C1="仅计算典型户型",'数据-取费表'!E5,'数据-取费表'!B5)</f>
        <v>14802.98</v>
      </c>
      <c r="E3" s="2454"/>
      <c r="F3" s="980"/>
      <c r="G3" s="979"/>
      <c r="H3" s="979"/>
      <c r="I3" s="979"/>
      <c r="J3" s="979"/>
      <c r="K3" s="981"/>
      <c r="L3" s="1238"/>
      <c r="M3" s="1239"/>
      <c r="N3" s="1239"/>
      <c r="O3" s="1239"/>
      <c r="P3" s="736"/>
      <c r="Q3" s="736"/>
      <c r="R3" s="736"/>
      <c r="S3" s="736"/>
      <c r="T3" s="736"/>
      <c r="U3" s="736"/>
      <c r="V3" s="736"/>
      <c r="W3" s="736"/>
      <c r="X3" s="746"/>
      <c r="Y3" s="736"/>
      <c r="Z3" s="736"/>
      <c r="AA3" s="736"/>
      <c r="AB3" s="2463"/>
      <c r="AC3" s="760"/>
    </row>
    <row r="4" spans="1:29" ht="15">
      <c r="A4" s="380" t="s">
        <v>2337</v>
      </c>
      <c r="B4" s="381"/>
      <c r="C4" s="3009" t="s">
        <v>2338</v>
      </c>
      <c r="D4" s="3010"/>
      <c r="E4" s="3011" t="s">
        <v>2339</v>
      </c>
      <c r="F4" s="3012"/>
      <c r="G4" s="3009" t="s">
        <v>2340</v>
      </c>
      <c r="H4" s="3010"/>
      <c r="I4" s="3009" t="s">
        <v>2341</v>
      </c>
      <c r="J4" s="3010"/>
      <c r="K4" s="594" t="s">
        <v>2342</v>
      </c>
      <c r="L4" s="1240"/>
      <c r="M4" s="1241"/>
      <c r="N4" s="1241"/>
      <c r="O4" s="1241"/>
      <c r="P4" s="3075" t="s">
        <v>2343</v>
      </c>
      <c r="Q4" s="3014"/>
      <c r="R4" s="3019" t="s">
        <v>2339</v>
      </c>
      <c r="S4" s="3020"/>
      <c r="T4" s="3019" t="s">
        <v>2340</v>
      </c>
      <c r="U4" s="3020"/>
      <c r="V4" s="3025" t="s">
        <v>2341</v>
      </c>
      <c r="W4" s="3025"/>
      <c r="X4" s="1896"/>
      <c r="Y4" s="3019" t="s">
        <v>2343</v>
      </c>
      <c r="Z4" s="3020"/>
      <c r="AA4" s="3006" t="s">
        <v>2339</v>
      </c>
      <c r="AB4" s="3006" t="s">
        <v>2340</v>
      </c>
      <c r="AC4" s="3006" t="s">
        <v>2341</v>
      </c>
    </row>
    <row r="5" spans="1:29" ht="15">
      <c r="A5" s="383"/>
      <c r="B5" s="384"/>
      <c r="C5" s="3002" t="s">
        <v>2344</v>
      </c>
      <c r="D5" s="3003"/>
      <c r="E5" s="3026" t="s">
        <v>2345</v>
      </c>
      <c r="F5" s="3027"/>
      <c r="G5" s="3002" t="s">
        <v>2346</v>
      </c>
      <c r="H5" s="3003"/>
      <c r="I5" s="3002" t="s">
        <v>2347</v>
      </c>
      <c r="J5" s="3003"/>
      <c r="K5" s="594"/>
      <c r="L5" s="1240"/>
      <c r="M5" s="1241"/>
      <c r="N5" s="1241"/>
      <c r="O5" s="1241"/>
      <c r="P5" s="3076"/>
      <c r="Q5" s="3016"/>
      <c r="R5" s="3021"/>
      <c r="S5" s="3022"/>
      <c r="T5" s="3021"/>
      <c r="U5" s="3022"/>
      <c r="V5" s="3025"/>
      <c r="W5" s="3025"/>
      <c r="X5" s="1896"/>
      <c r="Y5" s="3021"/>
      <c r="Z5" s="3022"/>
      <c r="AA5" s="3007"/>
      <c r="AB5" s="3007"/>
      <c r="AC5" s="3007"/>
    </row>
    <row r="6" spans="1:29" ht="15.75" thickBot="1">
      <c r="A6" s="385"/>
      <c r="B6" s="386"/>
      <c r="C6" s="2999" t="s">
        <v>2348</v>
      </c>
      <c r="D6" s="3000"/>
      <c r="E6" s="2997" t="s">
        <v>2348</v>
      </c>
      <c r="F6" s="2998"/>
      <c r="G6" s="2999" t="s">
        <v>2348</v>
      </c>
      <c r="H6" s="3000"/>
      <c r="I6" s="2999" t="s">
        <v>2348</v>
      </c>
      <c r="J6" s="3000"/>
      <c r="K6" s="594" t="s">
        <v>2349</v>
      </c>
      <c r="L6" s="1240"/>
      <c r="M6" s="1241"/>
      <c r="N6" s="1241"/>
      <c r="O6" s="1241"/>
      <c r="P6" s="3077"/>
      <c r="Q6" s="3018"/>
      <c r="R6" s="3021"/>
      <c r="S6" s="3022"/>
      <c r="T6" s="3023"/>
      <c r="U6" s="3024"/>
      <c r="V6" s="3025"/>
      <c r="W6" s="3025"/>
      <c r="X6" s="1896"/>
      <c r="Y6" s="3023"/>
      <c r="Z6" s="3024"/>
      <c r="AA6" s="3008"/>
      <c r="AB6" s="3008"/>
      <c r="AC6" s="3008"/>
    </row>
    <row r="7" spans="1:29" s="35" customFormat="1" ht="15.75" thickBot="1">
      <c r="A7" s="387" t="s">
        <v>2350</v>
      </c>
      <c r="B7" s="388"/>
      <c r="C7" s="389">
        <f>'数据-取费表'!B2</f>
        <v>43465</v>
      </c>
      <c r="D7" s="390">
        <v>100</v>
      </c>
      <c r="E7" s="391"/>
      <c r="F7" s="392">
        <f>SUMIF(59:59,YEAR(E7)&amp;"-"&amp;MONTH(E7),60:60)</f>
        <v>0</v>
      </c>
      <c r="G7" s="2464"/>
      <c r="H7" s="390">
        <f>SUMIF(59:59,YEAR(G7)&amp;"-"&amp;MONTH(G7),60:60)</f>
        <v>0</v>
      </c>
      <c r="I7" s="2464"/>
      <c r="J7" s="390">
        <f>SUMIF(59:59,YEAR(I7)&amp;"-"&amp;MONTH(I7),60:60)</f>
        <v>0</v>
      </c>
      <c r="K7" s="595"/>
      <c r="L7" s="1242"/>
      <c r="M7" s="1243"/>
      <c r="N7" s="1243"/>
      <c r="O7" s="1243"/>
      <c r="P7" s="3028" t="s">
        <v>2351</v>
      </c>
      <c r="Q7" s="3028"/>
      <c r="R7" s="748" t="s">
        <v>25</v>
      </c>
      <c r="S7" s="749">
        <f t="shared" ref="S7:S15" si="0">F7</f>
        <v>0</v>
      </c>
      <c r="T7" s="748" t="s">
        <v>25</v>
      </c>
      <c r="U7" s="749">
        <f t="shared" ref="U7:U15" si="1">H7</f>
        <v>0</v>
      </c>
      <c r="V7" s="748" t="s">
        <v>25</v>
      </c>
      <c r="W7" s="749">
        <f t="shared" ref="W7:W15" si="2">J7</f>
        <v>0</v>
      </c>
      <c r="X7" s="750"/>
      <c r="Y7" s="3004" t="s">
        <v>2351</v>
      </c>
      <c r="Z7" s="3005"/>
      <c r="AA7" s="751" t="e">
        <f>D7/F7</f>
        <v>#DIV/0!</v>
      </c>
      <c r="AB7" s="751" t="e">
        <f>D7/H7</f>
        <v>#DIV/0!</v>
      </c>
      <c r="AC7" s="751"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28" t="s">
        <v>2354</v>
      </c>
      <c r="Q8" s="3005"/>
      <c r="R8" s="748" t="s">
        <v>25</v>
      </c>
      <c r="S8" s="749">
        <f t="shared" si="0"/>
        <v>0</v>
      </c>
      <c r="T8" s="748" t="s">
        <v>25</v>
      </c>
      <c r="U8" s="749">
        <f t="shared" si="1"/>
        <v>0</v>
      </c>
      <c r="V8" s="748" t="s">
        <v>25</v>
      </c>
      <c r="W8" s="749">
        <f t="shared" si="2"/>
        <v>0</v>
      </c>
      <c r="X8" s="750"/>
      <c r="Y8" s="3004" t="s">
        <v>2354</v>
      </c>
      <c r="Z8" s="3005"/>
      <c r="AA8" s="751" t="e">
        <f t="shared" ref="AA8:AA47" si="3">D8/F8</f>
        <v>#DIV/0!</v>
      </c>
      <c r="AB8" s="751" t="e">
        <f t="shared" ref="AB8:AB47" si="4">D8/H8</f>
        <v>#DIV/0!</v>
      </c>
      <c r="AC8" s="751"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35" t="s">
        <v>2357</v>
      </c>
      <c r="Q9" s="1883" t="str">
        <f t="shared" ref="Q9:Q15" si="6">B9</f>
        <v>用途</v>
      </c>
      <c r="R9" s="748" t="s">
        <v>25</v>
      </c>
      <c r="S9" s="749">
        <f t="shared" si="0"/>
        <v>100</v>
      </c>
      <c r="T9" s="748" t="s">
        <v>25</v>
      </c>
      <c r="U9" s="749">
        <f t="shared" si="1"/>
        <v>100</v>
      </c>
      <c r="V9" s="748" t="s">
        <v>25</v>
      </c>
      <c r="W9" s="749">
        <f t="shared" si="2"/>
        <v>100</v>
      </c>
      <c r="X9" s="750"/>
      <c r="Y9" s="2877"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35"/>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35"/>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7">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35"/>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7">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35"/>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9">
        <v>111</v>
      </c>
      <c r="C14" s="2400"/>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35"/>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71.25">
      <c r="A15" s="419" t="s">
        <v>2361</v>
      </c>
      <c r="B15" s="613" t="s">
        <v>2476</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14" t="s">
        <v>2362</v>
      </c>
      <c r="Q15" s="1895" t="str">
        <f t="shared" si="6"/>
        <v>办公集聚程度</v>
      </c>
      <c r="R15" s="752" t="s">
        <v>25</v>
      </c>
      <c r="S15" s="753">
        <f t="shared" si="0"/>
        <v>100</v>
      </c>
      <c r="T15" s="752" t="s">
        <v>25</v>
      </c>
      <c r="U15" s="753">
        <f t="shared" si="1"/>
        <v>100</v>
      </c>
      <c r="V15" s="752" t="s">
        <v>25</v>
      </c>
      <c r="W15" s="753">
        <f t="shared" si="2"/>
        <v>100</v>
      </c>
      <c r="X15" s="1896"/>
      <c r="Y15" s="3029" t="s">
        <v>2362</v>
      </c>
      <c r="Z15" s="1898" t="str">
        <f t="shared" si="7"/>
        <v>办公集聚程度</v>
      </c>
      <c r="AA15" s="1899">
        <f t="shared" si="3"/>
        <v>1</v>
      </c>
      <c r="AB15" s="1899">
        <f t="shared" si="4"/>
        <v>1</v>
      </c>
      <c r="AC15" s="1899">
        <f t="shared" si="5"/>
        <v>1</v>
      </c>
    </row>
    <row r="16" spans="1:29" ht="15">
      <c r="A16" s="408"/>
      <c r="B16" s="614"/>
      <c r="C16" s="1469"/>
      <c r="D16" s="427"/>
      <c r="E16" s="426"/>
      <c r="F16" s="427"/>
      <c r="G16" s="1469"/>
      <c r="H16" s="430"/>
      <c r="I16" s="426"/>
      <c r="J16" s="427"/>
      <c r="K16" s="599"/>
      <c r="L16" s="1250"/>
      <c r="M16" s="1241"/>
      <c r="N16" s="1241"/>
      <c r="O16" s="1241"/>
      <c r="P16" s="3016"/>
      <c r="Q16" s="1895"/>
      <c r="R16" s="752"/>
      <c r="S16" s="753"/>
      <c r="T16" s="752"/>
      <c r="U16" s="753"/>
      <c r="V16" s="752"/>
      <c r="W16" s="753"/>
      <c r="X16" s="1896"/>
      <c r="Y16" s="3030"/>
      <c r="Z16" s="1898"/>
      <c r="AA16" s="1899">
        <v>1</v>
      </c>
      <c r="AB16" s="1899">
        <v>1</v>
      </c>
      <c r="AC16" s="1899">
        <v>1</v>
      </c>
    </row>
    <row r="17" spans="1:29" ht="85.5">
      <c r="A17" s="408"/>
      <c r="B17" s="615" t="s">
        <v>1748</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16"/>
      <c r="Q17" s="1895" t="str">
        <f>B17</f>
        <v>交通便捷度</v>
      </c>
      <c r="R17" s="752" t="s">
        <v>25</v>
      </c>
      <c r="S17" s="753">
        <f>F17</f>
        <v>100</v>
      </c>
      <c r="T17" s="752" t="s">
        <v>25</v>
      </c>
      <c r="U17" s="753">
        <f>H17</f>
        <v>100</v>
      </c>
      <c r="V17" s="752" t="s">
        <v>25</v>
      </c>
      <c r="W17" s="753">
        <f>J17</f>
        <v>100</v>
      </c>
      <c r="X17" s="1896"/>
      <c r="Y17" s="3030"/>
      <c r="Z17" s="1898" t="str">
        <f>Q17</f>
        <v>交通便捷度</v>
      </c>
      <c r="AA17" s="1899">
        <f t="shared" si="3"/>
        <v>1</v>
      </c>
      <c r="AB17" s="1899">
        <f t="shared" si="4"/>
        <v>1</v>
      </c>
      <c r="AC17" s="1899">
        <f t="shared" si="5"/>
        <v>1</v>
      </c>
    </row>
    <row r="18" spans="1:29" ht="15">
      <c r="A18" s="408"/>
      <c r="B18" s="616"/>
      <c r="C18" s="2467"/>
      <c r="D18" s="430"/>
      <c r="E18" s="2405"/>
      <c r="F18" s="430"/>
      <c r="G18" s="1465"/>
      <c r="H18" s="427"/>
      <c r="I18" s="1465"/>
      <c r="J18" s="427"/>
      <c r="K18" s="599"/>
      <c r="L18" s="1250"/>
      <c r="M18" s="1241"/>
      <c r="N18" s="1241"/>
      <c r="O18" s="1241"/>
      <c r="P18" s="3016"/>
      <c r="Q18" s="1895"/>
      <c r="R18" s="752"/>
      <c r="S18" s="753"/>
      <c r="T18" s="752"/>
      <c r="U18" s="753"/>
      <c r="V18" s="752"/>
      <c r="W18" s="753"/>
      <c r="X18" s="1896"/>
      <c r="Y18" s="3030"/>
      <c r="Z18" s="1898"/>
      <c r="AA18" s="1899">
        <v>1</v>
      </c>
      <c r="AB18" s="1899">
        <v>1</v>
      </c>
      <c r="AC18" s="1899">
        <v>1</v>
      </c>
    </row>
    <row r="19" spans="1:29" ht="42.75">
      <c r="A19" s="408"/>
      <c r="B19" s="615" t="s">
        <v>2477</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16"/>
      <c r="Q19" s="1895" t="str">
        <f>B19</f>
        <v>公共配套设施</v>
      </c>
      <c r="R19" s="752" t="s">
        <v>25</v>
      </c>
      <c r="S19" s="753">
        <f>F19</f>
        <v>100</v>
      </c>
      <c r="T19" s="752" t="s">
        <v>25</v>
      </c>
      <c r="U19" s="753">
        <f>H19</f>
        <v>100</v>
      </c>
      <c r="V19" s="752" t="s">
        <v>25</v>
      </c>
      <c r="W19" s="753">
        <f>J19</f>
        <v>100</v>
      </c>
      <c r="X19" s="1896"/>
      <c r="Y19" s="3030"/>
      <c r="Z19" s="1898" t="str">
        <f>Q19</f>
        <v>公共配套设施</v>
      </c>
      <c r="AA19" s="1899">
        <f t="shared" si="3"/>
        <v>1</v>
      </c>
      <c r="AB19" s="1899">
        <f t="shared" si="4"/>
        <v>1</v>
      </c>
      <c r="AC19" s="1899">
        <f t="shared" si="5"/>
        <v>1</v>
      </c>
    </row>
    <row r="20" spans="1:29" ht="15">
      <c r="A20" s="408"/>
      <c r="B20" s="616"/>
      <c r="C20" s="1469"/>
      <c r="D20" s="427"/>
      <c r="E20" s="2402"/>
      <c r="F20" s="427"/>
      <c r="G20" s="428"/>
      <c r="H20" s="427"/>
      <c r="I20" s="428"/>
      <c r="J20" s="427"/>
      <c r="K20" s="599"/>
      <c r="L20" s="1250"/>
      <c r="M20" s="1241"/>
      <c r="N20" s="1241"/>
      <c r="O20" s="1241"/>
      <c r="P20" s="3016"/>
      <c r="Q20" s="1895"/>
      <c r="R20" s="752"/>
      <c r="S20" s="753"/>
      <c r="T20" s="752"/>
      <c r="U20" s="753"/>
      <c r="V20" s="752"/>
      <c r="W20" s="753"/>
      <c r="X20" s="1896"/>
      <c r="Y20" s="3030"/>
      <c r="Z20" s="1898"/>
      <c r="AA20" s="1899">
        <v>1</v>
      </c>
      <c r="AB20" s="1899">
        <v>1</v>
      </c>
      <c r="AC20" s="1899">
        <v>1</v>
      </c>
    </row>
    <row r="21" spans="1:29" ht="28.5">
      <c r="A21" s="408"/>
      <c r="B21" s="617" t="s">
        <v>2478</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16"/>
      <c r="Q21" s="1895" t="str">
        <f>B21</f>
        <v>基础设施水平</v>
      </c>
      <c r="R21" s="752" t="s">
        <v>25</v>
      </c>
      <c r="S21" s="753">
        <f>F21</f>
        <v>100</v>
      </c>
      <c r="T21" s="752" t="s">
        <v>25</v>
      </c>
      <c r="U21" s="753">
        <f>H21</f>
        <v>100</v>
      </c>
      <c r="V21" s="752" t="s">
        <v>25</v>
      </c>
      <c r="W21" s="753">
        <f>J21</f>
        <v>100</v>
      </c>
      <c r="X21" s="1896"/>
      <c r="Y21" s="3030"/>
      <c r="Z21" s="1898" t="str">
        <f>Q21</f>
        <v>基础设施水平</v>
      </c>
      <c r="AA21" s="1899">
        <f t="shared" ref="AA21" si="8">D21/F21</f>
        <v>1</v>
      </c>
      <c r="AB21" s="1899">
        <f t="shared" ref="AB21" si="9">D21/H21</f>
        <v>1</v>
      </c>
      <c r="AC21" s="1899">
        <f t="shared" ref="AC21" si="10">D21/J21</f>
        <v>1</v>
      </c>
    </row>
    <row r="22" spans="1:29" ht="15">
      <c r="A22" s="408"/>
      <c r="B22" s="617"/>
      <c r="C22" s="2467"/>
      <c r="D22" s="427"/>
      <c r="E22" s="426"/>
      <c r="F22" s="427"/>
      <c r="G22" s="1469"/>
      <c r="H22" s="427"/>
      <c r="I22" s="1469"/>
      <c r="J22" s="427"/>
      <c r="K22" s="1466"/>
      <c r="L22" s="1250"/>
      <c r="M22" s="1241"/>
      <c r="N22" s="1241"/>
      <c r="O22" s="1241"/>
      <c r="P22" s="3016"/>
      <c r="Q22" s="1895"/>
      <c r="R22" s="752"/>
      <c r="S22" s="753"/>
      <c r="T22" s="752"/>
      <c r="U22" s="753"/>
      <c r="V22" s="752"/>
      <c r="W22" s="753"/>
      <c r="X22" s="1896"/>
      <c r="Y22" s="3030"/>
      <c r="Z22" s="1898"/>
      <c r="AA22" s="1899">
        <v>1</v>
      </c>
      <c r="AB22" s="1899">
        <v>1</v>
      </c>
      <c r="AC22" s="1899">
        <v>1</v>
      </c>
    </row>
    <row r="23" spans="1:29" ht="57">
      <c r="A23" s="408"/>
      <c r="B23" s="615" t="s">
        <v>2479</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16"/>
      <c r="Q23" s="1895" t="str">
        <f>B23</f>
        <v>环境质量</v>
      </c>
      <c r="R23" s="752" t="s">
        <v>25</v>
      </c>
      <c r="S23" s="753">
        <f>F23</f>
        <v>100</v>
      </c>
      <c r="T23" s="752" t="s">
        <v>25</v>
      </c>
      <c r="U23" s="753">
        <f>H23</f>
        <v>100</v>
      </c>
      <c r="V23" s="752" t="s">
        <v>25</v>
      </c>
      <c r="W23" s="753">
        <f>J23</f>
        <v>100</v>
      </c>
      <c r="X23" s="1896"/>
      <c r="Y23" s="3030"/>
      <c r="Z23" s="1898" t="str">
        <f>Q23</f>
        <v>环境质量</v>
      </c>
      <c r="AA23" s="1899">
        <f t="shared" si="3"/>
        <v>1</v>
      </c>
      <c r="AB23" s="1899">
        <f t="shared" si="4"/>
        <v>1</v>
      </c>
      <c r="AC23" s="1899">
        <f t="shared" si="5"/>
        <v>1</v>
      </c>
    </row>
    <row r="24" spans="1:29" ht="15">
      <c r="A24" s="408"/>
      <c r="B24" s="617"/>
      <c r="C24" s="1469"/>
      <c r="D24" s="427"/>
      <c r="E24" s="2402"/>
      <c r="F24" s="427"/>
      <c r="G24" s="428"/>
      <c r="H24" s="427"/>
      <c r="I24" s="428"/>
      <c r="J24" s="427"/>
      <c r="K24" s="599"/>
      <c r="L24" s="1250"/>
      <c r="M24" s="1241"/>
      <c r="N24" s="1241"/>
      <c r="O24" s="1241"/>
      <c r="P24" s="3016"/>
      <c r="Q24" s="1895"/>
      <c r="R24" s="752"/>
      <c r="S24" s="753"/>
      <c r="T24" s="752"/>
      <c r="U24" s="753"/>
      <c r="V24" s="752"/>
      <c r="W24" s="753"/>
      <c r="X24" s="1896"/>
      <c r="Y24" s="3030"/>
      <c r="Z24" s="1898"/>
      <c r="AA24" s="1899">
        <v>1</v>
      </c>
      <c r="AB24" s="1899">
        <v>1</v>
      </c>
      <c r="AC24" s="1899">
        <v>1</v>
      </c>
    </row>
    <row r="25" spans="1:29" ht="27">
      <c r="A25" s="383"/>
      <c r="B25" s="615" t="s">
        <v>2480</v>
      </c>
      <c r="C25" s="2468"/>
      <c r="D25" s="415">
        <v>100</v>
      </c>
      <c r="E25" s="414"/>
      <c r="F25" s="415">
        <f>SUMIF(87:87,E26,88:88)-SUMIF(87:87,C26,88:88)+100</f>
        <v>100</v>
      </c>
      <c r="G25" s="2468"/>
      <c r="H25" s="415">
        <f>SUMIF(87:87,G26,88:88)-SUMIF(87:87,C26,88:88)+100</f>
        <v>100</v>
      </c>
      <c r="I25" s="414"/>
      <c r="J25" s="415">
        <f>SUMIF(87:87,I26,88:88)-SUMIF(87:87,C26,88:88)+100</f>
        <v>100</v>
      </c>
      <c r="K25" s="598"/>
      <c r="L25" s="1250"/>
      <c r="M25" s="1241"/>
      <c r="N25" s="1241"/>
      <c r="O25" s="1241"/>
      <c r="P25" s="3016"/>
      <c r="Q25" s="1895" t="str">
        <f>B25</f>
        <v>毗邻道路的类型与等级</v>
      </c>
      <c r="R25" s="752" t="s">
        <v>25</v>
      </c>
      <c r="S25" s="753">
        <f>F25</f>
        <v>100</v>
      </c>
      <c r="T25" s="752" t="s">
        <v>25</v>
      </c>
      <c r="U25" s="753">
        <f>H25</f>
        <v>100</v>
      </c>
      <c r="V25" s="752" t="s">
        <v>25</v>
      </c>
      <c r="W25" s="753">
        <f>J25</f>
        <v>100</v>
      </c>
      <c r="X25" s="1896"/>
      <c r="Y25" s="3030"/>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0"/>
      <c r="M26" s="1241"/>
      <c r="N26" s="1241"/>
      <c r="O26" s="1241"/>
      <c r="P26" s="3016"/>
      <c r="Q26" s="1895"/>
      <c r="R26" s="752"/>
      <c r="S26" s="753"/>
      <c r="T26" s="752"/>
      <c r="U26" s="753"/>
      <c r="V26" s="752"/>
      <c r="W26" s="753"/>
      <c r="X26" s="1896"/>
      <c r="Y26" s="3030"/>
      <c r="Z26" s="1898"/>
      <c r="AA26" s="1899">
        <v>1</v>
      </c>
      <c r="AB26" s="1899">
        <v>1</v>
      </c>
      <c r="AC26" s="1899">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16"/>
      <c r="Q27" s="1895" t="str">
        <f t="shared" ref="Q27:Q47" si="11">B27</f>
        <v>楼层</v>
      </c>
      <c r="R27" s="752" t="s">
        <v>25</v>
      </c>
      <c r="S27" s="753">
        <f>F27</f>
        <v>100</v>
      </c>
      <c r="T27" s="752" t="s">
        <v>25</v>
      </c>
      <c r="U27" s="753">
        <f>H27</f>
        <v>100</v>
      </c>
      <c r="V27" s="752" t="s">
        <v>25</v>
      </c>
      <c r="W27" s="753">
        <f>J27</f>
        <v>100</v>
      </c>
      <c r="X27" s="1896"/>
      <c r="Y27" s="3030"/>
      <c r="Z27" s="1898" t="str">
        <f>Q27</f>
        <v>楼层</v>
      </c>
      <c r="AA27" s="1899">
        <f t="shared" si="3"/>
        <v>1</v>
      </c>
      <c r="AB27" s="1899">
        <f t="shared" si="4"/>
        <v>1</v>
      </c>
      <c r="AC27" s="1899">
        <f t="shared" si="5"/>
        <v>1</v>
      </c>
    </row>
    <row r="28" spans="1:29" s="35" customFormat="1" ht="15">
      <c r="A28" s="411"/>
      <c r="B28" s="615" t="s">
        <v>2481</v>
      </c>
      <c r="C28" s="2469"/>
      <c r="D28" s="443">
        <v>100</v>
      </c>
      <c r="E28" s="2456"/>
      <c r="F28" s="443">
        <f>SUMIF(91:91,E28,92:92)-SUMIF(91:91,C28,92:92)+100</f>
        <v>100</v>
      </c>
      <c r="G28" s="2469"/>
      <c r="H28" s="443">
        <f>SUMIF(91:91,G28,92:92)-SUMIF(91:91,C28,92:92)+100</f>
        <v>100</v>
      </c>
      <c r="I28" s="2456"/>
      <c r="J28" s="443">
        <f>SUMIF(91:91,I28,92:92)-SUMIF(91:91,C28,92:92)+100</f>
        <v>100</v>
      </c>
      <c r="K28" s="596"/>
      <c r="L28" s="1242"/>
      <c r="M28" s="1243"/>
      <c r="N28" s="1243"/>
      <c r="O28" s="1243"/>
      <c r="P28" s="3016"/>
      <c r="Q28" s="1883" t="str">
        <f t="shared" si="11"/>
        <v>朝向</v>
      </c>
      <c r="R28" s="748" t="s">
        <v>25</v>
      </c>
      <c r="S28" s="749">
        <f>F28</f>
        <v>100</v>
      </c>
      <c r="T28" s="748" t="s">
        <v>25</v>
      </c>
      <c r="U28" s="749">
        <f>H28</f>
        <v>100</v>
      </c>
      <c r="V28" s="748" t="s">
        <v>25</v>
      </c>
      <c r="W28" s="749">
        <f>J28</f>
        <v>100</v>
      </c>
      <c r="X28" s="750"/>
      <c r="Y28" s="3030"/>
      <c r="Z28" s="23" t="str">
        <f>Q28</f>
        <v>朝向</v>
      </c>
      <c r="AA28" s="1899">
        <f>D28/F28</f>
        <v>1</v>
      </c>
      <c r="AB28" s="1899">
        <f>D28/H28</f>
        <v>1</v>
      </c>
      <c r="AC28" s="1899">
        <f>D28/J28</f>
        <v>1</v>
      </c>
    </row>
    <row r="29" spans="1:29" ht="15">
      <c r="A29" s="408"/>
      <c r="B29" s="2470">
        <v>111</v>
      </c>
      <c r="C29" s="2468"/>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16"/>
      <c r="Q29" s="1895">
        <f t="shared" si="11"/>
        <v>111</v>
      </c>
      <c r="R29" s="752" t="s">
        <v>25</v>
      </c>
      <c r="S29" s="753">
        <f t="shared" ref="S29:S47" si="12">F29</f>
        <v>100</v>
      </c>
      <c r="T29" s="752" t="s">
        <v>25</v>
      </c>
      <c r="U29" s="753">
        <f t="shared" ref="U29:U47" si="13">H29</f>
        <v>100</v>
      </c>
      <c r="V29" s="752" t="s">
        <v>25</v>
      </c>
      <c r="W29" s="753">
        <f t="shared" ref="W29:W47" si="14">J29</f>
        <v>100</v>
      </c>
      <c r="X29" s="1896"/>
      <c r="Y29" s="3030"/>
      <c r="Z29" s="1898">
        <f t="shared" ref="Z29:Z47" si="15">Q29</f>
        <v>111</v>
      </c>
      <c r="AA29" s="1899">
        <f t="shared" si="3"/>
        <v>1</v>
      </c>
      <c r="AB29" s="1899">
        <f t="shared" si="4"/>
        <v>1</v>
      </c>
      <c r="AC29" s="1899">
        <f t="shared" si="5"/>
        <v>1</v>
      </c>
    </row>
    <row r="30" spans="1:29" ht="15">
      <c r="A30" s="408"/>
      <c r="B30" s="2470">
        <v>111</v>
      </c>
      <c r="C30" s="2468"/>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16"/>
      <c r="Q30" s="1895">
        <f t="shared" si="11"/>
        <v>111</v>
      </c>
      <c r="R30" s="752" t="s">
        <v>25</v>
      </c>
      <c r="S30" s="753">
        <f t="shared" si="12"/>
        <v>100</v>
      </c>
      <c r="T30" s="752" t="s">
        <v>25</v>
      </c>
      <c r="U30" s="753">
        <f t="shared" si="13"/>
        <v>100</v>
      </c>
      <c r="V30" s="752" t="s">
        <v>25</v>
      </c>
      <c r="W30" s="753">
        <f t="shared" si="14"/>
        <v>100</v>
      </c>
      <c r="X30" s="1896"/>
      <c r="Y30" s="3030"/>
      <c r="Z30" s="1898">
        <f t="shared" si="15"/>
        <v>111</v>
      </c>
      <c r="AA30" s="1899">
        <f t="shared" si="3"/>
        <v>1</v>
      </c>
      <c r="AB30" s="1899">
        <f t="shared" si="4"/>
        <v>1</v>
      </c>
      <c r="AC30" s="1899">
        <f t="shared" si="5"/>
        <v>1</v>
      </c>
    </row>
    <row r="31" spans="1:29" ht="15">
      <c r="A31" s="408"/>
      <c r="B31" s="2470">
        <v>111</v>
      </c>
      <c r="C31" s="2468"/>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16"/>
      <c r="Q31" s="1895">
        <f t="shared" si="11"/>
        <v>111</v>
      </c>
      <c r="R31" s="752" t="s">
        <v>25</v>
      </c>
      <c r="S31" s="753">
        <f t="shared" si="12"/>
        <v>100</v>
      </c>
      <c r="T31" s="752" t="s">
        <v>25</v>
      </c>
      <c r="U31" s="753">
        <f t="shared" si="13"/>
        <v>100</v>
      </c>
      <c r="V31" s="752" t="s">
        <v>25</v>
      </c>
      <c r="W31" s="753">
        <f t="shared" si="14"/>
        <v>100</v>
      </c>
      <c r="X31" s="1896"/>
      <c r="Y31" s="3030"/>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16"/>
      <c r="Q32" s="1895">
        <f t="shared" si="11"/>
        <v>111</v>
      </c>
      <c r="R32" s="752" t="s">
        <v>25</v>
      </c>
      <c r="S32" s="753">
        <f t="shared" si="12"/>
        <v>100</v>
      </c>
      <c r="T32" s="752" t="s">
        <v>25</v>
      </c>
      <c r="U32" s="753">
        <f t="shared" si="13"/>
        <v>100</v>
      </c>
      <c r="V32" s="752" t="s">
        <v>25</v>
      </c>
      <c r="W32" s="753">
        <f t="shared" si="14"/>
        <v>100</v>
      </c>
      <c r="X32" s="1896"/>
      <c r="Y32" s="3030"/>
      <c r="Z32" s="1898">
        <f t="shared" si="15"/>
        <v>111</v>
      </c>
      <c r="AA32" s="1899">
        <f t="shared" si="3"/>
        <v>1</v>
      </c>
      <c r="AB32" s="1899">
        <f t="shared" si="4"/>
        <v>1</v>
      </c>
      <c r="AC32" s="1899">
        <f t="shared" si="5"/>
        <v>1</v>
      </c>
    </row>
    <row r="33" spans="1:29" ht="15">
      <c r="A33" s="419" t="s">
        <v>2366</v>
      </c>
      <c r="B33" s="28" t="s">
        <v>2482</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0"/>
      <c r="M33" s="1241"/>
      <c r="N33" s="1241"/>
      <c r="O33" s="1241"/>
      <c r="P33" s="3078" t="s">
        <v>2368</v>
      </c>
      <c r="Q33" s="1895" t="str">
        <f t="shared" si="11"/>
        <v>建筑类型</v>
      </c>
      <c r="R33" s="752" t="s">
        <v>25</v>
      </c>
      <c r="S33" s="753">
        <f t="shared" si="12"/>
        <v>100</v>
      </c>
      <c r="T33" s="752" t="s">
        <v>25</v>
      </c>
      <c r="U33" s="753">
        <f t="shared" si="13"/>
        <v>100</v>
      </c>
      <c r="V33" s="752" t="s">
        <v>25</v>
      </c>
      <c r="W33" s="753">
        <f t="shared" si="14"/>
        <v>100</v>
      </c>
      <c r="X33" s="1896"/>
      <c r="Y33" s="3032" t="s">
        <v>2368</v>
      </c>
      <c r="Z33" s="1898" t="str">
        <f t="shared" si="15"/>
        <v>建筑类型</v>
      </c>
      <c r="AA33" s="1899">
        <f t="shared" si="3"/>
        <v>1</v>
      </c>
      <c r="AB33" s="1899">
        <f t="shared" si="4"/>
        <v>1</v>
      </c>
      <c r="AC33" s="1899">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79"/>
      <c r="Q34" s="754" t="str">
        <f t="shared" si="11"/>
        <v>项目建筑规模</v>
      </c>
      <c r="R34" s="755" t="s">
        <v>25</v>
      </c>
      <c r="S34" s="756" t="e">
        <f t="shared" si="12"/>
        <v>#N/A</v>
      </c>
      <c r="T34" s="755" t="s">
        <v>25</v>
      </c>
      <c r="U34" s="756" t="e">
        <f t="shared" si="13"/>
        <v>#N/A</v>
      </c>
      <c r="V34" s="755" t="s">
        <v>25</v>
      </c>
      <c r="W34" s="756" t="e">
        <f t="shared" si="14"/>
        <v>#N/A</v>
      </c>
      <c r="X34" s="757"/>
      <c r="Y34" s="3032"/>
      <c r="Z34" s="758" t="str">
        <f t="shared" si="15"/>
        <v>项目建筑规模</v>
      </c>
      <c r="AA34" s="1899" t="e">
        <f t="shared" si="3"/>
        <v>#N/A</v>
      </c>
      <c r="AB34" s="1899" t="e">
        <f t="shared" si="4"/>
        <v>#N/A</v>
      </c>
      <c r="AC34" s="1899"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79"/>
      <c r="Q35" s="1895" t="str">
        <f t="shared" si="11"/>
        <v>建筑结构</v>
      </c>
      <c r="R35" s="752" t="s">
        <v>25</v>
      </c>
      <c r="S35" s="753">
        <f t="shared" si="12"/>
        <v>100</v>
      </c>
      <c r="T35" s="752" t="s">
        <v>25</v>
      </c>
      <c r="U35" s="753">
        <f t="shared" si="13"/>
        <v>100</v>
      </c>
      <c r="V35" s="752" t="s">
        <v>25</v>
      </c>
      <c r="W35" s="753">
        <f t="shared" si="14"/>
        <v>100</v>
      </c>
      <c r="X35" s="1896"/>
      <c r="Y35" s="3032"/>
      <c r="Z35" s="1898" t="str">
        <f t="shared" si="15"/>
        <v>建筑结构</v>
      </c>
      <c r="AA35" s="1899">
        <f t="shared" si="3"/>
        <v>1</v>
      </c>
      <c r="AB35" s="1899">
        <f t="shared" si="4"/>
        <v>1</v>
      </c>
      <c r="AC35" s="1899">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79"/>
      <c r="Q36" s="1895" t="str">
        <f t="shared" si="11"/>
        <v>公共部分装修</v>
      </c>
      <c r="R36" s="752" t="s">
        <v>25</v>
      </c>
      <c r="S36" s="753">
        <f t="shared" si="12"/>
        <v>100</v>
      </c>
      <c r="T36" s="752" t="s">
        <v>25</v>
      </c>
      <c r="U36" s="753">
        <f t="shared" si="13"/>
        <v>100</v>
      </c>
      <c r="V36" s="752" t="s">
        <v>25</v>
      </c>
      <c r="W36" s="753">
        <f t="shared" si="14"/>
        <v>100</v>
      </c>
      <c r="X36" s="1896"/>
      <c r="Y36" s="3032"/>
      <c r="Z36" s="1898" t="str">
        <f t="shared" si="15"/>
        <v>公共部分装修</v>
      </c>
      <c r="AA36" s="1899">
        <f t="shared" si="3"/>
        <v>1</v>
      </c>
      <c r="AB36" s="1899">
        <f t="shared" si="4"/>
        <v>1</v>
      </c>
      <c r="AC36" s="1899">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79"/>
      <c r="Q37" s="1895" t="str">
        <f t="shared" si="11"/>
        <v>成新度</v>
      </c>
      <c r="R37" s="752" t="s">
        <v>25</v>
      </c>
      <c r="S37" s="753" t="e">
        <f t="shared" si="12"/>
        <v>#N/A</v>
      </c>
      <c r="T37" s="752" t="s">
        <v>25</v>
      </c>
      <c r="U37" s="753" t="e">
        <f t="shared" si="13"/>
        <v>#N/A</v>
      </c>
      <c r="V37" s="752" t="s">
        <v>25</v>
      </c>
      <c r="W37" s="753" t="e">
        <f t="shared" si="14"/>
        <v>#N/A</v>
      </c>
      <c r="X37" s="1896"/>
      <c r="Y37" s="3032"/>
      <c r="Z37" s="1898" t="str">
        <f t="shared" si="15"/>
        <v>成新度</v>
      </c>
      <c r="AA37" s="1899" t="e">
        <f t="shared" si="3"/>
        <v>#N/A</v>
      </c>
      <c r="AB37" s="1899" t="e">
        <f t="shared" si="4"/>
        <v>#N/A</v>
      </c>
      <c r="AC37" s="1899"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79"/>
      <c r="Q38" s="1883" t="str">
        <f t="shared" si="11"/>
        <v>写字楼等级</v>
      </c>
      <c r="R38" s="748" t="s">
        <v>25</v>
      </c>
      <c r="S38" s="749">
        <f t="shared" si="12"/>
        <v>100</v>
      </c>
      <c r="T38" s="748" t="s">
        <v>25</v>
      </c>
      <c r="U38" s="749">
        <f t="shared" si="13"/>
        <v>100</v>
      </c>
      <c r="V38" s="748" t="s">
        <v>25</v>
      </c>
      <c r="W38" s="749">
        <f t="shared" si="14"/>
        <v>100</v>
      </c>
      <c r="X38" s="750"/>
      <c r="Y38" s="3032"/>
      <c r="Z38" s="23" t="str">
        <f t="shared" si="15"/>
        <v>写字楼等级</v>
      </c>
      <c r="AA38" s="751">
        <f t="shared" si="3"/>
        <v>1</v>
      </c>
      <c r="AB38" s="751">
        <f t="shared" si="4"/>
        <v>1</v>
      </c>
      <c r="AC38" s="751">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79" t="s">
        <v>2368</v>
      </c>
      <c r="Q39" s="1895" t="str">
        <f t="shared" si="11"/>
        <v>物业管理</v>
      </c>
      <c r="R39" s="752" t="s">
        <v>25</v>
      </c>
      <c r="S39" s="753">
        <f t="shared" si="12"/>
        <v>100</v>
      </c>
      <c r="T39" s="752" t="s">
        <v>25</v>
      </c>
      <c r="U39" s="753">
        <f t="shared" si="13"/>
        <v>100</v>
      </c>
      <c r="V39" s="752" t="s">
        <v>25</v>
      </c>
      <c r="W39" s="753">
        <f t="shared" si="14"/>
        <v>100</v>
      </c>
      <c r="X39" s="1896"/>
      <c r="Y39" s="3032" t="s">
        <v>2368</v>
      </c>
      <c r="Z39" s="1898" t="str">
        <f t="shared" si="15"/>
        <v>物业管理</v>
      </c>
      <c r="AA39" s="1899">
        <f t="shared" si="3"/>
        <v>1</v>
      </c>
      <c r="AB39" s="1899">
        <f t="shared" si="4"/>
        <v>1</v>
      </c>
      <c r="AC39" s="1899">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79"/>
      <c r="Q40" s="1895" t="str">
        <f t="shared" si="11"/>
        <v>市政基础设施</v>
      </c>
      <c r="R40" s="752" t="s">
        <v>25</v>
      </c>
      <c r="S40" s="753">
        <f t="shared" si="12"/>
        <v>100</v>
      </c>
      <c r="T40" s="752" t="s">
        <v>25</v>
      </c>
      <c r="U40" s="753">
        <f t="shared" si="13"/>
        <v>100</v>
      </c>
      <c r="V40" s="752" t="s">
        <v>25</v>
      </c>
      <c r="W40" s="753">
        <f t="shared" si="14"/>
        <v>100</v>
      </c>
      <c r="X40" s="1896"/>
      <c r="Y40" s="3032"/>
      <c r="Z40" s="1898" t="str">
        <f t="shared" si="15"/>
        <v>市政基础设施</v>
      </c>
      <c r="AA40" s="1899">
        <f t="shared" si="3"/>
        <v>1</v>
      </c>
      <c r="AB40" s="1899">
        <f t="shared" si="4"/>
        <v>1</v>
      </c>
      <c r="AC40" s="1899">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79"/>
      <c r="Q41" s="1895" t="str">
        <f t="shared" si="11"/>
        <v>层高</v>
      </c>
      <c r="R41" s="752" t="s">
        <v>25</v>
      </c>
      <c r="S41" s="753">
        <f t="shared" si="12"/>
        <v>100</v>
      </c>
      <c r="T41" s="752" t="s">
        <v>25</v>
      </c>
      <c r="U41" s="753">
        <f t="shared" si="13"/>
        <v>100</v>
      </c>
      <c r="V41" s="752" t="s">
        <v>25</v>
      </c>
      <c r="W41" s="753">
        <f t="shared" si="14"/>
        <v>100</v>
      </c>
      <c r="X41" s="1896"/>
      <c r="Y41" s="3032"/>
      <c r="Z41" s="1898" t="str">
        <f t="shared" si="15"/>
        <v>层高</v>
      </c>
      <c r="AA41" s="1899">
        <f t="shared" si="3"/>
        <v>1</v>
      </c>
      <c r="AB41" s="1899">
        <f t="shared" si="4"/>
        <v>1</v>
      </c>
      <c r="AC41" s="1899">
        <f t="shared" si="5"/>
        <v>1</v>
      </c>
    </row>
    <row r="42" spans="1:29" s="452" customFormat="1" ht="15">
      <c r="A42" s="449"/>
      <c r="B42" s="1900"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79"/>
      <c r="Q42" s="754" t="str">
        <f t="shared" si="11"/>
        <v>单套建筑面积</v>
      </c>
      <c r="R42" s="755" t="s">
        <v>25</v>
      </c>
      <c r="S42" s="756">
        <f t="shared" si="12"/>
        <v>100</v>
      </c>
      <c r="T42" s="755" t="s">
        <v>25</v>
      </c>
      <c r="U42" s="756">
        <f t="shared" si="13"/>
        <v>100</v>
      </c>
      <c r="V42" s="755" t="s">
        <v>25</v>
      </c>
      <c r="W42" s="756">
        <f t="shared" si="14"/>
        <v>100</v>
      </c>
      <c r="X42" s="757"/>
      <c r="Y42" s="3032"/>
      <c r="Z42" s="758" t="str">
        <f t="shared" si="15"/>
        <v>单套建筑面积</v>
      </c>
      <c r="AA42" s="1899">
        <f t="shared" si="3"/>
        <v>1</v>
      </c>
      <c r="AB42" s="1899">
        <f t="shared" si="4"/>
        <v>1</v>
      </c>
      <c r="AC42" s="1899">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79"/>
      <c r="Q43" s="1895" t="str">
        <f t="shared" si="11"/>
        <v>内部装修</v>
      </c>
      <c r="R43" s="752" t="s">
        <v>25</v>
      </c>
      <c r="S43" s="753">
        <f t="shared" si="12"/>
        <v>100</v>
      </c>
      <c r="T43" s="752" t="s">
        <v>25</v>
      </c>
      <c r="U43" s="753">
        <f t="shared" si="13"/>
        <v>100</v>
      </c>
      <c r="V43" s="752" t="s">
        <v>25</v>
      </c>
      <c r="W43" s="753">
        <f t="shared" si="14"/>
        <v>100</v>
      </c>
      <c r="X43" s="1896"/>
      <c r="Y43" s="3032"/>
      <c r="Z43" s="1898" t="str">
        <f t="shared" si="15"/>
        <v>内部装修</v>
      </c>
      <c r="AA43" s="1899">
        <f t="shared" si="3"/>
        <v>1</v>
      </c>
      <c r="AB43" s="1899">
        <f t="shared" si="4"/>
        <v>1</v>
      </c>
      <c r="AC43" s="1899">
        <f t="shared" si="5"/>
        <v>1</v>
      </c>
    </row>
    <row r="44" spans="1:29" ht="15">
      <c r="A44" s="453"/>
      <c r="B44" s="402" t="s">
        <v>2379</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0"/>
      <c r="M44" s="1241"/>
      <c r="N44" s="1241"/>
      <c r="O44" s="1241"/>
      <c r="P44" s="3079"/>
      <c r="Q44" s="1895" t="str">
        <f t="shared" si="11"/>
        <v>内部装修维护情况</v>
      </c>
      <c r="R44" s="752" t="s">
        <v>25</v>
      </c>
      <c r="S44" s="753">
        <f t="shared" si="12"/>
        <v>100</v>
      </c>
      <c r="T44" s="752" t="s">
        <v>25</v>
      </c>
      <c r="U44" s="753">
        <f t="shared" si="13"/>
        <v>100</v>
      </c>
      <c r="V44" s="752" t="s">
        <v>25</v>
      </c>
      <c r="W44" s="753">
        <f t="shared" si="14"/>
        <v>100</v>
      </c>
      <c r="X44" s="1896"/>
      <c r="Y44" s="3032"/>
      <c r="Z44" s="1898" t="str">
        <f t="shared" si="15"/>
        <v>内部装修维护情况</v>
      </c>
      <c r="AA44" s="1899">
        <f t="shared" si="3"/>
        <v>1</v>
      </c>
      <c r="AB44" s="1899">
        <f t="shared" si="4"/>
        <v>1</v>
      </c>
      <c r="AC44" s="1899">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79"/>
      <c r="Q45" s="1883">
        <f t="shared" si="11"/>
        <v>111</v>
      </c>
      <c r="R45" s="748" t="s">
        <v>25</v>
      </c>
      <c r="S45" s="749">
        <f t="shared" si="12"/>
        <v>100</v>
      </c>
      <c r="T45" s="748" t="s">
        <v>25</v>
      </c>
      <c r="U45" s="749">
        <f t="shared" si="13"/>
        <v>100</v>
      </c>
      <c r="V45" s="748" t="s">
        <v>25</v>
      </c>
      <c r="W45" s="749">
        <f t="shared" si="14"/>
        <v>100</v>
      </c>
      <c r="X45" s="750"/>
      <c r="Y45" s="3032"/>
      <c r="Z45" s="23">
        <f t="shared" si="15"/>
        <v>111</v>
      </c>
      <c r="AA45" s="751">
        <f t="shared" si="3"/>
        <v>1</v>
      </c>
      <c r="AB45" s="751">
        <f t="shared" si="4"/>
        <v>1</v>
      </c>
      <c r="AC45" s="751">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79"/>
      <c r="Q46" s="1895">
        <f t="shared" si="11"/>
        <v>111</v>
      </c>
      <c r="R46" s="752" t="s">
        <v>25</v>
      </c>
      <c r="S46" s="753">
        <f t="shared" si="12"/>
        <v>100</v>
      </c>
      <c r="T46" s="752" t="s">
        <v>25</v>
      </c>
      <c r="U46" s="753">
        <f t="shared" si="13"/>
        <v>100</v>
      </c>
      <c r="V46" s="752" t="s">
        <v>25</v>
      </c>
      <c r="W46" s="753">
        <f t="shared" si="14"/>
        <v>100</v>
      </c>
      <c r="X46" s="1896"/>
      <c r="Y46" s="3032"/>
      <c r="Z46" s="1898">
        <f t="shared" si="15"/>
        <v>111</v>
      </c>
      <c r="AA46" s="1899">
        <f t="shared" si="3"/>
        <v>1</v>
      </c>
      <c r="AB46" s="1899">
        <f t="shared" si="4"/>
        <v>1</v>
      </c>
      <c r="AC46" s="1899">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80"/>
      <c r="Q47" s="1895">
        <f t="shared" si="11"/>
        <v>111</v>
      </c>
      <c r="R47" s="752" t="s">
        <v>25</v>
      </c>
      <c r="S47" s="753">
        <f t="shared" si="12"/>
        <v>100</v>
      </c>
      <c r="T47" s="752" t="s">
        <v>25</v>
      </c>
      <c r="U47" s="753">
        <f t="shared" si="13"/>
        <v>100</v>
      </c>
      <c r="V47" s="752" t="s">
        <v>25</v>
      </c>
      <c r="W47" s="753">
        <f t="shared" si="14"/>
        <v>100</v>
      </c>
      <c r="X47" s="1896"/>
      <c r="Y47" s="3069"/>
      <c r="Z47" s="1898">
        <f t="shared" si="15"/>
        <v>111</v>
      </c>
      <c r="AA47" s="1899">
        <f t="shared" si="3"/>
        <v>1</v>
      </c>
      <c r="AB47" s="1899">
        <f t="shared" si="4"/>
        <v>1</v>
      </c>
      <c r="AC47" s="1899">
        <f t="shared" si="5"/>
        <v>1</v>
      </c>
    </row>
    <row r="48" spans="1:29" ht="15">
      <c r="A48" s="460" t="s">
        <v>2380</v>
      </c>
      <c r="B48" s="461"/>
      <c r="C48" s="1499" t="s">
        <v>1</v>
      </c>
      <c r="D48" s="1500"/>
      <c r="E48" s="1501"/>
      <c r="F48" s="1502"/>
      <c r="G48" s="1503"/>
      <c r="H48" s="1504"/>
      <c r="I48" s="1501"/>
      <c r="J48" s="1504"/>
      <c r="K48" s="761"/>
      <c r="L48" s="1253"/>
      <c r="M48" s="1241"/>
      <c r="N48" s="1241"/>
      <c r="O48" s="1241"/>
      <c r="P48" s="3035" t="str">
        <f>A48</f>
        <v>成交单价（元/平方米）</v>
      </c>
      <c r="Q48" s="3001"/>
      <c r="R48" s="3033">
        <f>E48</f>
        <v>0</v>
      </c>
      <c r="S48" s="3033"/>
      <c r="T48" s="3033">
        <f>G48</f>
        <v>0</v>
      </c>
      <c r="U48" s="3033"/>
      <c r="V48" s="3033">
        <f>I48</f>
        <v>0</v>
      </c>
      <c r="W48" s="3033"/>
      <c r="X48" s="737"/>
      <c r="Y48" s="759"/>
      <c r="Z48" s="737"/>
      <c r="AA48" s="737"/>
      <c r="AB48" s="737"/>
      <c r="AC48" s="737"/>
    </row>
    <row r="49" spans="1:29" ht="15.75" thickBot="1">
      <c r="A49" s="467" t="s">
        <v>2463</v>
      </c>
      <c r="B49" s="468"/>
      <c r="C49" s="1505" t="e">
        <f>R50</f>
        <v>#DIV/0!</v>
      </c>
      <c r="D49" s="1506"/>
      <c r="E49" s="1507" t="e">
        <f>R49</f>
        <v>#DIV/0!</v>
      </c>
      <c r="F49" s="1507"/>
      <c r="G49" s="1505" t="e">
        <f>T49</f>
        <v>#DIV/0!</v>
      </c>
      <c r="H49" s="1506"/>
      <c r="I49" s="1507" t="e">
        <f>V49</f>
        <v>#DIV/0!</v>
      </c>
      <c r="J49" s="1506"/>
      <c r="K49" s="762"/>
      <c r="L49" s="1253"/>
      <c r="M49" s="1241"/>
      <c r="N49" s="1241"/>
      <c r="O49" s="1241"/>
      <c r="P49" s="3035" t="str">
        <f>A49</f>
        <v>比较价值（元/平方米）</v>
      </c>
      <c r="Q49" s="3001"/>
      <c r="R49" s="3033" t="e">
        <f>IF(E1="售价",ROUND(PRODUCT(R48,AA7:AA47),0),ROUND(PRODUCT(R48,AA7:AA47),1))</f>
        <v>#DIV/0!</v>
      </c>
      <c r="S49" s="3033"/>
      <c r="T49" s="3033" t="e">
        <f>IF(E1="售价",ROUND(PRODUCT(T48,AB7:AB47),0),ROUND(PRODUCT(T48,AB7:AB47),1))</f>
        <v>#DIV/0!</v>
      </c>
      <c r="U49" s="3033"/>
      <c r="V49" s="3033" t="e">
        <f>IF(E1="售价",ROUND(PRODUCT(V48,AC7:AC47),0),ROUND(PRODUCT(V48,AC7:AC47),1))</f>
        <v>#DIV/0!</v>
      </c>
      <c r="W49" s="3033"/>
      <c r="X49" s="737"/>
      <c r="Y49" s="737"/>
      <c r="Z49" s="737"/>
      <c r="AA49" s="737"/>
      <c r="AB49" s="737"/>
      <c r="AC49" s="737"/>
    </row>
    <row r="50" spans="1:29" ht="15.75" thickBot="1">
      <c r="A50" s="473" t="s">
        <v>2486</v>
      </c>
      <c r="B50" s="474"/>
      <c r="C50" s="1509" t="e">
        <f>R50</f>
        <v>#DIV/0!</v>
      </c>
      <c r="D50" s="1509"/>
      <c r="E50" s="1509"/>
      <c r="F50" s="1509"/>
      <c r="G50" s="1509"/>
      <c r="H50" s="1509"/>
      <c r="I50" s="1509"/>
      <c r="J50" s="1509"/>
      <c r="K50" s="763"/>
      <c r="L50" s="1253"/>
      <c r="M50" s="1241"/>
      <c r="N50" s="1241"/>
      <c r="O50" s="1241"/>
      <c r="P50" s="3081" t="str">
        <f>A50</f>
        <v>估价对象XX用房的比较价值（楼面单价，元/平方米）</v>
      </c>
      <c r="Q50" s="3035"/>
      <c r="R50" s="3036" t="e">
        <f>IF(E1="售价",ROUND(AVERAGE(R49:V49),0),ROUND(AVERAGE(R49:V49),1))</f>
        <v>#DIV/0!</v>
      </c>
      <c r="S50" s="3036"/>
      <c r="T50" s="3036"/>
      <c r="U50" s="3036"/>
      <c r="V50" s="3036"/>
      <c r="W50" s="3036"/>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2468</v>
      </c>
      <c r="B58" s="737"/>
      <c r="C58" s="742"/>
      <c r="D58" s="742"/>
      <c r="E58" s="742"/>
      <c r="F58" s="743"/>
      <c r="G58" s="743"/>
      <c r="H58" s="742"/>
      <c r="I58" s="742"/>
      <c r="J58" s="742"/>
      <c r="K58" s="744"/>
      <c r="L58" s="745"/>
      <c r="M58" s="742"/>
      <c r="N58" s="742"/>
      <c r="O58" s="742"/>
      <c r="P58" s="484"/>
      <c r="Q58" s="485"/>
    </row>
    <row r="59" spans="1:29" s="489" customFormat="1" ht="15">
      <c r="A59" s="486" t="s">
        <v>2350</v>
      </c>
      <c r="B59" s="487"/>
      <c r="C59" s="1675" t="str">
        <f>YEAR(C7)&amp;"-"&amp;MONTH(C7)</f>
        <v>2018-12</v>
      </c>
      <c r="D59" s="1676">
        <f>EDATE(C59,-1)</f>
        <v>43405</v>
      </c>
      <c r="E59" s="1676">
        <f t="shared" ref="E59:O59" si="16">EDATE(D59,-1)</f>
        <v>43374</v>
      </c>
      <c r="F59" s="1676">
        <f t="shared" si="16"/>
        <v>43344</v>
      </c>
      <c r="G59" s="1676">
        <f t="shared" si="16"/>
        <v>43313</v>
      </c>
      <c r="H59" s="1676">
        <f t="shared" si="16"/>
        <v>43282</v>
      </c>
      <c r="I59" s="1676">
        <f t="shared" si="16"/>
        <v>43252</v>
      </c>
      <c r="J59" s="1676">
        <f t="shared" si="16"/>
        <v>43221</v>
      </c>
      <c r="K59" s="1676">
        <f t="shared" si="16"/>
        <v>43191</v>
      </c>
      <c r="L59" s="1676">
        <f t="shared" si="16"/>
        <v>43160</v>
      </c>
      <c r="M59" s="1676">
        <f t="shared" si="16"/>
        <v>43132</v>
      </c>
      <c r="N59" s="1676">
        <f t="shared" si="16"/>
        <v>43101</v>
      </c>
      <c r="O59" s="1676">
        <f t="shared" si="16"/>
        <v>43070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2391</v>
      </c>
      <c r="B64" s="509" t="s">
        <v>2356</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2"/>
      <c r="I84" s="642"/>
      <c r="J84" s="642"/>
      <c r="K84" s="642"/>
      <c r="L84" s="642"/>
      <c r="M84" s="430"/>
      <c r="N84" s="1265"/>
      <c r="O84" s="1265"/>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2489</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9"/>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30"/>
      <c r="B100" s="553"/>
      <c r="C100" s="554"/>
      <c r="D100" s="554"/>
      <c r="E100" s="554"/>
      <c r="F100" s="554"/>
      <c r="G100" s="575"/>
      <c r="H100" s="575"/>
      <c r="I100" s="575"/>
      <c r="J100" s="575"/>
      <c r="K100" s="575"/>
      <c r="L100" s="575"/>
      <c r="M100" s="576"/>
      <c r="N100" s="1265"/>
      <c r="O100" s="1265"/>
      <c r="P100" s="22"/>
      <c r="Q100" s="485"/>
    </row>
    <row r="101" spans="1:17">
      <c r="A101" s="508" t="s">
        <v>2366</v>
      </c>
      <c r="B101" s="509" t="s">
        <v>2415</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2417</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2419</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2490</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2421</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2422</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2491</v>
      </c>
      <c r="C119" s="567"/>
      <c r="D119" s="567"/>
      <c r="E119" s="567"/>
      <c r="F119" s="567"/>
      <c r="G119" s="567"/>
      <c r="H119" s="567"/>
      <c r="I119" s="567"/>
      <c r="J119" s="567"/>
      <c r="K119" s="567"/>
      <c r="L119" s="2472"/>
      <c r="M119" s="2473"/>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2473</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2424</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4"/>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2333</v>
      </c>
      <c r="B1" s="1731" t="s">
        <v>2492</v>
      </c>
      <c r="C1" s="1723"/>
      <c r="D1" s="1736"/>
      <c r="E1" s="2380"/>
      <c r="F1" s="1737" t="s">
        <v>2335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79"/>
      <c r="I2" s="979"/>
      <c r="J2" s="979"/>
      <c r="K2" s="979"/>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2007</v>
      </c>
      <c r="B3" s="593" t="e">
        <f ca="1">ROUND(IF(D2="——",C43,IF(C2="万元",B2*10000/D3,B2/D3)),0)</f>
        <v>#DIV/0!</v>
      </c>
      <c r="C3" s="379" t="s">
        <v>2336</v>
      </c>
      <c r="D3" s="378">
        <f>IF(C1="仅计算典型户型",'数据-取费表'!E5,'数据-取费表'!B5)</f>
        <v>14802.98</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2337</v>
      </c>
      <c r="B4" s="381"/>
      <c r="C4" s="3009" t="s">
        <v>2338</v>
      </c>
      <c r="D4" s="3010"/>
      <c r="E4" s="3011" t="s">
        <v>2339</v>
      </c>
      <c r="F4" s="3012"/>
      <c r="G4" s="3009" t="s">
        <v>2340</v>
      </c>
      <c r="H4" s="3010"/>
      <c r="I4" s="3009" t="s">
        <v>2341</v>
      </c>
      <c r="J4" s="3010"/>
      <c r="K4" s="594" t="s">
        <v>2342</v>
      </c>
      <c r="L4" s="1240"/>
      <c r="M4" s="1241"/>
      <c r="N4" s="1241"/>
      <c r="O4" s="1241"/>
      <c r="P4" s="3013" t="s">
        <v>2343</v>
      </c>
      <c r="Q4" s="3014"/>
      <c r="R4" s="3019" t="s">
        <v>2339</v>
      </c>
      <c r="S4" s="3020"/>
      <c r="T4" s="3019" t="s">
        <v>2340</v>
      </c>
      <c r="U4" s="3020"/>
      <c r="V4" s="3025" t="s">
        <v>2341</v>
      </c>
      <c r="W4" s="3025"/>
      <c r="X4" s="1896"/>
      <c r="Y4" s="3019" t="s">
        <v>2343</v>
      </c>
      <c r="Z4" s="3020"/>
      <c r="AA4" s="3006" t="s">
        <v>2339</v>
      </c>
      <c r="AB4" s="3007" t="s">
        <v>2340</v>
      </c>
      <c r="AC4" s="3006" t="s">
        <v>2341</v>
      </c>
    </row>
    <row r="5" spans="1:29" ht="15">
      <c r="A5" s="383"/>
      <c r="B5" s="384"/>
      <c r="C5" s="3002" t="s">
        <v>2344</v>
      </c>
      <c r="D5" s="3003"/>
      <c r="E5" s="3026" t="s">
        <v>2345</v>
      </c>
      <c r="F5" s="3027"/>
      <c r="G5" s="3002" t="s">
        <v>2346</v>
      </c>
      <c r="H5" s="3003"/>
      <c r="I5" s="3002" t="s">
        <v>2347</v>
      </c>
      <c r="J5" s="3003"/>
      <c r="K5" s="594"/>
      <c r="L5" s="1240"/>
      <c r="M5" s="1241"/>
      <c r="N5" s="1241"/>
      <c r="O5" s="1241"/>
      <c r="P5" s="3015"/>
      <c r="Q5" s="3016"/>
      <c r="R5" s="3021"/>
      <c r="S5" s="3022"/>
      <c r="T5" s="3021"/>
      <c r="U5" s="3022"/>
      <c r="V5" s="3025"/>
      <c r="W5" s="3025"/>
      <c r="X5" s="1896"/>
      <c r="Y5" s="3021"/>
      <c r="Z5" s="3022"/>
      <c r="AA5" s="3007"/>
      <c r="AB5" s="3007"/>
      <c r="AC5" s="3007"/>
    </row>
    <row r="6" spans="1:29" ht="15.75" thickBot="1">
      <c r="A6" s="385"/>
      <c r="B6" s="386"/>
      <c r="C6" s="2999" t="s">
        <v>2348</v>
      </c>
      <c r="D6" s="3000"/>
      <c r="E6" s="2997" t="s">
        <v>2348</v>
      </c>
      <c r="F6" s="2998"/>
      <c r="G6" s="2999" t="s">
        <v>2348</v>
      </c>
      <c r="H6" s="3000"/>
      <c r="I6" s="2999" t="s">
        <v>2348</v>
      </c>
      <c r="J6" s="3000"/>
      <c r="K6" s="594" t="s">
        <v>2349</v>
      </c>
      <c r="L6" s="1240"/>
      <c r="M6" s="1241"/>
      <c r="N6" s="1241"/>
      <c r="O6" s="1241"/>
      <c r="P6" s="3017"/>
      <c r="Q6" s="3018"/>
      <c r="R6" s="3021"/>
      <c r="S6" s="3022"/>
      <c r="T6" s="3023"/>
      <c r="U6" s="3024"/>
      <c r="V6" s="3025"/>
      <c r="W6" s="3025"/>
      <c r="X6" s="1896"/>
      <c r="Y6" s="3023"/>
      <c r="Z6" s="3024"/>
      <c r="AA6" s="3008"/>
      <c r="AB6" s="3008"/>
      <c r="AC6" s="3008"/>
    </row>
    <row r="7" spans="1:29" s="35" customFormat="1" ht="15.75" thickBot="1">
      <c r="A7" s="387" t="s">
        <v>2350</v>
      </c>
      <c r="B7" s="388"/>
      <c r="C7" s="389">
        <f>'数据-取费表'!B2</f>
        <v>43465</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04" t="s">
        <v>2351</v>
      </c>
      <c r="Q7" s="3028"/>
      <c r="R7" s="748" t="s">
        <v>25</v>
      </c>
      <c r="S7" s="749">
        <f t="shared" ref="S7:S15" si="0">F7</f>
        <v>0</v>
      </c>
      <c r="T7" s="748" t="s">
        <v>25</v>
      </c>
      <c r="U7" s="749">
        <f t="shared" ref="U7:U15" si="1">H7</f>
        <v>0</v>
      </c>
      <c r="V7" s="748" t="s">
        <v>25</v>
      </c>
      <c r="W7" s="749">
        <f t="shared" ref="W7:W15" si="2">J7</f>
        <v>0</v>
      </c>
      <c r="X7" s="750"/>
      <c r="Y7" s="3004" t="s">
        <v>2351</v>
      </c>
      <c r="Z7" s="3005"/>
      <c r="AA7" s="751" t="e">
        <f>D7/F7</f>
        <v>#DIV/0!</v>
      </c>
      <c r="AB7" s="751" t="e">
        <f>D7/H7</f>
        <v>#DIV/0!</v>
      </c>
      <c r="AC7" s="751"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04" t="s">
        <v>2354</v>
      </c>
      <c r="Q8" s="3005"/>
      <c r="R8" s="748" t="s">
        <v>25</v>
      </c>
      <c r="S8" s="749">
        <f t="shared" si="0"/>
        <v>100</v>
      </c>
      <c r="T8" s="748" t="s">
        <v>25</v>
      </c>
      <c r="U8" s="749">
        <f t="shared" si="1"/>
        <v>100</v>
      </c>
      <c r="V8" s="748" t="s">
        <v>25</v>
      </c>
      <c r="W8" s="749">
        <f t="shared" si="2"/>
        <v>100</v>
      </c>
      <c r="X8" s="750"/>
      <c r="Y8" s="3004" t="s">
        <v>2354</v>
      </c>
      <c r="Z8" s="3005"/>
      <c r="AA8" s="751">
        <f t="shared" ref="AA8:AA40" si="3">D8/F8</f>
        <v>1</v>
      </c>
      <c r="AB8" s="751">
        <f t="shared" ref="AB8:AB40" si="4">D8/H8</f>
        <v>1</v>
      </c>
      <c r="AC8" s="751">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01" t="s">
        <v>2357</v>
      </c>
      <c r="Q9" s="1883" t="str">
        <f t="shared" ref="Q9:Q15" si="6">B9</f>
        <v>用途</v>
      </c>
      <c r="R9" s="748" t="s">
        <v>25</v>
      </c>
      <c r="S9" s="749">
        <f t="shared" si="0"/>
        <v>100</v>
      </c>
      <c r="T9" s="748" t="s">
        <v>25</v>
      </c>
      <c r="U9" s="749">
        <f t="shared" si="1"/>
        <v>100</v>
      </c>
      <c r="V9" s="748" t="s">
        <v>25</v>
      </c>
      <c r="W9" s="749">
        <f t="shared" si="2"/>
        <v>100</v>
      </c>
      <c r="X9" s="750"/>
      <c r="Y9" s="2877" t="s">
        <v>2358</v>
      </c>
      <c r="Z9" s="23" t="str">
        <f t="shared" ref="Z9:Z15" si="7">Q9</f>
        <v>用途</v>
      </c>
      <c r="AA9" s="751">
        <f t="shared" si="3"/>
        <v>1</v>
      </c>
      <c r="AB9" s="751">
        <f t="shared" si="4"/>
        <v>1</v>
      </c>
      <c r="AC9" s="751">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01"/>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01"/>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2"/>
      <c r="M12" s="1243"/>
      <c r="N12" s="1243"/>
      <c r="O12" s="1244"/>
      <c r="P12" s="3001"/>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0"/>
      <c r="M13" s="1241"/>
      <c r="N13" s="1241"/>
      <c r="O13" s="1249"/>
      <c r="P13" s="3001"/>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0"/>
      <c r="M14" s="1241"/>
      <c r="N14" s="1241"/>
      <c r="O14" s="1249"/>
      <c r="P14" s="3001"/>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57">
      <c r="A15" s="419" t="s">
        <v>2361</v>
      </c>
      <c r="B15" s="26" t="s">
        <v>2493</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29" t="s">
        <v>2362</v>
      </c>
      <c r="Q15" s="1895" t="str">
        <f t="shared" si="6"/>
        <v>产业集聚程度</v>
      </c>
      <c r="R15" s="752" t="s">
        <v>25</v>
      </c>
      <c r="S15" s="753">
        <f t="shared" si="0"/>
        <v>100</v>
      </c>
      <c r="T15" s="752" t="s">
        <v>25</v>
      </c>
      <c r="U15" s="753">
        <f t="shared" si="1"/>
        <v>100</v>
      </c>
      <c r="V15" s="752" t="s">
        <v>25</v>
      </c>
      <c r="W15" s="753">
        <f t="shared" si="2"/>
        <v>100</v>
      </c>
      <c r="X15" s="1896"/>
      <c r="Y15" s="3029" t="s">
        <v>2362</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30"/>
      <c r="Q16" s="1895"/>
      <c r="R16" s="752"/>
      <c r="S16" s="753"/>
      <c r="T16" s="752"/>
      <c r="U16" s="753"/>
      <c r="V16" s="752"/>
      <c r="W16" s="753"/>
      <c r="X16" s="1896"/>
      <c r="Y16" s="3030"/>
      <c r="Z16" s="1898"/>
      <c r="AA16" s="1899">
        <v>1</v>
      </c>
      <c r="AB16" s="1899">
        <v>1</v>
      </c>
      <c r="AC16" s="1899">
        <v>1</v>
      </c>
    </row>
    <row r="17" spans="1:29" ht="85.5">
      <c r="A17" s="408"/>
      <c r="B17" s="431" t="s">
        <v>1748</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30"/>
      <c r="Q17" s="1895" t="str">
        <f>B17</f>
        <v>交通便捷度</v>
      </c>
      <c r="R17" s="752" t="s">
        <v>25</v>
      </c>
      <c r="S17" s="753">
        <f>F17</f>
        <v>100</v>
      </c>
      <c r="T17" s="752" t="s">
        <v>25</v>
      </c>
      <c r="U17" s="753">
        <f>H17</f>
        <v>100</v>
      </c>
      <c r="V17" s="752" t="s">
        <v>25</v>
      </c>
      <c r="W17" s="753">
        <f>J17</f>
        <v>100</v>
      </c>
      <c r="X17" s="1896"/>
      <c r="Y17" s="3030"/>
      <c r="Z17" s="1898" t="str">
        <f>Q17</f>
        <v>交通便捷度</v>
      </c>
      <c r="AA17" s="1899">
        <f t="shared" si="3"/>
        <v>1</v>
      </c>
      <c r="AB17" s="1899">
        <f t="shared" si="4"/>
        <v>1</v>
      </c>
      <c r="AC17" s="1899">
        <f t="shared" si="5"/>
        <v>1</v>
      </c>
    </row>
    <row r="18" spans="1:29" ht="15">
      <c r="A18" s="408"/>
      <c r="B18" s="436"/>
      <c r="C18" s="437"/>
      <c r="D18" s="430"/>
      <c r="E18" s="1465"/>
      <c r="F18" s="433"/>
      <c r="G18" s="2405"/>
      <c r="H18" s="427"/>
      <c r="I18" s="1465"/>
      <c r="J18" s="427"/>
      <c r="K18" s="599"/>
      <c r="L18" s="1250"/>
      <c r="M18" s="1241"/>
      <c r="N18" s="1241"/>
      <c r="O18" s="1249"/>
      <c r="P18" s="3030"/>
      <c r="Q18" s="1895"/>
      <c r="R18" s="752"/>
      <c r="S18" s="753"/>
      <c r="T18" s="752"/>
      <c r="U18" s="753"/>
      <c r="V18" s="752"/>
      <c r="W18" s="753"/>
      <c r="X18" s="1896"/>
      <c r="Y18" s="3030"/>
      <c r="Z18" s="1898"/>
      <c r="AA18" s="1899">
        <v>1</v>
      </c>
      <c r="AB18" s="1899">
        <v>1</v>
      </c>
      <c r="AC18" s="1899">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30"/>
      <c r="Q19" s="1895" t="str">
        <f>B19</f>
        <v>公共配套设施</v>
      </c>
      <c r="R19" s="752" t="s">
        <v>25</v>
      </c>
      <c r="S19" s="753">
        <f>F19</f>
        <v>100</v>
      </c>
      <c r="T19" s="752" t="s">
        <v>25</v>
      </c>
      <c r="U19" s="753">
        <f>H19</f>
        <v>100</v>
      </c>
      <c r="V19" s="752" t="s">
        <v>25</v>
      </c>
      <c r="W19" s="753">
        <f>J19</f>
        <v>100</v>
      </c>
      <c r="X19" s="1896"/>
      <c r="Y19" s="3030"/>
      <c r="Z19" s="1898" t="str">
        <f>Q19</f>
        <v>公共配套设施</v>
      </c>
      <c r="AA19" s="1899">
        <f t="shared" si="3"/>
        <v>1</v>
      </c>
      <c r="AB19" s="1899">
        <f t="shared" si="4"/>
        <v>1</v>
      </c>
      <c r="AC19" s="1899">
        <f t="shared" si="5"/>
        <v>1</v>
      </c>
    </row>
    <row r="20" spans="1:29" ht="15">
      <c r="A20" s="408"/>
      <c r="B20" s="616"/>
      <c r="C20" s="426"/>
      <c r="D20" s="427"/>
      <c r="E20" s="428"/>
      <c r="F20" s="429"/>
      <c r="G20" s="2402"/>
      <c r="H20" s="427"/>
      <c r="I20" s="428"/>
      <c r="J20" s="427"/>
      <c r="K20" s="599"/>
      <c r="L20" s="1250"/>
      <c r="M20" s="1241"/>
      <c r="N20" s="1241"/>
      <c r="O20" s="1249"/>
      <c r="P20" s="3030"/>
      <c r="Q20" s="1895"/>
      <c r="R20" s="752"/>
      <c r="S20" s="753"/>
      <c r="T20" s="752"/>
      <c r="U20" s="753"/>
      <c r="V20" s="752"/>
      <c r="W20" s="753"/>
      <c r="X20" s="1896"/>
      <c r="Y20" s="3030"/>
      <c r="Z20" s="1898"/>
      <c r="AA20" s="1899">
        <v>1</v>
      </c>
      <c r="AB20" s="1899">
        <v>1</v>
      </c>
      <c r="AC20" s="1899">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30"/>
      <c r="Q21" s="1895" t="str">
        <f>B21</f>
        <v>基础设施水平</v>
      </c>
      <c r="R21" s="752" t="s">
        <v>25</v>
      </c>
      <c r="S21" s="753">
        <f>F21</f>
        <v>100</v>
      </c>
      <c r="T21" s="752" t="s">
        <v>25</v>
      </c>
      <c r="U21" s="753">
        <f>H21</f>
        <v>100</v>
      </c>
      <c r="V21" s="752" t="s">
        <v>25</v>
      </c>
      <c r="W21" s="753">
        <f>J21</f>
        <v>100</v>
      </c>
      <c r="X21" s="1896"/>
      <c r="Y21" s="3030"/>
      <c r="Z21" s="1898" t="str">
        <f>Q21</f>
        <v>基础设施水平</v>
      </c>
      <c r="AA21" s="1899">
        <f t="shared" ref="AA21" si="8">D21/F21</f>
        <v>1</v>
      </c>
      <c r="AB21" s="1899">
        <f t="shared" ref="AB21" si="9">D21/H21</f>
        <v>1</v>
      </c>
      <c r="AC21" s="1899">
        <f t="shared" ref="AC21" si="10">D21/J21</f>
        <v>1</v>
      </c>
    </row>
    <row r="22" spans="1:29" ht="15">
      <c r="A22" s="408"/>
      <c r="B22" s="2406"/>
      <c r="C22" s="437"/>
      <c r="D22" s="427"/>
      <c r="E22" s="426"/>
      <c r="F22" s="429"/>
      <c r="G22" s="426"/>
      <c r="H22" s="427"/>
      <c r="I22" s="426"/>
      <c r="J22" s="427"/>
      <c r="K22" s="1466"/>
      <c r="L22" s="1250"/>
      <c r="M22" s="1241"/>
      <c r="N22" s="1241"/>
      <c r="O22" s="1249"/>
      <c r="P22" s="3030"/>
      <c r="Q22" s="1895"/>
      <c r="R22" s="752"/>
      <c r="S22" s="753"/>
      <c r="T22" s="752"/>
      <c r="U22" s="753"/>
      <c r="V22" s="752"/>
      <c r="W22" s="753"/>
      <c r="X22" s="1896"/>
      <c r="Y22" s="3030"/>
      <c r="Z22" s="1898"/>
      <c r="AA22" s="1899">
        <v>1</v>
      </c>
      <c r="AB22" s="1899">
        <v>1</v>
      </c>
      <c r="AC22" s="1899">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30"/>
      <c r="Q23" s="1895" t="str">
        <f>B23</f>
        <v>环境质量</v>
      </c>
      <c r="R23" s="752" t="s">
        <v>25</v>
      </c>
      <c r="S23" s="753">
        <f>F23</f>
        <v>100</v>
      </c>
      <c r="T23" s="752" t="s">
        <v>25</v>
      </c>
      <c r="U23" s="753">
        <f>H23</f>
        <v>100</v>
      </c>
      <c r="V23" s="752" t="s">
        <v>25</v>
      </c>
      <c r="W23" s="753">
        <f>J23</f>
        <v>100</v>
      </c>
      <c r="X23" s="1896"/>
      <c r="Y23" s="3030"/>
      <c r="Z23" s="1898" t="str">
        <f>Q23</f>
        <v>环境质量</v>
      </c>
      <c r="AA23" s="1899">
        <f t="shared" si="3"/>
        <v>1</v>
      </c>
      <c r="AB23" s="1899">
        <f t="shared" si="4"/>
        <v>1</v>
      </c>
      <c r="AC23" s="1899">
        <f t="shared" si="5"/>
        <v>1</v>
      </c>
    </row>
    <row r="24" spans="1:29" ht="15">
      <c r="A24" s="408"/>
      <c r="B24" s="2406"/>
      <c r="C24" s="426"/>
      <c r="D24" s="427"/>
      <c r="E24" s="428"/>
      <c r="F24" s="429"/>
      <c r="G24" s="2402"/>
      <c r="H24" s="427"/>
      <c r="I24" s="428"/>
      <c r="J24" s="427"/>
      <c r="K24" s="599"/>
      <c r="L24" s="1250"/>
      <c r="M24" s="1241"/>
      <c r="N24" s="1241"/>
      <c r="O24" s="1249"/>
      <c r="P24" s="3030"/>
      <c r="Q24" s="1895"/>
      <c r="R24" s="752"/>
      <c r="S24" s="753"/>
      <c r="T24" s="752"/>
      <c r="U24" s="753"/>
      <c r="V24" s="752"/>
      <c r="W24" s="753"/>
      <c r="X24" s="1896"/>
      <c r="Y24" s="3030"/>
      <c r="Z24" s="1898"/>
      <c r="AA24" s="1899">
        <v>1</v>
      </c>
      <c r="AB24" s="1899">
        <v>1</v>
      </c>
      <c r="AC24" s="1899">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30"/>
      <c r="Q25" s="1895">
        <f>B25</f>
        <v>111</v>
      </c>
      <c r="R25" s="752" t="s">
        <v>25</v>
      </c>
      <c r="S25" s="753">
        <f>F25</f>
        <v>100</v>
      </c>
      <c r="T25" s="752" t="s">
        <v>25</v>
      </c>
      <c r="U25" s="753">
        <f>H25</f>
        <v>100</v>
      </c>
      <c r="V25" s="752" t="s">
        <v>25</v>
      </c>
      <c r="W25" s="753">
        <f>J25</f>
        <v>100</v>
      </c>
      <c r="X25" s="1896"/>
      <c r="Y25" s="3030"/>
      <c r="Z25" s="1898">
        <f>Q25</f>
        <v>111</v>
      </c>
      <c r="AA25" s="1899">
        <f t="shared" si="3"/>
        <v>1</v>
      </c>
      <c r="AB25" s="1899">
        <f t="shared" si="4"/>
        <v>1</v>
      </c>
      <c r="AC25" s="1899">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30"/>
      <c r="Q26" s="1895">
        <f t="shared" ref="Q26:Q40" si="11">B26</f>
        <v>111</v>
      </c>
      <c r="R26" s="752" t="s">
        <v>25</v>
      </c>
      <c r="S26" s="753">
        <f>F26</f>
        <v>100</v>
      </c>
      <c r="T26" s="752" t="s">
        <v>25</v>
      </c>
      <c r="U26" s="753">
        <f>H26</f>
        <v>100</v>
      </c>
      <c r="V26" s="752" t="s">
        <v>25</v>
      </c>
      <c r="W26" s="753">
        <f>J26</f>
        <v>100</v>
      </c>
      <c r="X26" s="1896"/>
      <c r="Y26" s="3030"/>
      <c r="Z26" s="1898">
        <f>Q26</f>
        <v>111</v>
      </c>
      <c r="AA26" s="1899">
        <f t="shared" si="3"/>
        <v>1</v>
      </c>
      <c r="AB26" s="1899">
        <f t="shared" si="4"/>
        <v>1</v>
      </c>
      <c r="AC26" s="1899">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30"/>
      <c r="Q27" s="1883">
        <f t="shared" si="11"/>
        <v>111</v>
      </c>
      <c r="R27" s="748" t="s">
        <v>25</v>
      </c>
      <c r="S27" s="749">
        <f>F27</f>
        <v>100</v>
      </c>
      <c r="T27" s="748" t="s">
        <v>25</v>
      </c>
      <c r="U27" s="749">
        <f>H27</f>
        <v>100</v>
      </c>
      <c r="V27" s="748" t="s">
        <v>25</v>
      </c>
      <c r="W27" s="749">
        <f>J27</f>
        <v>100</v>
      </c>
      <c r="X27" s="750"/>
      <c r="Y27" s="3030"/>
      <c r="Z27" s="23">
        <f>Q27</f>
        <v>111</v>
      </c>
      <c r="AA27" s="1899">
        <f>D27/F27</f>
        <v>1</v>
      </c>
      <c r="AB27" s="1899">
        <f>D27/H27</f>
        <v>1</v>
      </c>
      <c r="AC27" s="1899">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30"/>
      <c r="Q28" s="1895">
        <f t="shared" si="11"/>
        <v>111</v>
      </c>
      <c r="R28" s="752" t="s">
        <v>25</v>
      </c>
      <c r="S28" s="753">
        <f t="shared" ref="S28:S40" si="12">F28</f>
        <v>100</v>
      </c>
      <c r="T28" s="752" t="s">
        <v>25</v>
      </c>
      <c r="U28" s="753">
        <f t="shared" ref="U28:U40" si="13">H28</f>
        <v>100</v>
      </c>
      <c r="V28" s="752" t="s">
        <v>25</v>
      </c>
      <c r="W28" s="753">
        <f t="shared" ref="W28:W40" si="14">J28</f>
        <v>100</v>
      </c>
      <c r="X28" s="1896"/>
      <c r="Y28" s="3030"/>
      <c r="Z28" s="1898">
        <f t="shared" ref="Z28:Z40" si="15">Q28</f>
        <v>111</v>
      </c>
      <c r="AA28" s="1899">
        <f t="shared" si="3"/>
        <v>1</v>
      </c>
      <c r="AB28" s="1899">
        <f t="shared" si="4"/>
        <v>1</v>
      </c>
      <c r="AC28" s="1899">
        <f t="shared" si="5"/>
        <v>1</v>
      </c>
    </row>
    <row r="29" spans="1:29" ht="28.5">
      <c r="A29" s="447" t="s">
        <v>2366</v>
      </c>
      <c r="B29" s="28" t="s">
        <v>2482</v>
      </c>
      <c r="C29" s="2471" t="s">
        <v>2494</v>
      </c>
      <c r="D29" s="448">
        <v>100</v>
      </c>
      <c r="E29" s="2471"/>
      <c r="F29" s="442">
        <f>SUMIF(88:88,E29,89:89)-SUMIF(88:88,C29,89:89)+100</f>
        <v>100</v>
      </c>
      <c r="G29" s="2471"/>
      <c r="H29" s="415">
        <f>SUMIF(88:88,G29,89:89)-SUMIF(88:88,C29,89:89)+100</f>
        <v>100</v>
      </c>
      <c r="I29" s="2471"/>
      <c r="J29" s="448">
        <f>SUMIF(88:88,I29,89:89)-SUMIF(88:88,C29,89:89)+100</f>
        <v>100</v>
      </c>
      <c r="K29" s="596"/>
      <c r="L29" s="1250"/>
      <c r="M29" s="1241"/>
      <c r="N29" s="1241"/>
      <c r="O29" s="1249"/>
      <c r="P29" s="3031" t="s">
        <v>2368</v>
      </c>
      <c r="Q29" s="1895" t="str">
        <f t="shared" si="11"/>
        <v>建筑类型</v>
      </c>
      <c r="R29" s="752" t="s">
        <v>25</v>
      </c>
      <c r="S29" s="753">
        <f t="shared" si="12"/>
        <v>100</v>
      </c>
      <c r="T29" s="752" t="s">
        <v>25</v>
      </c>
      <c r="U29" s="753">
        <f t="shared" si="13"/>
        <v>100</v>
      </c>
      <c r="V29" s="752" t="s">
        <v>25</v>
      </c>
      <c r="W29" s="753">
        <f t="shared" si="14"/>
        <v>100</v>
      </c>
      <c r="X29" s="1896"/>
      <c r="Y29" s="3032" t="s">
        <v>2368</v>
      </c>
      <c r="Z29" s="1898" t="str">
        <f t="shared" si="15"/>
        <v>建筑类型</v>
      </c>
      <c r="AA29" s="1899">
        <f t="shared" si="3"/>
        <v>1</v>
      </c>
      <c r="AB29" s="1899">
        <f t="shared" si="4"/>
        <v>1</v>
      </c>
      <c r="AC29" s="1899">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32"/>
      <c r="Q30" s="754" t="str">
        <f t="shared" si="11"/>
        <v>项目建筑规模</v>
      </c>
      <c r="R30" s="755" t="s">
        <v>25</v>
      </c>
      <c r="S30" s="756" t="e">
        <f t="shared" si="12"/>
        <v>#N/A</v>
      </c>
      <c r="T30" s="755" t="s">
        <v>25</v>
      </c>
      <c r="U30" s="756" t="e">
        <f t="shared" si="13"/>
        <v>#N/A</v>
      </c>
      <c r="V30" s="755" t="s">
        <v>25</v>
      </c>
      <c r="W30" s="756" t="e">
        <f t="shared" si="14"/>
        <v>#N/A</v>
      </c>
      <c r="X30" s="757"/>
      <c r="Y30" s="3032"/>
      <c r="Z30" s="758" t="str">
        <f t="shared" si="15"/>
        <v>项目建筑规模</v>
      </c>
      <c r="AA30" s="1899" t="e">
        <f t="shared" si="3"/>
        <v>#N/A</v>
      </c>
      <c r="AB30" s="1899" t="e">
        <f t="shared" si="4"/>
        <v>#N/A</v>
      </c>
      <c r="AC30" s="1899"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32"/>
      <c r="Q31" s="1895" t="str">
        <f t="shared" si="11"/>
        <v>建筑结构</v>
      </c>
      <c r="R31" s="752" t="s">
        <v>25</v>
      </c>
      <c r="S31" s="753">
        <f t="shared" si="12"/>
        <v>100</v>
      </c>
      <c r="T31" s="752" t="s">
        <v>25</v>
      </c>
      <c r="U31" s="753">
        <f t="shared" si="13"/>
        <v>100</v>
      </c>
      <c r="V31" s="752" t="s">
        <v>25</v>
      </c>
      <c r="W31" s="753">
        <f t="shared" si="14"/>
        <v>100</v>
      </c>
      <c r="X31" s="1896"/>
      <c r="Y31" s="3032"/>
      <c r="Z31" s="1898" t="str">
        <f t="shared" si="15"/>
        <v>建筑结构</v>
      </c>
      <c r="AA31" s="1899">
        <f t="shared" si="3"/>
        <v>1</v>
      </c>
      <c r="AB31" s="1899">
        <f t="shared" si="4"/>
        <v>1</v>
      </c>
      <c r="AC31" s="1899">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32"/>
      <c r="Q32" s="1895" t="str">
        <f t="shared" si="11"/>
        <v>公共部分装修</v>
      </c>
      <c r="R32" s="752" t="s">
        <v>25</v>
      </c>
      <c r="S32" s="753">
        <f t="shared" si="12"/>
        <v>100</v>
      </c>
      <c r="T32" s="752" t="s">
        <v>25</v>
      </c>
      <c r="U32" s="753">
        <f t="shared" si="13"/>
        <v>100</v>
      </c>
      <c r="V32" s="752" t="s">
        <v>25</v>
      </c>
      <c r="W32" s="753">
        <f t="shared" si="14"/>
        <v>100</v>
      </c>
      <c r="X32" s="1896"/>
      <c r="Y32" s="3032"/>
      <c r="Z32" s="1898" t="str">
        <f t="shared" si="15"/>
        <v>公共部分装修</v>
      </c>
      <c r="AA32" s="1899">
        <f t="shared" si="3"/>
        <v>1</v>
      </c>
      <c r="AB32" s="1899">
        <f t="shared" si="4"/>
        <v>1</v>
      </c>
      <c r="AC32" s="1899">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32"/>
      <c r="Q33" s="1895" t="str">
        <f t="shared" si="11"/>
        <v>成新度</v>
      </c>
      <c r="R33" s="752" t="s">
        <v>25</v>
      </c>
      <c r="S33" s="753" t="e">
        <f t="shared" si="12"/>
        <v>#N/A</v>
      </c>
      <c r="T33" s="752" t="s">
        <v>25</v>
      </c>
      <c r="U33" s="753" t="e">
        <f t="shared" si="13"/>
        <v>#N/A</v>
      </c>
      <c r="V33" s="752" t="s">
        <v>25</v>
      </c>
      <c r="W33" s="753" t="e">
        <f t="shared" si="14"/>
        <v>#N/A</v>
      </c>
      <c r="X33" s="1896"/>
      <c r="Y33" s="3032"/>
      <c r="Z33" s="1898" t="str">
        <f t="shared" si="15"/>
        <v>成新度</v>
      </c>
      <c r="AA33" s="1899" t="e">
        <f t="shared" si="3"/>
        <v>#N/A</v>
      </c>
      <c r="AB33" s="1899" t="e">
        <f t="shared" si="4"/>
        <v>#N/A</v>
      </c>
      <c r="AC33" s="1899"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32"/>
      <c r="Q34" s="1883" t="str">
        <f t="shared" si="11"/>
        <v>物业管理</v>
      </c>
      <c r="R34" s="748" t="s">
        <v>25</v>
      </c>
      <c r="S34" s="749">
        <f t="shared" si="12"/>
        <v>100</v>
      </c>
      <c r="T34" s="748" t="s">
        <v>25</v>
      </c>
      <c r="U34" s="749">
        <f t="shared" si="13"/>
        <v>100</v>
      </c>
      <c r="V34" s="748" t="s">
        <v>25</v>
      </c>
      <c r="W34" s="749">
        <f t="shared" si="14"/>
        <v>100</v>
      </c>
      <c r="X34" s="750"/>
      <c r="Y34" s="3032"/>
      <c r="Z34" s="23" t="str">
        <f t="shared" si="15"/>
        <v>物业管理</v>
      </c>
      <c r="AA34" s="751">
        <f t="shared" si="3"/>
        <v>1</v>
      </c>
      <c r="AB34" s="751">
        <f t="shared" si="4"/>
        <v>1</v>
      </c>
      <c r="AC34" s="751">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32" t="s">
        <v>2368</v>
      </c>
      <c r="Q35" s="1895" t="str">
        <f t="shared" si="11"/>
        <v>市政基础设施</v>
      </c>
      <c r="R35" s="752" t="s">
        <v>25</v>
      </c>
      <c r="S35" s="753">
        <f t="shared" si="12"/>
        <v>100</v>
      </c>
      <c r="T35" s="752" t="s">
        <v>25</v>
      </c>
      <c r="U35" s="753">
        <f t="shared" si="13"/>
        <v>100</v>
      </c>
      <c r="V35" s="752" t="s">
        <v>25</v>
      </c>
      <c r="W35" s="753">
        <f t="shared" si="14"/>
        <v>100</v>
      </c>
      <c r="X35" s="1896"/>
      <c r="Y35" s="3032" t="s">
        <v>2368</v>
      </c>
      <c r="Z35" s="1898" t="str">
        <f t="shared" si="15"/>
        <v>市政基础设施</v>
      </c>
      <c r="AA35" s="1899">
        <f t="shared" si="3"/>
        <v>1</v>
      </c>
      <c r="AB35" s="1899">
        <f t="shared" si="4"/>
        <v>1</v>
      </c>
      <c r="AC35" s="1899">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32"/>
      <c r="Q36" s="1895" t="str">
        <f t="shared" si="11"/>
        <v>内部装修</v>
      </c>
      <c r="R36" s="752" t="s">
        <v>25</v>
      </c>
      <c r="S36" s="753">
        <f t="shared" si="12"/>
        <v>100</v>
      </c>
      <c r="T36" s="752" t="s">
        <v>25</v>
      </c>
      <c r="U36" s="753">
        <f t="shared" si="13"/>
        <v>100</v>
      </c>
      <c r="V36" s="752" t="s">
        <v>25</v>
      </c>
      <c r="W36" s="753">
        <f t="shared" si="14"/>
        <v>100</v>
      </c>
      <c r="X36" s="1896"/>
      <c r="Y36" s="3032"/>
      <c r="Z36" s="1898" t="str">
        <f t="shared" si="15"/>
        <v>内部装修</v>
      </c>
      <c r="AA36" s="1899">
        <f t="shared" si="3"/>
        <v>1</v>
      </c>
      <c r="AB36" s="1899">
        <f t="shared" si="4"/>
        <v>1</v>
      </c>
      <c r="AC36" s="1899">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32"/>
      <c r="Q37" s="1895" t="str">
        <f t="shared" si="11"/>
        <v>内部装修状况</v>
      </c>
      <c r="R37" s="752" t="s">
        <v>25</v>
      </c>
      <c r="S37" s="753">
        <f t="shared" si="12"/>
        <v>0</v>
      </c>
      <c r="T37" s="752" t="s">
        <v>25</v>
      </c>
      <c r="U37" s="753">
        <f t="shared" si="13"/>
        <v>0</v>
      </c>
      <c r="V37" s="752" t="s">
        <v>25</v>
      </c>
      <c r="W37" s="753">
        <f t="shared" si="14"/>
        <v>0</v>
      </c>
      <c r="X37" s="1896"/>
      <c r="Y37" s="3032"/>
      <c r="Z37" s="1898" t="str">
        <f t="shared" si="15"/>
        <v>内部装修状况</v>
      </c>
      <c r="AA37" s="1899" t="e">
        <f t="shared" si="3"/>
        <v>#DIV/0!</v>
      </c>
      <c r="AB37" s="1899" t="e">
        <f t="shared" si="4"/>
        <v>#DIV/0!</v>
      </c>
      <c r="AC37" s="1899"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32"/>
      <c r="Q38" s="754">
        <f t="shared" si="11"/>
        <v>111</v>
      </c>
      <c r="R38" s="755" t="s">
        <v>25</v>
      </c>
      <c r="S38" s="756">
        <f t="shared" si="12"/>
        <v>100</v>
      </c>
      <c r="T38" s="755" t="s">
        <v>25</v>
      </c>
      <c r="U38" s="756">
        <f t="shared" si="13"/>
        <v>100</v>
      </c>
      <c r="V38" s="755" t="s">
        <v>25</v>
      </c>
      <c r="W38" s="756">
        <f t="shared" si="14"/>
        <v>100</v>
      </c>
      <c r="X38" s="757"/>
      <c r="Y38" s="3032"/>
      <c r="Z38" s="758">
        <f t="shared" si="15"/>
        <v>111</v>
      </c>
      <c r="AA38" s="1899">
        <f t="shared" si="3"/>
        <v>1</v>
      </c>
      <c r="AB38" s="1899">
        <f t="shared" si="4"/>
        <v>1</v>
      </c>
      <c r="AC38" s="1899">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32"/>
      <c r="Q39" s="1895">
        <f t="shared" si="11"/>
        <v>111</v>
      </c>
      <c r="R39" s="752" t="s">
        <v>25</v>
      </c>
      <c r="S39" s="753">
        <f t="shared" si="12"/>
        <v>100</v>
      </c>
      <c r="T39" s="752" t="s">
        <v>25</v>
      </c>
      <c r="U39" s="753">
        <f t="shared" si="13"/>
        <v>100</v>
      </c>
      <c r="V39" s="752" t="s">
        <v>25</v>
      </c>
      <c r="W39" s="753">
        <f t="shared" si="14"/>
        <v>100</v>
      </c>
      <c r="X39" s="1896"/>
      <c r="Y39" s="3032"/>
      <c r="Z39" s="1898">
        <f t="shared" si="15"/>
        <v>111</v>
      </c>
      <c r="AA39" s="1899">
        <f t="shared" si="3"/>
        <v>1</v>
      </c>
      <c r="AB39" s="1899">
        <f t="shared" si="4"/>
        <v>1</v>
      </c>
      <c r="AC39" s="1899">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69"/>
      <c r="Q40" s="1895">
        <f t="shared" si="11"/>
        <v>111</v>
      </c>
      <c r="R40" s="752" t="s">
        <v>25</v>
      </c>
      <c r="S40" s="753">
        <f t="shared" si="12"/>
        <v>100</v>
      </c>
      <c r="T40" s="752" t="s">
        <v>25</v>
      </c>
      <c r="U40" s="753">
        <f t="shared" si="13"/>
        <v>100</v>
      </c>
      <c r="V40" s="752" t="s">
        <v>25</v>
      </c>
      <c r="W40" s="753">
        <f t="shared" si="14"/>
        <v>100</v>
      </c>
      <c r="X40" s="1896"/>
      <c r="Y40" s="3069"/>
      <c r="Z40" s="1898">
        <f t="shared" si="15"/>
        <v>111</v>
      </c>
      <c r="AA40" s="1899">
        <f t="shared" si="3"/>
        <v>1</v>
      </c>
      <c r="AB40" s="1899">
        <f t="shared" si="4"/>
        <v>1</v>
      </c>
      <c r="AC40" s="1899">
        <f t="shared" si="5"/>
        <v>1</v>
      </c>
    </row>
    <row r="41" spans="1:29" ht="15">
      <c r="A41" s="460" t="s">
        <v>2380</v>
      </c>
      <c r="B41" s="461"/>
      <c r="C41" s="1499" t="s">
        <v>1</v>
      </c>
      <c r="D41" s="1500"/>
      <c r="E41" s="1501"/>
      <c r="F41" s="1502"/>
      <c r="G41" s="1503"/>
      <c r="H41" s="1504"/>
      <c r="I41" s="1501"/>
      <c r="J41" s="1504"/>
      <c r="K41" s="761"/>
      <c r="L41" s="1253"/>
      <c r="M41" s="1254"/>
      <c r="N41" s="1241"/>
      <c r="O41" s="1254"/>
      <c r="P41" s="3001" t="str">
        <f>A41</f>
        <v>成交单价（元/平方米）</v>
      </c>
      <c r="Q41" s="3001"/>
      <c r="R41" s="3033">
        <f>E41</f>
        <v>0</v>
      </c>
      <c r="S41" s="3033"/>
      <c r="T41" s="3033">
        <f>G41</f>
        <v>0</v>
      </c>
      <c r="U41" s="3033"/>
      <c r="V41" s="3033">
        <f>I41</f>
        <v>0</v>
      </c>
      <c r="W41" s="3033"/>
      <c r="X41" s="737"/>
      <c r="Y41" s="759"/>
      <c r="Z41" s="737"/>
      <c r="AA41" s="737"/>
      <c r="AB41" s="737"/>
      <c r="AC41" s="737"/>
    </row>
    <row r="42" spans="1:29" ht="15.75" thickBot="1">
      <c r="A42" s="467" t="s">
        <v>2463</v>
      </c>
      <c r="B42" s="468"/>
      <c r="C42" s="1505" t="e">
        <f>R43</f>
        <v>#DIV/0!</v>
      </c>
      <c r="D42" s="1506"/>
      <c r="E42" s="1507" t="e">
        <f>R42</f>
        <v>#DIV/0!</v>
      </c>
      <c r="F42" s="1507"/>
      <c r="G42" s="1505" t="e">
        <f>T42</f>
        <v>#DIV/0!</v>
      </c>
      <c r="H42" s="1506"/>
      <c r="I42" s="1507" t="e">
        <f>V42</f>
        <v>#DIV/0!</v>
      </c>
      <c r="J42" s="1506"/>
      <c r="K42" s="762"/>
      <c r="L42" s="1253"/>
      <c r="M42" s="1254"/>
      <c r="N42" s="1241"/>
      <c r="O42" s="1254"/>
      <c r="P42" s="3001" t="str">
        <f>A42</f>
        <v>比较价值（元/平方米）</v>
      </c>
      <c r="Q42" s="3001"/>
      <c r="R42" s="3033" t="e">
        <f>IF(E1="售价",ROUND(PRODUCT(R41,AA7:AA40),0),ROUND(PRODUCT(R41,AA7:AA40),1))</f>
        <v>#DIV/0!</v>
      </c>
      <c r="S42" s="3033"/>
      <c r="T42" s="3033" t="e">
        <f>IF(E1="售价",ROUND(PRODUCT(T41,AB7:AB40),0),ROUND(PRODUCT(T41,AB7:AB40),1))</f>
        <v>#DIV/0!</v>
      </c>
      <c r="U42" s="3033"/>
      <c r="V42" s="3033" t="e">
        <f>IF(E1="售价",ROUND(PRODUCT(V41,AC7:AC40),0),ROUND(PRODUCT(V41,AC7:AC40),1))</f>
        <v>#DIV/0!</v>
      </c>
      <c r="W42" s="3033"/>
      <c r="X42" s="737"/>
      <c r="Y42" s="737"/>
      <c r="Z42" s="737"/>
      <c r="AA42" s="737"/>
      <c r="AB42" s="737"/>
      <c r="AC42" s="737"/>
    </row>
    <row r="43" spans="1:29" ht="15.75" thickBot="1">
      <c r="A43" s="473" t="s">
        <v>2486</v>
      </c>
      <c r="B43" s="474"/>
      <c r="C43" s="1509" t="e">
        <f>R43</f>
        <v>#DIV/0!</v>
      </c>
      <c r="D43" s="1509"/>
      <c r="E43" s="1509"/>
      <c r="F43" s="1509"/>
      <c r="G43" s="1509"/>
      <c r="H43" s="1509"/>
      <c r="I43" s="1509"/>
      <c r="J43" s="1509"/>
      <c r="K43" s="763"/>
      <c r="L43" s="1253"/>
      <c r="M43" s="1254"/>
      <c r="N43" s="1254"/>
      <c r="O43" s="1254"/>
      <c r="P43" s="3034" t="str">
        <f>A43</f>
        <v>估价对象XX用房的比较价值（楼面单价，元/平方米）</v>
      </c>
      <c r="Q43" s="3035"/>
      <c r="R43" s="3036" t="e">
        <f>IF(E1="售价",ROUND(AVERAGE(R42:V42),0),ROUND(AVERAGE(R42:V42),1))</f>
        <v>#DIV/0!</v>
      </c>
      <c r="S43" s="3036"/>
      <c r="T43" s="3036"/>
      <c r="U43" s="3036"/>
      <c r="V43" s="3036"/>
      <c r="W43" s="3036"/>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2468</v>
      </c>
      <c r="B51" s="737"/>
      <c r="C51" s="742"/>
      <c r="D51" s="742"/>
      <c r="E51" s="742"/>
      <c r="F51" s="743"/>
      <c r="G51" s="743"/>
      <c r="H51" s="742"/>
      <c r="I51" s="742"/>
      <c r="J51" s="742"/>
      <c r="K51" s="744"/>
      <c r="L51" s="745"/>
      <c r="M51" s="742"/>
      <c r="N51" s="742"/>
      <c r="O51" s="742"/>
      <c r="P51" s="484"/>
      <c r="Q51" s="485"/>
    </row>
    <row r="52" spans="1:17" s="489" customFormat="1" ht="15">
      <c r="A52" s="486" t="s">
        <v>2350</v>
      </c>
      <c r="B52" s="487"/>
      <c r="C52" s="1675" t="str">
        <f>YEAR(C7)&amp;"-"&amp;MONTH(C7)</f>
        <v>2018-12</v>
      </c>
      <c r="D52" s="1676">
        <f>EDATE(C52,-1)</f>
        <v>43405</v>
      </c>
      <c r="E52" s="1677">
        <f t="shared" ref="E52:O52" si="16">EDATE(D52,-1)</f>
        <v>43374</v>
      </c>
      <c r="F52" s="1677">
        <f t="shared" si="16"/>
        <v>43344</v>
      </c>
      <c r="G52" s="1677">
        <f t="shared" si="16"/>
        <v>43313</v>
      </c>
      <c r="H52" s="1677">
        <f t="shared" si="16"/>
        <v>43282</v>
      </c>
      <c r="I52" s="1677">
        <f t="shared" si="16"/>
        <v>43252</v>
      </c>
      <c r="J52" s="1677">
        <f t="shared" si="16"/>
        <v>43221</v>
      </c>
      <c r="K52" s="1677">
        <f t="shared" si="16"/>
        <v>43191</v>
      </c>
      <c r="L52" s="1677">
        <f t="shared" si="16"/>
        <v>43160</v>
      </c>
      <c r="M52" s="1677">
        <f t="shared" si="16"/>
        <v>43132</v>
      </c>
      <c r="N52" s="1677">
        <f t="shared" si="16"/>
        <v>43101</v>
      </c>
      <c r="O52" s="1677">
        <f t="shared" si="16"/>
        <v>43070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2391</v>
      </c>
      <c r="B57" s="509" t="s">
        <v>2356</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2"/>
      <c r="I77" s="642"/>
      <c r="J77" s="642"/>
      <c r="K77" s="642"/>
      <c r="L77" s="642"/>
      <c r="M77" s="430"/>
      <c r="N77" s="1265"/>
      <c r="O77" s="1265"/>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30"/>
      <c r="B87" s="553"/>
      <c r="C87" s="554"/>
      <c r="D87" s="554"/>
      <c r="E87" s="554"/>
      <c r="F87" s="554"/>
      <c r="G87" s="575"/>
      <c r="H87" s="575"/>
      <c r="I87" s="575"/>
      <c r="J87" s="575"/>
      <c r="K87" s="575"/>
      <c r="L87" s="575"/>
      <c r="M87" s="576"/>
      <c r="N87" s="1265"/>
      <c r="O87" s="1265"/>
      <c r="P87" s="22"/>
      <c r="Q87" s="485"/>
    </row>
    <row r="88" spans="1:17">
      <c r="A88" s="508" t="s">
        <v>2366</v>
      </c>
      <c r="B88" s="509" t="s">
        <v>2415</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2417</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2419</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2421</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2422</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2424</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30"/>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2503</v>
      </c>
      <c r="B1" s="2478"/>
      <c r="C1" s="1726"/>
      <c r="D1" s="1736"/>
      <c r="E1" s="2380"/>
      <c r="F1" s="1737" t="s">
        <v>2335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IF(D2="——",IF(C2="元",ROUND(C37*D3,0),ROUND(C37*D3/10000,0)),IF(C2="元",ROUND(C37*D3,0),ROUND(C37*D3/10000,0))-E2)</f>
        <v>#DIV/0!</v>
      </c>
      <c r="C2" s="163" t="str">
        <f>'数据-取费表'!B3</f>
        <v>万元</v>
      </c>
      <c r="D2" s="2382"/>
      <c r="E2" s="1735" t="e">
        <f ca="1">SUMIF(INDIRECT("'"&amp;G2&amp;"'"&amp;"!A:A"),"承租人权益价值",INDIRECT("'"&amp;G2&amp;"'"&amp;"!c:c"))</f>
        <v>#REF!</v>
      </c>
      <c r="F2" s="2383" t="str">
        <f>C2</f>
        <v>万元</v>
      </c>
      <c r="G2" s="2384"/>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2007</v>
      </c>
      <c r="B3" s="593" t="e">
        <f ca="1">ROUND(IF(D2="——",C37,IF(C2="万元",B2*10000/D3,B2/D3)),0)</f>
        <v>#DIV/0!</v>
      </c>
      <c r="C3" s="379" t="s">
        <v>2336</v>
      </c>
      <c r="D3" s="378">
        <f>IF(C1="仅计算典型户型",'数据-取费表'!E5,'数据-取费表'!B5)</f>
        <v>14802.98</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2337</v>
      </c>
      <c r="B4" s="381"/>
      <c r="C4" s="3009" t="s">
        <v>2338</v>
      </c>
      <c r="D4" s="3010"/>
      <c r="E4" s="3011" t="s">
        <v>2339</v>
      </c>
      <c r="F4" s="3012"/>
      <c r="G4" s="3009" t="s">
        <v>2340</v>
      </c>
      <c r="H4" s="3010"/>
      <c r="I4" s="3009" t="s">
        <v>2341</v>
      </c>
      <c r="J4" s="3010"/>
      <c r="K4" s="594" t="s">
        <v>2342</v>
      </c>
      <c r="L4" s="1240"/>
      <c r="M4" s="1241"/>
      <c r="N4" s="1241"/>
      <c r="O4" s="1241"/>
      <c r="P4" s="3013" t="s">
        <v>2343</v>
      </c>
      <c r="Q4" s="3014"/>
      <c r="R4" s="3019" t="s">
        <v>2339</v>
      </c>
      <c r="S4" s="3020"/>
      <c r="T4" s="3019" t="s">
        <v>2340</v>
      </c>
      <c r="U4" s="3020"/>
      <c r="V4" s="3025" t="s">
        <v>2341</v>
      </c>
      <c r="W4" s="3025"/>
      <c r="X4" s="1896"/>
      <c r="Y4" s="3019" t="s">
        <v>2343</v>
      </c>
      <c r="Z4" s="3020"/>
      <c r="AA4" s="3006" t="s">
        <v>2339</v>
      </c>
      <c r="AB4" s="3007" t="s">
        <v>2340</v>
      </c>
      <c r="AC4" s="3006" t="s">
        <v>2341</v>
      </c>
    </row>
    <row r="5" spans="1:29" ht="15">
      <c r="A5" s="383"/>
      <c r="B5" s="384"/>
      <c r="C5" s="3002" t="s">
        <v>2344</v>
      </c>
      <c r="D5" s="3003"/>
      <c r="E5" s="3026" t="s">
        <v>2345</v>
      </c>
      <c r="F5" s="3027"/>
      <c r="G5" s="3002" t="s">
        <v>2346</v>
      </c>
      <c r="H5" s="3003"/>
      <c r="I5" s="3002" t="s">
        <v>2347</v>
      </c>
      <c r="J5" s="3003"/>
      <c r="K5" s="594"/>
      <c r="L5" s="1240"/>
      <c r="M5" s="1241"/>
      <c r="N5" s="1241"/>
      <c r="O5" s="1241"/>
      <c r="P5" s="3015"/>
      <c r="Q5" s="3016"/>
      <c r="R5" s="3021"/>
      <c r="S5" s="3022"/>
      <c r="T5" s="3021"/>
      <c r="U5" s="3022"/>
      <c r="V5" s="3025"/>
      <c r="W5" s="3025"/>
      <c r="X5" s="1896"/>
      <c r="Y5" s="3021"/>
      <c r="Z5" s="3022"/>
      <c r="AA5" s="3007"/>
      <c r="AB5" s="3007"/>
      <c r="AC5" s="3007"/>
    </row>
    <row r="6" spans="1:29" ht="15.75" thickBot="1">
      <c r="A6" s="385"/>
      <c r="B6" s="386"/>
      <c r="C6" s="2999" t="s">
        <v>2348</v>
      </c>
      <c r="D6" s="3000"/>
      <c r="E6" s="2997" t="s">
        <v>2348</v>
      </c>
      <c r="F6" s="2998"/>
      <c r="G6" s="2999" t="s">
        <v>2348</v>
      </c>
      <c r="H6" s="3000"/>
      <c r="I6" s="2999" t="s">
        <v>2348</v>
      </c>
      <c r="J6" s="3000"/>
      <c r="K6" s="594" t="s">
        <v>2349</v>
      </c>
      <c r="L6" s="1240"/>
      <c r="M6" s="1241"/>
      <c r="N6" s="1241"/>
      <c r="O6" s="1241"/>
      <c r="P6" s="3017"/>
      <c r="Q6" s="3018"/>
      <c r="R6" s="3021"/>
      <c r="S6" s="3022"/>
      <c r="T6" s="3023"/>
      <c r="U6" s="3024"/>
      <c r="V6" s="3025"/>
      <c r="W6" s="3025"/>
      <c r="X6" s="1896"/>
      <c r="Y6" s="3023"/>
      <c r="Z6" s="3024"/>
      <c r="AA6" s="3008"/>
      <c r="AB6" s="3008"/>
      <c r="AC6" s="3008"/>
    </row>
    <row r="7" spans="1:29" s="35" customFormat="1" ht="15.75" thickBot="1">
      <c r="A7" s="387" t="s">
        <v>2350</v>
      </c>
      <c r="B7" s="388"/>
      <c r="C7" s="389">
        <f>'数据-取费表'!B2</f>
        <v>43465</v>
      </c>
      <c r="D7" s="390">
        <v>100</v>
      </c>
      <c r="E7" s="2464"/>
      <c r="F7" s="390">
        <f>SUMIF(46:46,YEAR(E7)&amp;"-"&amp;MONTH(E7),47:47)</f>
        <v>0</v>
      </c>
      <c r="G7" s="391"/>
      <c r="H7" s="390">
        <f>SUMIF(46:46,YEAR(G7)&amp;"-"&amp;MONTH(G7),47:47)</f>
        <v>0</v>
      </c>
      <c r="I7" s="391"/>
      <c r="J7" s="390">
        <f>SUMIF(46:46,YEAR(I7)&amp;"-"&amp;MONTH(I7),47:47)</f>
        <v>0</v>
      </c>
      <c r="K7" s="595"/>
      <c r="L7" s="1242"/>
      <c r="M7" s="1243"/>
      <c r="N7" s="1243"/>
      <c r="O7" s="1243"/>
      <c r="P7" s="3004" t="s">
        <v>2351</v>
      </c>
      <c r="Q7" s="3028"/>
      <c r="R7" s="748" t="s">
        <v>25</v>
      </c>
      <c r="S7" s="749">
        <f t="shared" ref="S7:S14" si="0">F7</f>
        <v>0</v>
      </c>
      <c r="T7" s="748" t="s">
        <v>25</v>
      </c>
      <c r="U7" s="749">
        <f t="shared" ref="U7:U14" si="1">H7</f>
        <v>0</v>
      </c>
      <c r="V7" s="748" t="s">
        <v>25</v>
      </c>
      <c r="W7" s="749">
        <f t="shared" ref="W7:W14" si="2">J7</f>
        <v>0</v>
      </c>
      <c r="X7" s="750"/>
      <c r="Y7" s="3004" t="s">
        <v>2351</v>
      </c>
      <c r="Z7" s="3005"/>
      <c r="AA7" s="751" t="e">
        <f>D7/F7</f>
        <v>#DIV/0!</v>
      </c>
      <c r="AB7" s="751" t="e">
        <f>D7/H7</f>
        <v>#DIV/0!</v>
      </c>
      <c r="AC7" s="751"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04" t="s">
        <v>2354</v>
      </c>
      <c r="Q8" s="3005"/>
      <c r="R8" s="748" t="s">
        <v>25</v>
      </c>
      <c r="S8" s="749">
        <f t="shared" si="0"/>
        <v>0</v>
      </c>
      <c r="T8" s="748" t="s">
        <v>25</v>
      </c>
      <c r="U8" s="749">
        <f t="shared" si="1"/>
        <v>0</v>
      </c>
      <c r="V8" s="748" t="s">
        <v>25</v>
      </c>
      <c r="W8" s="749">
        <f t="shared" si="2"/>
        <v>0</v>
      </c>
      <c r="X8" s="750"/>
      <c r="Y8" s="3004" t="s">
        <v>2354</v>
      </c>
      <c r="Z8" s="3005"/>
      <c r="AA8" s="751" t="e">
        <f t="shared" ref="AA8:AA34" si="3">D8/F8</f>
        <v>#DIV/0!</v>
      </c>
      <c r="AB8" s="751" t="e">
        <f t="shared" ref="AB8:AB34" si="4">D8/H8</f>
        <v>#DIV/0!</v>
      </c>
      <c r="AC8" s="751"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01" t="s">
        <v>2357</v>
      </c>
      <c r="Q9" s="1883" t="str">
        <f t="shared" ref="Q9:Q14" si="6">B9</f>
        <v>用途</v>
      </c>
      <c r="R9" s="748" t="s">
        <v>25</v>
      </c>
      <c r="S9" s="749">
        <f t="shared" si="0"/>
        <v>100</v>
      </c>
      <c r="T9" s="748" t="s">
        <v>25</v>
      </c>
      <c r="U9" s="749">
        <f t="shared" si="1"/>
        <v>100</v>
      </c>
      <c r="V9" s="748" t="s">
        <v>25</v>
      </c>
      <c r="W9" s="749">
        <f t="shared" si="2"/>
        <v>100</v>
      </c>
      <c r="X9" s="750"/>
      <c r="Y9" s="2877" t="s">
        <v>2358</v>
      </c>
      <c r="Z9" s="23" t="str">
        <f t="shared" ref="Z9:Z14" si="7">Q9</f>
        <v>用途</v>
      </c>
      <c r="AA9" s="751">
        <f t="shared" si="3"/>
        <v>1</v>
      </c>
      <c r="AB9" s="751">
        <f t="shared" si="4"/>
        <v>1</v>
      </c>
      <c r="AC9" s="751">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01"/>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01"/>
      <c r="Q11" s="1883">
        <f t="shared" si="6"/>
        <v>111</v>
      </c>
      <c r="R11" s="748" t="s">
        <v>25</v>
      </c>
      <c r="S11" s="749">
        <f t="shared" si="0"/>
        <v>100</v>
      </c>
      <c r="T11" s="748" t="s">
        <v>25</v>
      </c>
      <c r="U11" s="749">
        <f t="shared" si="1"/>
        <v>100</v>
      </c>
      <c r="V11" s="748" t="s">
        <v>25</v>
      </c>
      <c r="W11" s="749">
        <f t="shared" si="2"/>
        <v>100</v>
      </c>
      <c r="X11" s="750"/>
      <c r="Y11" s="2877"/>
      <c r="Z11" s="23">
        <f t="shared" si="7"/>
        <v>111</v>
      </c>
      <c r="AA11" s="751">
        <f t="shared" si="3"/>
        <v>1</v>
      </c>
      <c r="AB11" s="751">
        <f t="shared" si="4"/>
        <v>1</v>
      </c>
      <c r="AC11" s="751">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01"/>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01"/>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85.5">
      <c r="A14" s="419" t="s">
        <v>2361</v>
      </c>
      <c r="B14" s="26" t="s">
        <v>2505</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29" t="s">
        <v>2362</v>
      </c>
      <c r="Q14" s="1895" t="str">
        <f t="shared" si="6"/>
        <v>交通便捷度</v>
      </c>
      <c r="R14" s="752" t="s">
        <v>25</v>
      </c>
      <c r="S14" s="753">
        <f t="shared" si="0"/>
        <v>100</v>
      </c>
      <c r="T14" s="752" t="s">
        <v>25</v>
      </c>
      <c r="U14" s="753">
        <f t="shared" si="1"/>
        <v>100</v>
      </c>
      <c r="V14" s="752" t="s">
        <v>25</v>
      </c>
      <c r="W14" s="753">
        <f t="shared" si="2"/>
        <v>100</v>
      </c>
      <c r="X14" s="1896"/>
      <c r="Y14" s="3029" t="s">
        <v>2362</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30"/>
      <c r="Q15" s="1895"/>
      <c r="R15" s="752"/>
      <c r="S15" s="753"/>
      <c r="T15" s="752"/>
      <c r="U15" s="753"/>
      <c r="V15" s="752"/>
      <c r="W15" s="753"/>
      <c r="X15" s="1896"/>
      <c r="Y15" s="3030"/>
      <c r="Z15" s="1898"/>
      <c r="AA15" s="1899">
        <v>1</v>
      </c>
      <c r="AB15" s="1899">
        <v>1</v>
      </c>
      <c r="AC15" s="1899">
        <v>1</v>
      </c>
    </row>
    <row r="16" spans="1:29" ht="42.75">
      <c r="A16" s="408"/>
      <c r="B16" s="615" t="s">
        <v>2477</v>
      </c>
      <c r="C16" s="2404"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30"/>
      <c r="Q16" s="1895" t="str">
        <f>B16</f>
        <v>公共配套设施</v>
      </c>
      <c r="R16" s="752" t="s">
        <v>25</v>
      </c>
      <c r="S16" s="753">
        <f>F16</f>
        <v>100</v>
      </c>
      <c r="T16" s="752" t="s">
        <v>25</v>
      </c>
      <c r="U16" s="753">
        <f>H16</f>
        <v>100</v>
      </c>
      <c r="V16" s="752" t="s">
        <v>25</v>
      </c>
      <c r="W16" s="753">
        <f>J16</f>
        <v>100</v>
      </c>
      <c r="X16" s="1896"/>
      <c r="Y16" s="3030"/>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30"/>
      <c r="Q17" s="1895"/>
      <c r="R17" s="752"/>
      <c r="S17" s="753"/>
      <c r="T17" s="752"/>
      <c r="U17" s="753"/>
      <c r="V17" s="752"/>
      <c r="W17" s="753"/>
      <c r="X17" s="1896"/>
      <c r="Y17" s="3030"/>
      <c r="Z17" s="1898"/>
      <c r="AA17" s="1899">
        <v>1</v>
      </c>
      <c r="AB17" s="1899">
        <v>1</v>
      </c>
      <c r="AC17" s="1899">
        <v>1</v>
      </c>
    </row>
    <row r="18" spans="1:29" ht="28.5">
      <c r="A18" s="408"/>
      <c r="B18" s="617" t="s">
        <v>2478</v>
      </c>
      <c r="C18" s="2404"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30"/>
      <c r="Q18" s="1895" t="str">
        <f>B18</f>
        <v>基础设施水平</v>
      </c>
      <c r="R18" s="752" t="s">
        <v>25</v>
      </c>
      <c r="S18" s="753">
        <f>F18</f>
        <v>100</v>
      </c>
      <c r="T18" s="752" t="s">
        <v>25</v>
      </c>
      <c r="U18" s="753">
        <f>H18</f>
        <v>100</v>
      </c>
      <c r="V18" s="752" t="s">
        <v>25</v>
      </c>
      <c r="W18" s="753">
        <f>J18</f>
        <v>100</v>
      </c>
      <c r="X18" s="1896"/>
      <c r="Y18" s="3030"/>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30"/>
      <c r="Q19" s="1895"/>
      <c r="R19" s="752"/>
      <c r="S19" s="753"/>
      <c r="T19" s="752"/>
      <c r="U19" s="753"/>
      <c r="V19" s="752"/>
      <c r="W19" s="753"/>
      <c r="X19" s="1896"/>
      <c r="Y19" s="3030"/>
      <c r="Z19" s="1898"/>
      <c r="AA19" s="1899">
        <v>1</v>
      </c>
      <c r="AB19" s="1899">
        <v>1</v>
      </c>
      <c r="AC19" s="1899">
        <v>1</v>
      </c>
    </row>
    <row r="20" spans="1:29" ht="57">
      <c r="A20" s="408"/>
      <c r="B20" s="431" t="s">
        <v>2506</v>
      </c>
      <c r="C20" s="2404"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30"/>
      <c r="Q20" s="1895" t="str">
        <f>B20</f>
        <v>自然及人文环境</v>
      </c>
      <c r="R20" s="752" t="s">
        <v>25</v>
      </c>
      <c r="S20" s="753">
        <f>F20</f>
        <v>100</v>
      </c>
      <c r="T20" s="752" t="s">
        <v>25</v>
      </c>
      <c r="U20" s="753">
        <f>H20</f>
        <v>100</v>
      </c>
      <c r="V20" s="752" t="s">
        <v>25</v>
      </c>
      <c r="W20" s="753">
        <f>J20</f>
        <v>100</v>
      </c>
      <c r="X20" s="1896"/>
      <c r="Y20" s="3030"/>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30"/>
      <c r="Q21" s="1895"/>
      <c r="R21" s="752"/>
      <c r="S21" s="753"/>
      <c r="T21" s="752"/>
      <c r="U21" s="753"/>
      <c r="V21" s="752"/>
      <c r="W21" s="753"/>
      <c r="X21" s="1896"/>
      <c r="Y21" s="3030"/>
      <c r="Z21" s="1898"/>
      <c r="AA21" s="1899">
        <v>1</v>
      </c>
      <c r="AB21" s="1899">
        <v>1</v>
      </c>
      <c r="AC21" s="1899">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30"/>
      <c r="Q22" s="1895" t="str">
        <f>B22</f>
        <v>楼层</v>
      </c>
      <c r="R22" s="752" t="s">
        <v>25</v>
      </c>
      <c r="S22" s="753">
        <f>F22</f>
        <v>100</v>
      </c>
      <c r="T22" s="752" t="s">
        <v>25</v>
      </c>
      <c r="U22" s="753">
        <f>H22</f>
        <v>100</v>
      </c>
      <c r="V22" s="752" t="s">
        <v>25</v>
      </c>
      <c r="W22" s="753">
        <f>J22</f>
        <v>100</v>
      </c>
      <c r="X22" s="1896"/>
      <c r="Y22" s="3030"/>
      <c r="Z22" s="1898" t="str">
        <f>Q22</f>
        <v>楼层</v>
      </c>
      <c r="AA22" s="1899">
        <f t="shared" si="3"/>
        <v>1</v>
      </c>
      <c r="AB22" s="1899">
        <f t="shared" si="4"/>
        <v>1</v>
      </c>
      <c r="AC22" s="1899">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30"/>
      <c r="Q23" s="1895">
        <f>B23</f>
        <v>111</v>
      </c>
      <c r="R23" s="752" t="s">
        <v>25</v>
      </c>
      <c r="S23" s="753">
        <f>F23</f>
        <v>100</v>
      </c>
      <c r="T23" s="752" t="s">
        <v>25</v>
      </c>
      <c r="U23" s="753">
        <f>H23</f>
        <v>100</v>
      </c>
      <c r="V23" s="752" t="s">
        <v>25</v>
      </c>
      <c r="W23" s="753">
        <f>J23</f>
        <v>100</v>
      </c>
      <c r="X23" s="1896"/>
      <c r="Y23" s="3030"/>
      <c r="Z23" s="1898">
        <f>Q23</f>
        <v>111</v>
      </c>
      <c r="AA23" s="1899">
        <f t="shared" si="3"/>
        <v>1</v>
      </c>
      <c r="AB23" s="1899">
        <f t="shared" si="4"/>
        <v>1</v>
      </c>
      <c r="AC23" s="1899">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30"/>
      <c r="Q24" s="1895">
        <f t="shared" ref="Q24:Q34" si="11">B24</f>
        <v>111</v>
      </c>
      <c r="R24" s="752" t="s">
        <v>25</v>
      </c>
      <c r="S24" s="753">
        <f>F24</f>
        <v>100</v>
      </c>
      <c r="T24" s="752" t="s">
        <v>25</v>
      </c>
      <c r="U24" s="753">
        <f>H24</f>
        <v>100</v>
      </c>
      <c r="V24" s="752" t="s">
        <v>25</v>
      </c>
      <c r="W24" s="753">
        <f>J24</f>
        <v>100</v>
      </c>
      <c r="X24" s="1896"/>
      <c r="Y24" s="3030"/>
      <c r="Z24" s="1898">
        <f>Q24</f>
        <v>111</v>
      </c>
      <c r="AA24" s="1899">
        <f t="shared" si="3"/>
        <v>1</v>
      </c>
      <c r="AB24" s="1899">
        <f t="shared" si="4"/>
        <v>1</v>
      </c>
      <c r="AC24" s="1899">
        <f t="shared" si="5"/>
        <v>1</v>
      </c>
    </row>
    <row r="25" spans="1:29" s="35" customFormat="1" ht="15.75" thickBot="1">
      <c r="A25" s="411"/>
      <c r="B25" s="2397">
        <v>111</v>
      </c>
      <c r="C25" s="2479"/>
      <c r="D25" s="647">
        <v>100</v>
      </c>
      <c r="E25" s="2479"/>
      <c r="F25" s="648">
        <f>SUMIF(75:75,E25,76:76)-SUMIF(75:75,C25,76:76)+100</f>
        <v>100</v>
      </c>
      <c r="G25" s="2479"/>
      <c r="H25" s="647">
        <f>SUMIF(75:75,G25,76:76)-SUMIF(75:75,C25,76:76)+100</f>
        <v>100</v>
      </c>
      <c r="I25" s="2479"/>
      <c r="J25" s="647">
        <f>SUMIF(75:75,I25,76:76)-SUMIF(75:75,C25,76:76)+100</f>
        <v>100</v>
      </c>
      <c r="K25" s="597"/>
      <c r="L25" s="1242"/>
      <c r="M25" s="1243"/>
      <c r="N25" s="1243"/>
      <c r="O25" s="1244"/>
      <c r="P25" s="3030"/>
      <c r="Q25" s="1883">
        <f t="shared" si="11"/>
        <v>111</v>
      </c>
      <c r="R25" s="748" t="s">
        <v>25</v>
      </c>
      <c r="S25" s="749">
        <f>F25</f>
        <v>100</v>
      </c>
      <c r="T25" s="748" t="s">
        <v>25</v>
      </c>
      <c r="U25" s="749">
        <f>H25</f>
        <v>100</v>
      </c>
      <c r="V25" s="748" t="s">
        <v>25</v>
      </c>
      <c r="W25" s="749">
        <f>J25</f>
        <v>100</v>
      </c>
      <c r="X25" s="750"/>
      <c r="Y25" s="3030"/>
      <c r="Z25" s="23">
        <f>Q25</f>
        <v>111</v>
      </c>
      <c r="AA25" s="1899">
        <f>D25/F25</f>
        <v>1</v>
      </c>
      <c r="AB25" s="1899">
        <f>D25/H25</f>
        <v>1</v>
      </c>
      <c r="AC25" s="1899">
        <f>D25/J25</f>
        <v>1</v>
      </c>
    </row>
    <row r="26" spans="1:29" ht="28.5">
      <c r="A26" s="447" t="s">
        <v>2366</v>
      </c>
      <c r="B26" s="28" t="s">
        <v>2510</v>
      </c>
      <c r="C26" s="2471"/>
      <c r="D26" s="448">
        <v>100</v>
      </c>
      <c r="E26" s="2471"/>
      <c r="F26" s="649">
        <f>SUMIF(77:77,E26,78:78)-SUMIF(77:77,C26,78:78)+100</f>
        <v>100</v>
      </c>
      <c r="G26" s="2471"/>
      <c r="H26" s="448">
        <f>SUMIF(77:77,G26,78:78)-SUMIF(77:77,C26,78:78)+100</f>
        <v>100</v>
      </c>
      <c r="I26" s="2471"/>
      <c r="J26" s="448">
        <f>SUMIF(77:77,I26,78:78)-SUMIF(77:77,C26,78:78)+100</f>
        <v>100</v>
      </c>
      <c r="K26" s="596"/>
      <c r="L26" s="1250"/>
      <c r="M26" s="1241"/>
      <c r="N26" s="1241"/>
      <c r="O26" s="1249"/>
      <c r="P26" s="3031" t="s">
        <v>2368</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32" t="s">
        <v>2368</v>
      </c>
      <c r="Z26" s="1898" t="str">
        <f t="shared" ref="Z26:Z34" si="15">Q26</f>
        <v>公共部分装修</v>
      </c>
      <c r="AA26" s="1899">
        <f t="shared" si="3"/>
        <v>1</v>
      </c>
      <c r="AB26" s="1899">
        <f t="shared" si="4"/>
        <v>1</v>
      </c>
      <c r="AC26" s="1899">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32"/>
      <c r="Q27" s="754" t="str">
        <f t="shared" si="11"/>
        <v>成新率</v>
      </c>
      <c r="R27" s="755" t="s">
        <v>25</v>
      </c>
      <c r="S27" s="756" t="e">
        <f t="shared" si="12"/>
        <v>#N/A</v>
      </c>
      <c r="T27" s="755" t="s">
        <v>25</v>
      </c>
      <c r="U27" s="756" t="e">
        <f t="shared" si="13"/>
        <v>#N/A</v>
      </c>
      <c r="V27" s="755" t="s">
        <v>25</v>
      </c>
      <c r="W27" s="756" t="e">
        <f t="shared" si="14"/>
        <v>#N/A</v>
      </c>
      <c r="X27" s="757"/>
      <c r="Y27" s="3032"/>
      <c r="Z27" s="758" t="str">
        <f t="shared" si="15"/>
        <v>成新率</v>
      </c>
      <c r="AA27" s="1899" t="e">
        <f t="shared" si="3"/>
        <v>#N/A</v>
      </c>
      <c r="AB27" s="1899" t="e">
        <f t="shared" si="4"/>
        <v>#N/A</v>
      </c>
      <c r="AC27" s="1899"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32"/>
      <c r="Q28" s="1895" t="str">
        <f t="shared" si="11"/>
        <v>物业等级</v>
      </c>
      <c r="R28" s="752" t="s">
        <v>25</v>
      </c>
      <c r="S28" s="753">
        <f t="shared" si="12"/>
        <v>100</v>
      </c>
      <c r="T28" s="752" t="s">
        <v>25</v>
      </c>
      <c r="U28" s="753">
        <f t="shared" si="13"/>
        <v>100</v>
      </c>
      <c r="V28" s="752" t="s">
        <v>25</v>
      </c>
      <c r="W28" s="753">
        <f t="shared" si="14"/>
        <v>100</v>
      </c>
      <c r="X28" s="1896"/>
      <c r="Y28" s="3032"/>
      <c r="Z28" s="1898" t="str">
        <f t="shared" si="15"/>
        <v>物业等级</v>
      </c>
      <c r="AA28" s="1899">
        <f t="shared" si="3"/>
        <v>1</v>
      </c>
      <c r="AB28" s="1899">
        <f t="shared" si="4"/>
        <v>1</v>
      </c>
      <c r="AC28" s="1899">
        <f t="shared" si="5"/>
        <v>1</v>
      </c>
    </row>
    <row r="29" spans="1:29" ht="15">
      <c r="A29" s="453"/>
      <c r="B29" s="402" t="s">
        <v>2532</v>
      </c>
      <c r="C29" s="639"/>
      <c r="D29" s="415">
        <v>100</v>
      </c>
      <c r="E29" s="639"/>
      <c r="F29" s="442">
        <f>SUMIF(84:84,E29,85:85)-SUMIF(84:84,C29,85:85)+100</f>
        <v>100</v>
      </c>
      <c r="G29" s="639"/>
      <c r="H29" s="415">
        <f>SUMIF(84:84,G29,85:85)-SUMIF(84:84,C29,85:85)+100</f>
        <v>100</v>
      </c>
      <c r="I29" s="639"/>
      <c r="J29" s="415">
        <f>SUMIF(84:84,I29,85:85)-SUMIF(84:84,C29,85:85)+100</f>
        <v>100</v>
      </c>
      <c r="K29" s="596"/>
      <c r="L29" s="1250"/>
      <c r="M29" s="1241"/>
      <c r="N29" s="1241"/>
      <c r="O29" s="1249"/>
      <c r="P29" s="3032"/>
      <c r="Q29" s="1895" t="str">
        <f t="shared" si="11"/>
        <v>有无电梯</v>
      </c>
      <c r="R29" s="752" t="s">
        <v>25</v>
      </c>
      <c r="S29" s="753">
        <f t="shared" si="12"/>
        <v>100</v>
      </c>
      <c r="T29" s="752" t="s">
        <v>25</v>
      </c>
      <c r="U29" s="753">
        <f t="shared" si="13"/>
        <v>100</v>
      </c>
      <c r="V29" s="752" t="s">
        <v>25</v>
      </c>
      <c r="W29" s="753">
        <f t="shared" si="14"/>
        <v>100</v>
      </c>
      <c r="X29" s="1896"/>
      <c r="Y29" s="3032"/>
      <c r="Z29" s="1898" t="str">
        <f t="shared" si="15"/>
        <v>有无电梯</v>
      </c>
      <c r="AA29" s="1899">
        <f t="shared" si="3"/>
        <v>1</v>
      </c>
      <c r="AB29" s="1899">
        <f t="shared" si="4"/>
        <v>1</v>
      </c>
      <c r="AC29" s="1899">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32"/>
      <c r="Q30" s="1895" t="str">
        <f t="shared" si="11"/>
        <v>建筑面积</v>
      </c>
      <c r="R30" s="752" t="s">
        <v>25</v>
      </c>
      <c r="S30" s="753" t="e">
        <f t="shared" si="12"/>
        <v>#N/A</v>
      </c>
      <c r="T30" s="752" t="s">
        <v>25</v>
      </c>
      <c r="U30" s="753" t="e">
        <f t="shared" si="13"/>
        <v>#N/A</v>
      </c>
      <c r="V30" s="752" t="s">
        <v>25</v>
      </c>
      <c r="W30" s="753" t="e">
        <f t="shared" si="14"/>
        <v>#N/A</v>
      </c>
      <c r="X30" s="1896"/>
      <c r="Y30" s="3032"/>
      <c r="Z30" s="1898" t="str">
        <f t="shared" si="15"/>
        <v>建筑面积</v>
      </c>
      <c r="AA30" s="1899" t="e">
        <f t="shared" si="3"/>
        <v>#N/A</v>
      </c>
      <c r="AB30" s="1899" t="e">
        <f t="shared" si="4"/>
        <v>#N/A</v>
      </c>
      <c r="AC30" s="1899" t="e">
        <f t="shared" si="5"/>
        <v>#N/A</v>
      </c>
    </row>
    <row r="31" spans="1:29" s="35" customFormat="1" ht="15">
      <c r="A31" s="454"/>
      <c r="B31" s="402" t="s">
        <v>2534</v>
      </c>
      <c r="C31" s="639"/>
      <c r="D31" s="52">
        <v>100</v>
      </c>
      <c r="E31" s="639"/>
      <c r="F31" s="442">
        <f>SUMIF(89:89,E31,90:90)-SUMIF(89:89,C31,90:90)+100</f>
        <v>100</v>
      </c>
      <c r="G31" s="639"/>
      <c r="H31" s="415">
        <f>SUMIF(89:89,G31,90:90)-SUMIF(89:89,C31,90:90)+100</f>
        <v>100</v>
      </c>
      <c r="I31" s="639"/>
      <c r="J31" s="415">
        <f>SUMIF(89:89,I31,90:90)-SUMIF(89:89,C31,90:90)+100</f>
        <v>100</v>
      </c>
      <c r="K31" s="596"/>
      <c r="L31" s="1242"/>
      <c r="M31" s="1243"/>
      <c r="N31" s="1243"/>
      <c r="O31" s="1244"/>
      <c r="P31" s="3032"/>
      <c r="Q31" s="1883" t="str">
        <f t="shared" si="11"/>
        <v>是否封闭</v>
      </c>
      <c r="R31" s="748" t="s">
        <v>25</v>
      </c>
      <c r="S31" s="749">
        <f t="shared" si="12"/>
        <v>100</v>
      </c>
      <c r="T31" s="748" t="s">
        <v>25</v>
      </c>
      <c r="U31" s="749">
        <f t="shared" si="13"/>
        <v>100</v>
      </c>
      <c r="V31" s="748" t="s">
        <v>25</v>
      </c>
      <c r="W31" s="749">
        <f t="shared" si="14"/>
        <v>100</v>
      </c>
      <c r="X31" s="750"/>
      <c r="Y31" s="3032"/>
      <c r="Z31" s="23" t="str">
        <f t="shared" si="15"/>
        <v>是否封闭</v>
      </c>
      <c r="AA31" s="751">
        <f t="shared" si="3"/>
        <v>1</v>
      </c>
      <c r="AB31" s="751">
        <f t="shared" si="4"/>
        <v>1</v>
      </c>
      <c r="AC31" s="751">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32" t="s">
        <v>2368</v>
      </c>
      <c r="Q32" s="1895">
        <f t="shared" si="11"/>
        <v>111</v>
      </c>
      <c r="R32" s="752" t="s">
        <v>25</v>
      </c>
      <c r="S32" s="753">
        <f t="shared" si="12"/>
        <v>100</v>
      </c>
      <c r="T32" s="752" t="s">
        <v>25</v>
      </c>
      <c r="U32" s="753">
        <f t="shared" si="13"/>
        <v>100</v>
      </c>
      <c r="V32" s="752" t="s">
        <v>25</v>
      </c>
      <c r="W32" s="753">
        <f t="shared" si="14"/>
        <v>100</v>
      </c>
      <c r="X32" s="1896"/>
      <c r="Y32" s="3032" t="s">
        <v>2368</v>
      </c>
      <c r="Z32" s="1898">
        <f t="shared" si="15"/>
        <v>111</v>
      </c>
      <c r="AA32" s="1899">
        <f t="shared" si="3"/>
        <v>1</v>
      </c>
      <c r="AB32" s="1899">
        <f t="shared" si="4"/>
        <v>1</v>
      </c>
      <c r="AC32" s="1899">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32"/>
      <c r="Q33" s="1895">
        <f t="shared" si="11"/>
        <v>111</v>
      </c>
      <c r="R33" s="752" t="s">
        <v>25</v>
      </c>
      <c r="S33" s="753">
        <f t="shared" si="12"/>
        <v>100</v>
      </c>
      <c r="T33" s="752" t="s">
        <v>25</v>
      </c>
      <c r="U33" s="753">
        <f t="shared" si="13"/>
        <v>100</v>
      </c>
      <c r="V33" s="752" t="s">
        <v>25</v>
      </c>
      <c r="W33" s="753">
        <f t="shared" si="14"/>
        <v>100</v>
      </c>
      <c r="X33" s="1896"/>
      <c r="Y33" s="3032"/>
      <c r="Z33" s="1898">
        <f t="shared" si="15"/>
        <v>111</v>
      </c>
      <c r="AA33" s="1899">
        <f t="shared" si="3"/>
        <v>1</v>
      </c>
      <c r="AB33" s="1899">
        <f t="shared" si="4"/>
        <v>1</v>
      </c>
      <c r="AC33" s="1899">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0"/>
      <c r="M34" s="1241"/>
      <c r="N34" s="1241"/>
      <c r="O34" s="1249"/>
      <c r="P34" s="3032"/>
      <c r="Q34" s="1895">
        <f t="shared" si="11"/>
        <v>111</v>
      </c>
      <c r="R34" s="752" t="s">
        <v>25</v>
      </c>
      <c r="S34" s="753">
        <f t="shared" si="12"/>
        <v>100</v>
      </c>
      <c r="T34" s="752" t="s">
        <v>25</v>
      </c>
      <c r="U34" s="753">
        <f t="shared" si="13"/>
        <v>100</v>
      </c>
      <c r="V34" s="752" t="s">
        <v>25</v>
      </c>
      <c r="W34" s="753">
        <f t="shared" si="14"/>
        <v>100</v>
      </c>
      <c r="X34" s="1896"/>
      <c r="Y34" s="3032"/>
      <c r="Z34" s="1898">
        <f t="shared" si="15"/>
        <v>111</v>
      </c>
      <c r="AA34" s="1899">
        <f t="shared" si="3"/>
        <v>1</v>
      </c>
      <c r="AB34" s="1899">
        <f t="shared" si="4"/>
        <v>1</v>
      </c>
      <c r="AC34" s="1899">
        <f t="shared" si="5"/>
        <v>1</v>
      </c>
    </row>
    <row r="35" spans="1:29" ht="15">
      <c r="A35" s="460" t="s">
        <v>2380</v>
      </c>
      <c r="B35" s="461"/>
      <c r="C35" s="1499" t="s">
        <v>1</v>
      </c>
      <c r="D35" s="1500"/>
      <c r="E35" s="1501"/>
      <c r="F35" s="1502"/>
      <c r="G35" s="1503"/>
      <c r="H35" s="1504"/>
      <c r="I35" s="1501"/>
      <c r="J35" s="1504"/>
      <c r="K35" s="761"/>
      <c r="L35" s="1253"/>
      <c r="M35" s="1254"/>
      <c r="N35" s="1241"/>
      <c r="O35" s="1254"/>
      <c r="P35" s="3001" t="str">
        <f>A35</f>
        <v>成交单价（元/平方米）</v>
      </c>
      <c r="Q35" s="3001"/>
      <c r="R35" s="3033">
        <f>E35</f>
        <v>0</v>
      </c>
      <c r="S35" s="3033"/>
      <c r="T35" s="3033">
        <f>G35</f>
        <v>0</v>
      </c>
      <c r="U35" s="3033"/>
      <c r="V35" s="3033">
        <f>I35</f>
        <v>0</v>
      </c>
      <c r="W35" s="3033"/>
      <c r="X35" s="737"/>
      <c r="Y35" s="759"/>
      <c r="Z35" s="737"/>
      <c r="AA35" s="737"/>
      <c r="AB35" s="737"/>
      <c r="AC35" s="737"/>
    </row>
    <row r="36" spans="1:29" ht="15.75" thickBot="1">
      <c r="A36" s="467" t="s">
        <v>2463</v>
      </c>
      <c r="B36" s="468"/>
      <c r="C36" s="1505" t="e">
        <f>R37</f>
        <v>#DIV/0!</v>
      </c>
      <c r="D36" s="1506"/>
      <c r="E36" s="1507" t="e">
        <f>R36</f>
        <v>#DIV/0!</v>
      </c>
      <c r="F36" s="1507"/>
      <c r="G36" s="1505" t="e">
        <f>T36</f>
        <v>#DIV/0!</v>
      </c>
      <c r="H36" s="1506"/>
      <c r="I36" s="1507" t="e">
        <f>V36</f>
        <v>#DIV/0!</v>
      </c>
      <c r="J36" s="1506"/>
      <c r="K36" s="762"/>
      <c r="L36" s="1253"/>
      <c r="M36" s="1254"/>
      <c r="N36" s="1241"/>
      <c r="O36" s="1254"/>
      <c r="P36" s="3001" t="str">
        <f>A36</f>
        <v>比较价值（元/平方米）</v>
      </c>
      <c r="Q36" s="3001"/>
      <c r="R36" s="3033" t="e">
        <f>IF(E1="售价",ROUND(PRODUCT(R35,AA7:AA34),0),ROUND(PRODUCT(R35,AA7:AA34),1))</f>
        <v>#DIV/0!</v>
      </c>
      <c r="S36" s="3033"/>
      <c r="T36" s="3033" t="e">
        <f>IF(E1="售价",ROUND(PRODUCT(T35,AB7:AB34),0),ROUND(PRODUCT(T35,AB7:AB34),1))</f>
        <v>#DIV/0!</v>
      </c>
      <c r="U36" s="3033"/>
      <c r="V36" s="3033" t="e">
        <f>IF(E1="售价",ROUND(PRODUCT(V35,AC7:AC34),0),ROUND(PRODUCT(V35,AC7:AC34),1))</f>
        <v>#DIV/0!</v>
      </c>
      <c r="W36" s="3033"/>
      <c r="X36" s="737"/>
      <c r="Y36" s="737"/>
      <c r="Z36" s="737"/>
      <c r="AA36" s="737"/>
      <c r="AB36" s="737"/>
      <c r="AC36" s="737"/>
    </row>
    <row r="37" spans="1:29" ht="15.75" thickBot="1">
      <c r="A37" s="473" t="s">
        <v>2486</v>
      </c>
      <c r="B37" s="474"/>
      <c r="C37" s="1509" t="e">
        <f>R37</f>
        <v>#DIV/0!</v>
      </c>
      <c r="D37" s="1509"/>
      <c r="E37" s="1509"/>
      <c r="F37" s="1509"/>
      <c r="G37" s="1509"/>
      <c r="H37" s="1509"/>
      <c r="I37" s="1509"/>
      <c r="J37" s="1509"/>
      <c r="K37" s="763"/>
      <c r="L37" s="1253"/>
      <c r="M37" s="1254"/>
      <c r="N37" s="1254"/>
      <c r="O37" s="1254"/>
      <c r="P37" s="3034" t="str">
        <f>A37</f>
        <v>估价对象XX用房的比较价值（楼面单价，元/平方米）</v>
      </c>
      <c r="Q37" s="3035"/>
      <c r="R37" s="3036" t="e">
        <f>IF(E1="售价",ROUND(AVERAGE(R36:V36),0),ROUND(AVERAGE(R36:V36),1))</f>
        <v>#DIV/0!</v>
      </c>
      <c r="S37" s="3036"/>
      <c r="T37" s="3036"/>
      <c r="U37" s="3036"/>
      <c r="V37" s="3036"/>
      <c r="W37" s="3036"/>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2468</v>
      </c>
      <c r="B45" s="737"/>
      <c r="C45" s="742"/>
      <c r="D45" s="742"/>
      <c r="E45" s="742"/>
      <c r="F45" s="743"/>
      <c r="G45" s="743"/>
      <c r="H45" s="742"/>
      <c r="I45" s="742"/>
      <c r="J45" s="742"/>
      <c r="K45" s="744"/>
      <c r="L45" s="745"/>
      <c r="M45" s="742"/>
      <c r="N45" s="742"/>
      <c r="O45" s="742"/>
      <c r="P45" s="484"/>
      <c r="Q45" s="485"/>
    </row>
    <row r="46" spans="1:29" s="489" customFormat="1" ht="15">
      <c r="A46" s="486" t="s">
        <v>2350</v>
      </c>
      <c r="B46" s="487"/>
      <c r="C46" s="1675" t="str">
        <f>YEAR(C7)&amp;"-"&amp;MONTH(C7)</f>
        <v>2018-12</v>
      </c>
      <c r="D46" s="1676">
        <f>EDATE(C46,-1)</f>
        <v>43405</v>
      </c>
      <c r="E46" s="1676">
        <f t="shared" ref="E46:O46" si="16">EDATE(D46,-1)</f>
        <v>43374</v>
      </c>
      <c r="F46" s="1676">
        <f t="shared" si="16"/>
        <v>43344</v>
      </c>
      <c r="G46" s="1676">
        <f t="shared" si="16"/>
        <v>43313</v>
      </c>
      <c r="H46" s="1676">
        <f t="shared" si="16"/>
        <v>43282</v>
      </c>
      <c r="I46" s="1676">
        <f t="shared" si="16"/>
        <v>43252</v>
      </c>
      <c r="J46" s="1676">
        <f t="shared" si="16"/>
        <v>43221</v>
      </c>
      <c r="K46" s="1676">
        <f t="shared" si="16"/>
        <v>43191</v>
      </c>
      <c r="L46" s="1676">
        <f t="shared" si="16"/>
        <v>43160</v>
      </c>
      <c r="M46" s="1676">
        <f t="shared" si="16"/>
        <v>43132</v>
      </c>
      <c r="N46" s="1676">
        <f t="shared" si="16"/>
        <v>43101</v>
      </c>
      <c r="O46" s="1676">
        <f t="shared" si="16"/>
        <v>43070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2391</v>
      </c>
      <c r="B51" s="509" t="s">
        <v>2356</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2">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2"/>
      <c r="I66" s="642"/>
      <c r="J66" s="642"/>
      <c r="K66" s="642"/>
      <c r="L66" s="642"/>
      <c r="M66" s="430"/>
      <c r="N66" s="1265"/>
      <c r="O66" s="1265"/>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2524</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2366</v>
      </c>
      <c r="B77" s="509" t="s">
        <v>2419</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2"/>
      <c r="J80" s="642"/>
      <c r="K80" s="650"/>
      <c r="L80" s="651"/>
      <c r="M80" s="652"/>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2528</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2535</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2537</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3"/>
      <c r="E1" s="733"/>
      <c r="F1" s="732" t="s">
        <v>2335</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2006</v>
      </c>
      <c r="B2" s="653" t="e">
        <f>F66</f>
        <v>#DIV/0!</v>
      </c>
      <c r="C2" s="731" t="s">
        <v>2540</v>
      </c>
      <c r="D2" s="978"/>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2007</v>
      </c>
      <c r="B3" s="593" t="e">
        <f>ROUND(B2/'数据-取费表'!B5,0)</f>
        <v>#DIV/0!</v>
      </c>
      <c r="C3" s="731" t="s">
        <v>2541</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30" ht="15">
      <c r="A4" s="380" t="s">
        <v>2337</v>
      </c>
      <c r="B4" s="381"/>
      <c r="C4" s="3009" t="s">
        <v>2338</v>
      </c>
      <c r="D4" s="3010"/>
      <c r="E4" s="3011" t="s">
        <v>2339</v>
      </c>
      <c r="F4" s="3012"/>
      <c r="G4" s="3009" t="s">
        <v>2340</v>
      </c>
      <c r="H4" s="3010"/>
      <c r="I4" s="3009" t="s">
        <v>2341</v>
      </c>
      <c r="J4" s="3010"/>
      <c r="K4" s="594" t="s">
        <v>2342</v>
      </c>
      <c r="L4" s="1240"/>
      <c r="M4" s="1241"/>
      <c r="N4" s="1241"/>
      <c r="O4" s="1241"/>
      <c r="P4" s="3013" t="s">
        <v>2343</v>
      </c>
      <c r="Q4" s="3014"/>
      <c r="R4" s="3019" t="s">
        <v>2339</v>
      </c>
      <c r="S4" s="3020"/>
      <c r="T4" s="3019" t="s">
        <v>2340</v>
      </c>
      <c r="U4" s="3020"/>
      <c r="V4" s="3025" t="s">
        <v>2341</v>
      </c>
      <c r="W4" s="3025"/>
      <c r="X4" s="1896"/>
      <c r="Y4" s="3019" t="s">
        <v>2343</v>
      </c>
      <c r="Z4" s="3020"/>
      <c r="AA4" s="3006" t="s">
        <v>2339</v>
      </c>
      <c r="AB4" s="3007" t="s">
        <v>2340</v>
      </c>
      <c r="AC4" s="3006" t="s">
        <v>2341</v>
      </c>
    </row>
    <row r="5" spans="1:30" ht="15">
      <c r="A5" s="383"/>
      <c r="B5" s="384"/>
      <c r="C5" s="3002" t="s">
        <v>2344</v>
      </c>
      <c r="D5" s="3003"/>
      <c r="E5" s="3026" t="s">
        <v>2345</v>
      </c>
      <c r="F5" s="3027"/>
      <c r="G5" s="3002" t="s">
        <v>2346</v>
      </c>
      <c r="H5" s="3003"/>
      <c r="I5" s="3002" t="s">
        <v>2347</v>
      </c>
      <c r="J5" s="3003"/>
      <c r="K5" s="594"/>
      <c r="L5" s="1240"/>
      <c r="M5" s="1241"/>
      <c r="N5" s="1241"/>
      <c r="O5" s="1241"/>
      <c r="P5" s="3015"/>
      <c r="Q5" s="3016"/>
      <c r="R5" s="3021"/>
      <c r="S5" s="3022"/>
      <c r="T5" s="3021"/>
      <c r="U5" s="3022"/>
      <c r="V5" s="3025"/>
      <c r="W5" s="3025"/>
      <c r="X5" s="1896"/>
      <c r="Y5" s="3021"/>
      <c r="Z5" s="3022"/>
      <c r="AA5" s="3007"/>
      <c r="AB5" s="3007"/>
      <c r="AC5" s="3007"/>
    </row>
    <row r="6" spans="1:30" ht="15.75" thickBot="1">
      <c r="A6" s="385"/>
      <c r="B6" s="386"/>
      <c r="C6" s="2999" t="s">
        <v>2348</v>
      </c>
      <c r="D6" s="3000"/>
      <c r="E6" s="2997" t="s">
        <v>2348</v>
      </c>
      <c r="F6" s="2998"/>
      <c r="G6" s="2999" t="s">
        <v>2348</v>
      </c>
      <c r="H6" s="3000"/>
      <c r="I6" s="2999" t="s">
        <v>2348</v>
      </c>
      <c r="J6" s="3000"/>
      <c r="K6" s="594" t="s">
        <v>2349</v>
      </c>
      <c r="L6" s="1240"/>
      <c r="M6" s="1241"/>
      <c r="N6" s="1241"/>
      <c r="O6" s="1241"/>
      <c r="P6" s="3017"/>
      <c r="Q6" s="3018"/>
      <c r="R6" s="3021"/>
      <c r="S6" s="3022"/>
      <c r="T6" s="3023"/>
      <c r="U6" s="3024"/>
      <c r="V6" s="3025"/>
      <c r="W6" s="3025"/>
      <c r="X6" s="1896"/>
      <c r="Y6" s="3023"/>
      <c r="Z6" s="3024"/>
      <c r="AA6" s="3008"/>
      <c r="AB6" s="3008"/>
      <c r="AC6" s="3008"/>
    </row>
    <row r="7" spans="1:30" s="35" customFormat="1" ht="15.75" thickBot="1">
      <c r="A7" s="387" t="s">
        <v>2350</v>
      </c>
      <c r="B7" s="388"/>
      <c r="C7" s="389">
        <f>'数据-取费表'!B2</f>
        <v>43465</v>
      </c>
      <c r="D7" s="390">
        <v>100</v>
      </c>
      <c r="E7" s="391"/>
      <c r="F7" s="392">
        <f>SUMIF(70:70,YEAR(E7)&amp;"-"&amp;INT((MONTH(E7)+2)/3),71:71)</f>
        <v>0</v>
      </c>
      <c r="G7" s="2464"/>
      <c r="H7" s="390">
        <f>SUMIF(70:70,YEAR(G7)&amp;"-"&amp;INT((MONTH(G7)+2)/3),71:71)</f>
        <v>0</v>
      </c>
      <c r="I7" s="2464"/>
      <c r="J7" s="390">
        <f>SUMIF(70:70,YEAR(I7)&amp;"-"&amp;INT((MONTH(I7)+2)/3),71:71)</f>
        <v>0</v>
      </c>
      <c r="K7" s="595"/>
      <c r="L7" s="1242"/>
      <c r="M7" s="1243"/>
      <c r="N7" s="1243"/>
      <c r="O7" s="1243"/>
      <c r="P7" s="3004" t="s">
        <v>2351</v>
      </c>
      <c r="Q7" s="3028"/>
      <c r="R7" s="748" t="s">
        <v>25</v>
      </c>
      <c r="S7" s="749">
        <f t="shared" ref="S7:S15" si="0">F7</f>
        <v>0</v>
      </c>
      <c r="T7" s="748" t="s">
        <v>25</v>
      </c>
      <c r="U7" s="749">
        <f t="shared" ref="U7:U15" si="1">H7</f>
        <v>0</v>
      </c>
      <c r="V7" s="748" t="s">
        <v>25</v>
      </c>
      <c r="W7" s="749">
        <f t="shared" ref="W7:W15" si="2">J7</f>
        <v>0</v>
      </c>
      <c r="X7" s="750"/>
      <c r="Y7" s="3004" t="s">
        <v>2351</v>
      </c>
      <c r="Z7" s="3005"/>
      <c r="AA7" s="751" t="e">
        <f>D7/F7</f>
        <v>#DIV/0!</v>
      </c>
      <c r="AB7" s="751" t="e">
        <f>D7/H7</f>
        <v>#DIV/0!</v>
      </c>
      <c r="AC7" s="751"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04" t="s">
        <v>2354</v>
      </c>
      <c r="Q8" s="3005"/>
      <c r="R8" s="748" t="s">
        <v>25</v>
      </c>
      <c r="S8" s="749">
        <f t="shared" si="0"/>
        <v>0</v>
      </c>
      <c r="T8" s="748" t="s">
        <v>25</v>
      </c>
      <c r="U8" s="749">
        <f t="shared" si="1"/>
        <v>0</v>
      </c>
      <c r="V8" s="748" t="s">
        <v>25</v>
      </c>
      <c r="W8" s="749">
        <f t="shared" si="2"/>
        <v>0</v>
      </c>
      <c r="X8" s="750"/>
      <c r="Y8" s="3004" t="s">
        <v>2354</v>
      </c>
      <c r="Z8" s="3005"/>
      <c r="AA8" s="751" t="e">
        <f t="shared" ref="AA8:AA45" si="3">D8/F8</f>
        <v>#DIV/0!</v>
      </c>
      <c r="AB8" s="751" t="e">
        <f t="shared" ref="AB8:AB45" si="4">D8/H8</f>
        <v>#DIV/0!</v>
      </c>
      <c r="AC8" s="751"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2"/>
      <c r="M9" s="1243"/>
      <c r="N9" s="1243"/>
      <c r="O9" s="1244"/>
      <c r="P9" s="3001" t="s">
        <v>2357</v>
      </c>
      <c r="Q9" s="1883" t="str">
        <f t="shared" ref="Q9:Q15" si="6">B9</f>
        <v>用途</v>
      </c>
      <c r="R9" s="748" t="s">
        <v>25</v>
      </c>
      <c r="S9" s="749">
        <f t="shared" si="0"/>
        <v>100</v>
      </c>
      <c r="T9" s="748" t="s">
        <v>25</v>
      </c>
      <c r="U9" s="749">
        <f t="shared" si="1"/>
        <v>100</v>
      </c>
      <c r="V9" s="748" t="s">
        <v>25</v>
      </c>
      <c r="W9" s="749">
        <f t="shared" si="2"/>
        <v>100</v>
      </c>
      <c r="X9" s="750"/>
      <c r="Y9" s="2877" t="s">
        <v>2358</v>
      </c>
      <c r="Z9" s="23" t="str">
        <f t="shared" ref="Z9:Z15" si="7">Q9</f>
        <v>用途</v>
      </c>
      <c r="AA9" s="751">
        <f t="shared" si="3"/>
        <v>1</v>
      </c>
      <c r="AB9" s="751">
        <f t="shared" si="4"/>
        <v>1</v>
      </c>
      <c r="AC9" s="751">
        <f t="shared" si="5"/>
        <v>1</v>
      </c>
    </row>
    <row r="10" spans="1:30" s="407" customFormat="1" ht="27">
      <c r="A10" s="401"/>
      <c r="B10" s="402" t="s">
        <v>2359</v>
      </c>
      <c r="C10" s="412"/>
      <c r="D10" s="52">
        <v>100</v>
      </c>
      <c r="E10" s="446"/>
      <c r="F10" s="52">
        <f>ROUND(100/'数据-取费表'!B14,0)</f>
        <v>116</v>
      </c>
      <c r="G10" s="444"/>
      <c r="H10" s="52">
        <f>ROUND(100/'数据-取费表'!B14,0)</f>
        <v>116</v>
      </c>
      <c r="I10" s="444"/>
      <c r="J10" s="52">
        <f>ROUND(100/'数据-取费表'!B14,0)</f>
        <v>116</v>
      </c>
      <c r="K10" s="654"/>
      <c r="L10" s="1245"/>
      <c r="M10" s="1246"/>
      <c r="N10" s="1246"/>
      <c r="O10" s="1247"/>
      <c r="P10" s="3001"/>
      <c r="Q10" s="1883" t="str">
        <f t="shared" si="6"/>
        <v>土地使用年限（年）</v>
      </c>
      <c r="R10" s="748" t="s">
        <v>25</v>
      </c>
      <c r="S10" s="749">
        <f t="shared" si="0"/>
        <v>116</v>
      </c>
      <c r="T10" s="748" t="s">
        <v>25</v>
      </c>
      <c r="U10" s="749">
        <f t="shared" si="1"/>
        <v>116</v>
      </c>
      <c r="V10" s="748" t="s">
        <v>25</v>
      </c>
      <c r="W10" s="749">
        <f t="shared" si="2"/>
        <v>116</v>
      </c>
      <c r="X10" s="750"/>
      <c r="Y10" s="2877"/>
      <c r="Z10" s="23" t="str">
        <f t="shared" si="7"/>
        <v>土地使用年限（年）</v>
      </c>
      <c r="AA10" s="751">
        <f t="shared" si="3"/>
        <v>0.86206896551724133</v>
      </c>
      <c r="AB10" s="751">
        <f t="shared" si="4"/>
        <v>0.86206896551724133</v>
      </c>
      <c r="AC10" s="751">
        <f t="shared" si="5"/>
        <v>0.86206896551724133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5"/>
      <c r="L11" s="1248"/>
      <c r="M11" s="1241"/>
      <c r="N11" s="1241"/>
      <c r="O11" s="1249"/>
      <c r="P11" s="3001"/>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30" s="35" customFormat="1" ht="15">
      <c r="A12" s="411"/>
      <c r="B12" s="2397" t="s">
        <v>2543</v>
      </c>
      <c r="C12" s="412"/>
      <c r="D12" s="413">
        <v>100</v>
      </c>
      <c r="E12" s="446"/>
      <c r="F12" s="52">
        <f>SUMIF(82:82,E12,83:83)-SUMIF(82:82,C12,83:83)+100</f>
        <v>100</v>
      </c>
      <c r="G12" s="444"/>
      <c r="H12" s="52">
        <f>SUMIF(82:82,G12,83:83)-SUMIF(82:82,C12,83:83)+100</f>
        <v>100</v>
      </c>
      <c r="I12" s="446"/>
      <c r="J12" s="52">
        <f>SUMIF(82:82,I12,83:83)-SUMIF(82:82,C12,83:83)+100</f>
        <v>100</v>
      </c>
      <c r="K12" s="654"/>
      <c r="L12" s="1242"/>
      <c r="M12" s="1243"/>
      <c r="N12" s="1243"/>
      <c r="O12" s="1244"/>
      <c r="P12" s="3001"/>
      <c r="Q12" s="1883" t="str">
        <f t="shared" si="6"/>
        <v>配建</v>
      </c>
      <c r="R12" s="748" t="s">
        <v>25</v>
      </c>
      <c r="S12" s="749">
        <f t="shared" si="0"/>
        <v>100</v>
      </c>
      <c r="T12" s="748" t="s">
        <v>25</v>
      </c>
      <c r="U12" s="749">
        <f t="shared" si="1"/>
        <v>100</v>
      </c>
      <c r="V12" s="748" t="s">
        <v>25</v>
      </c>
      <c r="W12" s="749">
        <f t="shared" si="2"/>
        <v>100</v>
      </c>
      <c r="X12" s="750"/>
      <c r="Y12" s="2877"/>
      <c r="Z12" s="23" t="str">
        <f t="shared" si="7"/>
        <v>配建</v>
      </c>
      <c r="AA12" s="751">
        <f>D12/F12</f>
        <v>1</v>
      </c>
      <c r="AB12" s="751">
        <f>D12/H12</f>
        <v>1</v>
      </c>
      <c r="AC12" s="751">
        <f>D12/J12</f>
        <v>1</v>
      </c>
    </row>
    <row r="13" spans="1:30" ht="15">
      <c r="A13" s="408"/>
      <c r="B13" s="2397">
        <v>111</v>
      </c>
      <c r="C13" s="414"/>
      <c r="D13" s="415">
        <v>100</v>
      </c>
      <c r="E13" s="532"/>
      <c r="F13" s="52">
        <f>SUMIF(84:84,E13,85:85)-SUMIF(84:84,C13,85:85)+100</f>
        <v>100</v>
      </c>
      <c r="G13" s="656"/>
      <c r="H13" s="415">
        <f>SUMIF(84:84,G13,85:85)-SUMIF(84:84,C13,85:85)+100</f>
        <v>100</v>
      </c>
      <c r="I13" s="656"/>
      <c r="J13" s="415">
        <f>SUMIF(84:84,I13,85:85)-SUMIF(84:84,C13,85:85)+100</f>
        <v>100</v>
      </c>
      <c r="K13" s="654"/>
      <c r="L13" s="1250"/>
      <c r="M13" s="1241"/>
      <c r="N13" s="1241"/>
      <c r="O13" s="1249"/>
      <c r="P13" s="3001"/>
      <c r="Q13" s="1883">
        <f t="shared" si="6"/>
        <v>111</v>
      </c>
      <c r="R13" s="748" t="s">
        <v>25</v>
      </c>
      <c r="S13" s="749">
        <f t="shared" si="0"/>
        <v>100</v>
      </c>
      <c r="T13" s="748" t="s">
        <v>25</v>
      </c>
      <c r="U13" s="749">
        <f t="shared" si="1"/>
        <v>100</v>
      </c>
      <c r="V13" s="748" t="s">
        <v>25</v>
      </c>
      <c r="W13" s="749">
        <f t="shared" si="2"/>
        <v>100</v>
      </c>
      <c r="X13" s="750"/>
      <c r="Y13" s="2877"/>
      <c r="Z13" s="23">
        <f t="shared" si="7"/>
        <v>111</v>
      </c>
      <c r="AA13" s="751">
        <f>D13/F13</f>
        <v>1</v>
      </c>
      <c r="AB13" s="751">
        <f>D13/H13</f>
        <v>1</v>
      </c>
      <c r="AC13" s="751">
        <f>D13/J13</f>
        <v>1</v>
      </c>
    </row>
    <row r="14" spans="1:30" ht="15.75" thickBot="1">
      <c r="A14" s="416"/>
      <c r="B14" s="2399">
        <v>111</v>
      </c>
      <c r="C14" s="2400"/>
      <c r="D14" s="417">
        <v>100</v>
      </c>
      <c r="E14" s="532"/>
      <c r="F14" s="417">
        <f>SUMIF(86:86,E14,87:87)-SUMIF(86:86,C14,87:87)+100</f>
        <v>100</v>
      </c>
      <c r="G14" s="656"/>
      <c r="H14" s="417">
        <f>SUMIF(86:86,G14,87:87)-SUMIF(86:86,C14,87:87)+100</f>
        <v>100</v>
      </c>
      <c r="I14" s="656"/>
      <c r="J14" s="417">
        <f>SUMIF(86:86,I14,87:87)-SUMIF(86:86,C14,87:87)+100</f>
        <v>100</v>
      </c>
      <c r="K14" s="654"/>
      <c r="L14" s="1250"/>
      <c r="M14" s="1241"/>
      <c r="N14" s="1241"/>
      <c r="O14" s="1249"/>
      <c r="P14" s="3001"/>
      <c r="Q14" s="1883">
        <f t="shared" si="6"/>
        <v>111</v>
      </c>
      <c r="R14" s="748" t="s">
        <v>25</v>
      </c>
      <c r="S14" s="749">
        <f t="shared" si="0"/>
        <v>100</v>
      </c>
      <c r="T14" s="748" t="s">
        <v>25</v>
      </c>
      <c r="U14" s="749">
        <f t="shared" si="1"/>
        <v>100</v>
      </c>
      <c r="V14" s="748" t="s">
        <v>25</v>
      </c>
      <c r="W14" s="749">
        <f t="shared" si="2"/>
        <v>100</v>
      </c>
      <c r="X14" s="750"/>
      <c r="Y14" s="2877"/>
      <c r="Z14" s="23">
        <f t="shared" si="7"/>
        <v>111</v>
      </c>
      <c r="AA14" s="751">
        <f>D14/F14</f>
        <v>1</v>
      </c>
      <c r="AB14" s="751">
        <f>D14/H14</f>
        <v>1</v>
      </c>
      <c r="AC14" s="751">
        <f>D14/J14</f>
        <v>1</v>
      </c>
    </row>
    <row r="15" spans="1:30" ht="99.75">
      <c r="A15" s="380" t="s">
        <v>2361</v>
      </c>
      <c r="B15" s="1484" t="s">
        <v>1736</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5"/>
      <c r="L15" s="1250"/>
      <c r="M15" s="1241"/>
      <c r="N15" s="1241"/>
      <c r="O15" s="1249"/>
      <c r="P15" s="3029" t="s">
        <v>2362</v>
      </c>
      <c r="Q15" s="1895" t="str">
        <f t="shared" si="6"/>
        <v>居住社区成熟度</v>
      </c>
      <c r="R15" s="752" t="s">
        <v>25</v>
      </c>
      <c r="S15" s="753">
        <f t="shared" si="0"/>
        <v>100</v>
      </c>
      <c r="T15" s="752" t="s">
        <v>25</v>
      </c>
      <c r="U15" s="753">
        <f t="shared" si="1"/>
        <v>100</v>
      </c>
      <c r="V15" s="752" t="s">
        <v>25</v>
      </c>
      <c r="W15" s="753">
        <f t="shared" si="2"/>
        <v>100</v>
      </c>
      <c r="X15" s="1896"/>
      <c r="Y15" s="3029" t="s">
        <v>2362</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402"/>
      <c r="J16" s="427"/>
      <c r="K16" s="654"/>
      <c r="L16" s="1250"/>
      <c r="M16" s="1241"/>
      <c r="N16" s="1241"/>
      <c r="O16" s="1249"/>
      <c r="P16" s="3030"/>
      <c r="Q16" s="1895"/>
      <c r="R16" s="752"/>
      <c r="S16" s="753"/>
      <c r="T16" s="752"/>
      <c r="U16" s="753"/>
      <c r="V16" s="752"/>
      <c r="W16" s="753"/>
      <c r="X16" s="1896"/>
      <c r="Y16" s="3030"/>
      <c r="Z16" s="1898"/>
      <c r="AA16" s="1899">
        <v>1</v>
      </c>
      <c r="AB16" s="1899">
        <v>1</v>
      </c>
      <c r="AC16" s="1899">
        <v>1</v>
      </c>
    </row>
    <row r="17" spans="1:29" ht="71.25">
      <c r="A17" s="383"/>
      <c r="B17" s="1486"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5"/>
      <c r="L17" s="1250"/>
      <c r="M17" s="1241"/>
      <c r="N17" s="1241"/>
      <c r="O17" s="1249"/>
      <c r="P17" s="3030"/>
      <c r="Q17" s="1895" t="str">
        <f>B17</f>
        <v>商业繁华度</v>
      </c>
      <c r="R17" s="752" t="s">
        <v>25</v>
      </c>
      <c r="S17" s="753">
        <f>F17</f>
        <v>100</v>
      </c>
      <c r="T17" s="752" t="s">
        <v>25</v>
      </c>
      <c r="U17" s="753">
        <f>H17</f>
        <v>100</v>
      </c>
      <c r="V17" s="752" t="s">
        <v>25</v>
      </c>
      <c r="W17" s="753">
        <f>J17</f>
        <v>100</v>
      </c>
      <c r="X17" s="1896"/>
      <c r="Y17" s="3030"/>
      <c r="Z17" s="1898" t="str">
        <f>Q17</f>
        <v>商业繁华度</v>
      </c>
      <c r="AA17" s="1899">
        <f t="shared" si="3"/>
        <v>1</v>
      </c>
      <c r="AB17" s="1899">
        <f t="shared" si="4"/>
        <v>1</v>
      </c>
      <c r="AC17" s="1899">
        <f t="shared" si="5"/>
        <v>1</v>
      </c>
    </row>
    <row r="18" spans="1:29" ht="15">
      <c r="A18" s="383"/>
      <c r="B18" s="1487"/>
      <c r="C18" s="2467"/>
      <c r="D18" s="430"/>
      <c r="E18" s="1465"/>
      <c r="F18" s="430"/>
      <c r="G18" s="1465"/>
      <c r="H18" s="427"/>
      <c r="I18" s="2405"/>
      <c r="J18" s="427"/>
      <c r="K18" s="654"/>
      <c r="L18" s="1250"/>
      <c r="M18" s="1241"/>
      <c r="N18" s="1241"/>
      <c r="O18" s="1249"/>
      <c r="P18" s="3030"/>
      <c r="Q18" s="1895"/>
      <c r="R18" s="752"/>
      <c r="S18" s="753"/>
      <c r="T18" s="752"/>
      <c r="U18" s="753"/>
      <c r="V18" s="752"/>
      <c r="W18" s="753"/>
      <c r="X18" s="1896"/>
      <c r="Y18" s="3030"/>
      <c r="Z18" s="1898"/>
      <c r="AA18" s="1899">
        <v>1</v>
      </c>
      <c r="AB18" s="1899">
        <v>1</v>
      </c>
      <c r="AC18" s="1899">
        <v>1</v>
      </c>
    </row>
    <row r="19" spans="1:29" ht="71.25">
      <c r="A19" s="383"/>
      <c r="B19" s="1486"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5"/>
      <c r="L19" s="1250"/>
      <c r="M19" s="1241"/>
      <c r="N19" s="1241"/>
      <c r="O19" s="1249"/>
      <c r="P19" s="3030"/>
      <c r="Q19" s="1895" t="str">
        <f>B19</f>
        <v>办公集聚程度</v>
      </c>
      <c r="R19" s="752" t="s">
        <v>25</v>
      </c>
      <c r="S19" s="753">
        <f>F19</f>
        <v>100</v>
      </c>
      <c r="T19" s="752" t="s">
        <v>25</v>
      </c>
      <c r="U19" s="753">
        <f>H19</f>
        <v>100</v>
      </c>
      <c r="V19" s="752" t="s">
        <v>25</v>
      </c>
      <c r="W19" s="753">
        <f>J19</f>
        <v>100</v>
      </c>
      <c r="X19" s="1896"/>
      <c r="Y19" s="3030"/>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402"/>
      <c r="J20" s="427"/>
      <c r="K20" s="654"/>
      <c r="L20" s="1250"/>
      <c r="M20" s="1241"/>
      <c r="N20" s="1241"/>
      <c r="O20" s="1249"/>
      <c r="P20" s="3030"/>
      <c r="Q20" s="1895"/>
      <c r="R20" s="752"/>
      <c r="S20" s="753"/>
      <c r="T20" s="752"/>
      <c r="U20" s="753"/>
      <c r="V20" s="752"/>
      <c r="W20" s="753"/>
      <c r="X20" s="1896"/>
      <c r="Y20" s="3030"/>
      <c r="Z20" s="1898"/>
      <c r="AA20" s="1899">
        <v>1</v>
      </c>
      <c r="AB20" s="1899">
        <v>1</v>
      </c>
      <c r="AC20" s="1899">
        <v>1</v>
      </c>
    </row>
    <row r="21" spans="1:29" ht="85.5">
      <c r="A21" s="383"/>
      <c r="B21" s="1486" t="s">
        <v>2505</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5"/>
      <c r="L21" s="1250"/>
      <c r="M21" s="1241"/>
      <c r="N21" s="1241"/>
      <c r="O21" s="1249"/>
      <c r="P21" s="3030"/>
      <c r="Q21" s="1895" t="str">
        <f>B21</f>
        <v>交通便捷度</v>
      </c>
      <c r="R21" s="752" t="s">
        <v>25</v>
      </c>
      <c r="S21" s="753">
        <f>F21</f>
        <v>100</v>
      </c>
      <c r="T21" s="752" t="s">
        <v>25</v>
      </c>
      <c r="U21" s="753">
        <f>H21</f>
        <v>100</v>
      </c>
      <c r="V21" s="752" t="s">
        <v>25</v>
      </c>
      <c r="W21" s="753">
        <f>J21</f>
        <v>100</v>
      </c>
      <c r="X21" s="1896"/>
      <c r="Y21" s="3030"/>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402"/>
      <c r="J22" s="427"/>
      <c r="K22" s="654"/>
      <c r="L22" s="1250"/>
      <c r="M22" s="1241"/>
      <c r="N22" s="1241"/>
      <c r="O22" s="1249"/>
      <c r="P22" s="3030"/>
      <c r="Q22" s="1895"/>
      <c r="R22" s="752"/>
      <c r="S22" s="753"/>
      <c r="T22" s="752"/>
      <c r="U22" s="753"/>
      <c r="V22" s="752"/>
      <c r="W22" s="753"/>
      <c r="X22" s="1896"/>
      <c r="Y22" s="3030"/>
      <c r="Z22" s="1898"/>
      <c r="AA22" s="1899">
        <v>1</v>
      </c>
      <c r="AB22" s="1899">
        <v>1</v>
      </c>
      <c r="AC22" s="1899">
        <v>1</v>
      </c>
    </row>
    <row r="23" spans="1:29" ht="15">
      <c r="A23" s="383"/>
      <c r="B23" s="1489"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5"/>
      <c r="L23" s="1250"/>
      <c r="M23" s="1241"/>
      <c r="N23" s="1241"/>
      <c r="O23" s="1249"/>
      <c r="P23" s="3030"/>
      <c r="Q23" s="1895" t="str">
        <f t="shared" ref="Q23:Q37" si="8">B23</f>
        <v>区域土地利用方向</v>
      </c>
      <c r="R23" s="752" t="s">
        <v>25</v>
      </c>
      <c r="S23" s="753">
        <f>F23</f>
        <v>100</v>
      </c>
      <c r="T23" s="752" t="s">
        <v>25</v>
      </c>
      <c r="U23" s="753">
        <f>H23</f>
        <v>100</v>
      </c>
      <c r="V23" s="752" t="s">
        <v>25</v>
      </c>
      <c r="W23" s="753">
        <f>J23</f>
        <v>100</v>
      </c>
      <c r="X23" s="1896"/>
      <c r="Y23" s="3030"/>
      <c r="Z23" s="1898" t="str">
        <f>Q23</f>
        <v>区域土地利用方向</v>
      </c>
      <c r="AA23" s="1899">
        <f t="shared" si="3"/>
        <v>1</v>
      </c>
      <c r="AB23" s="1899">
        <f t="shared" si="4"/>
        <v>1</v>
      </c>
      <c r="AC23" s="1899">
        <f t="shared" si="5"/>
        <v>1</v>
      </c>
    </row>
    <row r="24" spans="1:29" ht="15">
      <c r="A24" s="383"/>
      <c r="B24" s="1490"/>
      <c r="C24" s="618"/>
      <c r="D24" s="427"/>
      <c r="E24" s="428"/>
      <c r="F24" s="427"/>
      <c r="G24" s="2402"/>
      <c r="H24" s="427"/>
      <c r="I24" s="2402"/>
      <c r="J24" s="427"/>
      <c r="K24" s="803"/>
      <c r="L24" s="1250"/>
      <c r="M24" s="1241"/>
      <c r="N24" s="1241"/>
      <c r="O24" s="1249"/>
      <c r="P24" s="3030"/>
      <c r="Q24" s="1895"/>
      <c r="R24" s="752"/>
      <c r="S24" s="753"/>
      <c r="T24" s="752"/>
      <c r="U24" s="753"/>
      <c r="V24" s="752"/>
      <c r="W24" s="753"/>
      <c r="X24" s="1896"/>
      <c r="Y24" s="3030"/>
      <c r="Z24" s="1898"/>
      <c r="AA24" s="1899"/>
      <c r="AB24" s="1899"/>
      <c r="AC24" s="1899"/>
    </row>
    <row r="25" spans="1:29" ht="57">
      <c r="A25" s="383"/>
      <c r="B25" s="1488" t="s">
        <v>2545</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5"/>
      <c r="L25" s="1250"/>
      <c r="M25" s="1241"/>
      <c r="N25" s="1241"/>
      <c r="O25" s="1249"/>
      <c r="P25" s="3030"/>
      <c r="Q25" s="1895" t="str">
        <f t="shared" si="8"/>
        <v>自然及人文环境状况</v>
      </c>
      <c r="R25" s="752" t="s">
        <v>25</v>
      </c>
      <c r="S25" s="753">
        <f>F25</f>
        <v>100</v>
      </c>
      <c r="T25" s="752" t="s">
        <v>25</v>
      </c>
      <c r="U25" s="753">
        <f>H25</f>
        <v>100</v>
      </c>
      <c r="V25" s="752" t="s">
        <v>25</v>
      </c>
      <c r="W25" s="753">
        <f>J25</f>
        <v>100</v>
      </c>
      <c r="X25" s="1896"/>
      <c r="Y25" s="3030"/>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4"/>
      <c r="L26" s="1250"/>
      <c r="M26" s="1241"/>
      <c r="N26" s="1241"/>
      <c r="O26" s="1249"/>
      <c r="P26" s="3030"/>
      <c r="Q26" s="1895"/>
      <c r="R26" s="752"/>
      <c r="S26" s="753"/>
      <c r="T26" s="752"/>
      <c r="U26" s="753"/>
      <c r="V26" s="752"/>
      <c r="W26" s="753"/>
      <c r="X26" s="1896"/>
      <c r="Y26" s="3030"/>
      <c r="Z26" s="1898"/>
      <c r="AA26" s="1899">
        <v>1</v>
      </c>
      <c r="AB26" s="1899">
        <v>1</v>
      </c>
      <c r="AC26" s="1899">
        <v>1</v>
      </c>
    </row>
    <row r="27" spans="1:29" ht="42.75">
      <c r="A27" s="383"/>
      <c r="B27" s="1488" t="s">
        <v>2448</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30"/>
      <c r="Q27" s="1883" t="str">
        <f t="shared" ref="Q27" si="9">B27</f>
        <v>公共配套设施</v>
      </c>
      <c r="R27" s="748" t="s">
        <v>25</v>
      </c>
      <c r="S27" s="749">
        <f>F27</f>
        <v>100</v>
      </c>
      <c r="T27" s="748" t="s">
        <v>25</v>
      </c>
      <c r="U27" s="749">
        <f>H27</f>
        <v>100</v>
      </c>
      <c r="V27" s="748" t="s">
        <v>25</v>
      </c>
      <c r="W27" s="749">
        <f>J27</f>
        <v>100</v>
      </c>
      <c r="X27" s="1896"/>
      <c r="Y27" s="3030"/>
      <c r="Z27" s="23" t="str">
        <f>Q27</f>
        <v>公共配套设施</v>
      </c>
      <c r="AA27" s="1899">
        <f>D27/F27</f>
        <v>1</v>
      </c>
      <c r="AB27" s="1899">
        <f>D27/H27</f>
        <v>1</v>
      </c>
      <c r="AC27" s="1899">
        <f>D27/J27</f>
        <v>1</v>
      </c>
    </row>
    <row r="28" spans="1:29" ht="15">
      <c r="A28" s="383"/>
      <c r="B28" s="1487"/>
      <c r="C28" s="2484"/>
      <c r="D28" s="427"/>
      <c r="E28" s="2484"/>
      <c r="F28" s="427"/>
      <c r="G28" s="2484"/>
      <c r="H28" s="427"/>
      <c r="I28" s="2484"/>
      <c r="J28" s="427"/>
      <c r="K28" s="654"/>
      <c r="L28" s="1250"/>
      <c r="M28" s="1241"/>
      <c r="N28" s="1241"/>
      <c r="O28" s="1249"/>
      <c r="P28" s="3030"/>
      <c r="Q28" s="1895"/>
      <c r="R28" s="752"/>
      <c r="S28" s="753"/>
      <c r="T28" s="752"/>
      <c r="U28" s="753"/>
      <c r="V28" s="752"/>
      <c r="W28" s="753"/>
      <c r="X28" s="1896"/>
      <c r="Y28" s="3030"/>
      <c r="Z28" s="23"/>
      <c r="AA28" s="1899">
        <v>1</v>
      </c>
      <c r="AB28" s="1899">
        <v>1</v>
      </c>
      <c r="AC28" s="1899">
        <v>1</v>
      </c>
    </row>
    <row r="29" spans="1:29" s="35" customFormat="1" ht="28.5">
      <c r="A29" s="632"/>
      <c r="B29" s="1488"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30"/>
      <c r="Q29" s="1883" t="str">
        <f t="shared" si="8"/>
        <v>基础设施水平</v>
      </c>
      <c r="R29" s="748" t="s">
        <v>25</v>
      </c>
      <c r="S29" s="749">
        <f>F29</f>
        <v>100</v>
      </c>
      <c r="T29" s="748" t="s">
        <v>25</v>
      </c>
      <c r="U29" s="749">
        <f>H29</f>
        <v>100</v>
      </c>
      <c r="V29" s="748" t="s">
        <v>25</v>
      </c>
      <c r="W29" s="749">
        <f>J29</f>
        <v>100</v>
      </c>
      <c r="X29" s="750"/>
      <c r="Y29" s="3030"/>
      <c r="Z29" s="23" t="str">
        <f>Q29</f>
        <v>基础设施水平</v>
      </c>
      <c r="AA29" s="1899">
        <f>D29/F29</f>
        <v>1</v>
      </c>
      <c r="AB29" s="1899">
        <f>D29/H29</f>
        <v>1</v>
      </c>
      <c r="AC29" s="1899">
        <f>D29/J29</f>
        <v>1</v>
      </c>
    </row>
    <row r="30" spans="1:29" s="35" customFormat="1" ht="15">
      <c r="A30" s="632"/>
      <c r="B30" s="1487"/>
      <c r="C30" s="2484"/>
      <c r="D30" s="427"/>
      <c r="E30" s="2484"/>
      <c r="F30" s="427"/>
      <c r="G30" s="2484"/>
      <c r="H30" s="427"/>
      <c r="I30" s="2484"/>
      <c r="J30" s="427"/>
      <c r="K30" s="654"/>
      <c r="L30" s="1242"/>
      <c r="M30" s="1243"/>
      <c r="N30" s="1243"/>
      <c r="O30" s="1244"/>
      <c r="P30" s="3030"/>
      <c r="Q30" s="1883"/>
      <c r="R30" s="748"/>
      <c r="S30" s="749"/>
      <c r="T30" s="748"/>
      <c r="U30" s="749"/>
      <c r="V30" s="748"/>
      <c r="W30" s="749"/>
      <c r="X30" s="750"/>
      <c r="Y30" s="3030"/>
      <c r="Z30" s="23"/>
      <c r="AA30" s="1899">
        <v>1</v>
      </c>
      <c r="AB30" s="1899">
        <v>1</v>
      </c>
      <c r="AC30" s="1899">
        <v>1</v>
      </c>
    </row>
    <row r="31" spans="1:29" ht="15">
      <c r="A31" s="383"/>
      <c r="B31" s="1487"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5"/>
      <c r="L31" s="1250"/>
      <c r="M31" s="1241"/>
      <c r="N31" s="1241"/>
      <c r="O31" s="1249"/>
      <c r="P31" s="3030"/>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30"/>
      <c r="Z31" s="1898" t="str">
        <f t="shared" ref="Z31:Z45" si="13">Q31</f>
        <v>临街状况</v>
      </c>
      <c r="AA31" s="1899">
        <f t="shared" si="3"/>
        <v>1</v>
      </c>
      <c r="AB31" s="1899">
        <f t="shared" si="4"/>
        <v>1</v>
      </c>
      <c r="AC31" s="1899">
        <f t="shared" si="5"/>
        <v>1</v>
      </c>
    </row>
    <row r="32" spans="1:29" ht="27">
      <c r="A32" s="383"/>
      <c r="B32" s="1488"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5"/>
      <c r="L32" s="1250"/>
      <c r="M32" s="1241"/>
      <c r="N32" s="1241"/>
      <c r="O32" s="1249"/>
      <c r="P32" s="3030"/>
      <c r="Q32" s="1895" t="str">
        <f t="shared" si="8"/>
        <v>毗邻道路的类型与等级</v>
      </c>
      <c r="R32" s="752" t="s">
        <v>25</v>
      </c>
      <c r="S32" s="753">
        <f t="shared" si="10"/>
        <v>100</v>
      </c>
      <c r="T32" s="752" t="s">
        <v>25</v>
      </c>
      <c r="U32" s="753">
        <f t="shared" si="11"/>
        <v>100</v>
      </c>
      <c r="V32" s="752" t="s">
        <v>25</v>
      </c>
      <c r="W32" s="753">
        <f t="shared" si="12"/>
        <v>100</v>
      </c>
      <c r="X32" s="1896"/>
      <c r="Y32" s="3030"/>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30"/>
      <c r="Q33" s="1895"/>
      <c r="R33" s="752"/>
      <c r="S33" s="753"/>
      <c r="T33" s="752"/>
      <c r="U33" s="753"/>
      <c r="V33" s="752"/>
      <c r="W33" s="753"/>
      <c r="X33" s="1896"/>
      <c r="Y33" s="3030"/>
      <c r="Z33" s="1898"/>
      <c r="AA33" s="1899">
        <v>1</v>
      </c>
      <c r="AB33" s="1899">
        <v>1</v>
      </c>
      <c r="AC33" s="1899">
        <v>1</v>
      </c>
    </row>
    <row r="34" spans="1:29" ht="15">
      <c r="A34" s="383"/>
      <c r="B34" s="1491"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30"/>
      <c r="Q34" s="1895" t="str">
        <f t="shared" si="8"/>
        <v>土地级别</v>
      </c>
      <c r="R34" s="752" t="s">
        <v>25</v>
      </c>
      <c r="S34" s="753">
        <f t="shared" si="10"/>
        <v>100</v>
      </c>
      <c r="T34" s="752" t="s">
        <v>25</v>
      </c>
      <c r="U34" s="753">
        <f t="shared" si="11"/>
        <v>100</v>
      </c>
      <c r="V34" s="752" t="s">
        <v>25</v>
      </c>
      <c r="W34" s="753">
        <f t="shared" si="12"/>
        <v>100</v>
      </c>
      <c r="X34" s="1896"/>
      <c r="Y34" s="3030"/>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6"/>
      <c r="J35" s="415">
        <f>SUMIF(110:110,I35,111:111)-SUMIF(110:110,C35,111:111)+100</f>
        <v>100</v>
      </c>
      <c r="K35" s="597"/>
      <c r="L35" s="1250"/>
      <c r="M35" s="1241"/>
      <c r="N35" s="1241"/>
      <c r="O35" s="1249"/>
      <c r="P35" s="3030"/>
      <c r="Q35" s="1895">
        <f t="shared" si="8"/>
        <v>111</v>
      </c>
      <c r="R35" s="752" t="s">
        <v>25</v>
      </c>
      <c r="S35" s="753">
        <f t="shared" si="10"/>
        <v>100</v>
      </c>
      <c r="T35" s="752" t="s">
        <v>25</v>
      </c>
      <c r="U35" s="753">
        <f t="shared" si="11"/>
        <v>100</v>
      </c>
      <c r="V35" s="752" t="s">
        <v>25</v>
      </c>
      <c r="W35" s="753">
        <f t="shared" si="12"/>
        <v>100</v>
      </c>
      <c r="X35" s="1896"/>
      <c r="Y35" s="3030"/>
      <c r="Z35" s="1898">
        <f t="shared" si="13"/>
        <v>111</v>
      </c>
      <c r="AA35" s="1899">
        <f t="shared" si="3"/>
        <v>1</v>
      </c>
      <c r="AB35" s="1899">
        <f t="shared" si="4"/>
        <v>1</v>
      </c>
      <c r="AC35" s="1899">
        <f t="shared" si="5"/>
        <v>1</v>
      </c>
    </row>
    <row r="36" spans="1:29" ht="15">
      <c r="A36" s="657"/>
      <c r="B36" s="1493">
        <v>111</v>
      </c>
      <c r="C36" s="458"/>
      <c r="D36" s="415">
        <v>100</v>
      </c>
      <c r="E36" s="458"/>
      <c r="F36" s="415">
        <f>SUMIF(112:112,E37,113:113)-SUMIF(112:112,C37,113:113)+100</f>
        <v>100</v>
      </c>
      <c r="G36" s="458"/>
      <c r="H36" s="415">
        <f>SUMIF(112:112,G36,113:113)-SUMIF(112:112,C36,113:113)+100</f>
        <v>100</v>
      </c>
      <c r="I36" s="656"/>
      <c r="J36" s="415">
        <f>SUMIF(112:112,I36,113:113)-SUMIF(112:112,C36,113:113)+100</f>
        <v>100</v>
      </c>
      <c r="K36" s="597"/>
      <c r="L36" s="1250"/>
      <c r="M36" s="1241"/>
      <c r="N36" s="1241"/>
      <c r="O36" s="1249"/>
      <c r="P36" s="3031" t="s">
        <v>2368</v>
      </c>
      <c r="Q36" s="1895">
        <f t="shared" si="8"/>
        <v>111</v>
      </c>
      <c r="R36" s="752" t="s">
        <v>25</v>
      </c>
      <c r="S36" s="753">
        <f t="shared" si="10"/>
        <v>100</v>
      </c>
      <c r="T36" s="752" t="s">
        <v>25</v>
      </c>
      <c r="U36" s="753">
        <f t="shared" si="11"/>
        <v>100</v>
      </c>
      <c r="V36" s="752" t="s">
        <v>25</v>
      </c>
      <c r="W36" s="753">
        <f t="shared" si="12"/>
        <v>100</v>
      </c>
      <c r="X36" s="1896"/>
      <c r="Y36" s="3032" t="s">
        <v>2368</v>
      </c>
      <c r="Z36" s="1898">
        <f t="shared" si="13"/>
        <v>111</v>
      </c>
      <c r="AA36" s="1899">
        <f t="shared" si="3"/>
        <v>1</v>
      </c>
      <c r="AB36" s="1899">
        <f t="shared" si="4"/>
        <v>1</v>
      </c>
      <c r="AC36" s="1899">
        <f t="shared" si="5"/>
        <v>1</v>
      </c>
    </row>
    <row r="37" spans="1:29" s="452" customFormat="1" ht="15.75" thickBot="1">
      <c r="A37" s="658"/>
      <c r="B37" s="1494">
        <v>111</v>
      </c>
      <c r="C37" s="684"/>
      <c r="D37" s="53">
        <v>100</v>
      </c>
      <c r="E37" s="684"/>
      <c r="F37" s="417">
        <f>SUMIF(114:114,E37,115:115)-SUMIF(114:114,C37,115:115)+100</f>
        <v>100</v>
      </c>
      <c r="G37" s="684"/>
      <c r="H37" s="417">
        <f>SUMIF(114:114,G37,115:115)-SUMIF(114:114,C37,115:115)+100</f>
        <v>100</v>
      </c>
      <c r="I37" s="660"/>
      <c r="J37" s="417">
        <f>SUMIF(114:114,I37,115:115)-SUMIF(114:114,C37,115:115)+100</f>
        <v>100</v>
      </c>
      <c r="K37" s="597"/>
      <c r="L37" s="1248"/>
      <c r="M37" s="1251"/>
      <c r="N37" s="1251"/>
      <c r="O37" s="1252"/>
      <c r="P37" s="3032"/>
      <c r="Q37" s="1895">
        <f t="shared" si="8"/>
        <v>111</v>
      </c>
      <c r="R37" s="755" t="s">
        <v>25</v>
      </c>
      <c r="S37" s="756">
        <f t="shared" si="10"/>
        <v>100</v>
      </c>
      <c r="T37" s="755" t="s">
        <v>25</v>
      </c>
      <c r="U37" s="756">
        <f t="shared" si="11"/>
        <v>100</v>
      </c>
      <c r="V37" s="755" t="s">
        <v>25</v>
      </c>
      <c r="W37" s="756">
        <f t="shared" si="12"/>
        <v>100</v>
      </c>
      <c r="X37" s="757"/>
      <c r="Y37" s="3032"/>
      <c r="Z37" s="758">
        <f t="shared" si="13"/>
        <v>111</v>
      </c>
      <c r="AA37" s="1899">
        <f t="shared" si="3"/>
        <v>1</v>
      </c>
      <c r="AB37" s="1899">
        <f t="shared" si="4"/>
        <v>1</v>
      </c>
      <c r="AC37" s="1899">
        <f t="shared" si="5"/>
        <v>1</v>
      </c>
    </row>
    <row r="38" spans="1:29" ht="15">
      <c r="A38" s="380" t="s">
        <v>2366</v>
      </c>
      <c r="B38" s="436" t="s">
        <v>2547</v>
      </c>
      <c r="C38" s="661"/>
      <c r="D38" s="448">
        <v>100</v>
      </c>
      <c r="E38" s="661"/>
      <c r="F38" s="448" t="e">
        <f>LOOKUP(E38,117:117,118:118)-LOOKUP(C38,117:117,118:118)+100</f>
        <v>#N/A</v>
      </c>
      <c r="G38" s="661"/>
      <c r="H38" s="448" t="e">
        <f>LOOKUP(G38,117:117,118:118)-LOOKUP(C38,117:117,118:118)+100</f>
        <v>#N/A</v>
      </c>
      <c r="I38" s="511"/>
      <c r="J38" s="448" t="e">
        <f>LOOKUP(I38,117:117,118:118)-LOOKUP(C38,117:117,118:118)+100</f>
        <v>#N/A</v>
      </c>
      <c r="K38" s="597"/>
      <c r="L38" s="1250"/>
      <c r="M38" s="1241"/>
      <c r="N38" s="1241"/>
      <c r="O38" s="1249"/>
      <c r="P38" s="3032"/>
      <c r="Q38" s="1895" t="str">
        <f>B38</f>
        <v>宗地面积</v>
      </c>
      <c r="R38" s="752" t="s">
        <v>25</v>
      </c>
      <c r="S38" s="753" t="e">
        <f t="shared" si="10"/>
        <v>#N/A</v>
      </c>
      <c r="T38" s="752" t="s">
        <v>25</v>
      </c>
      <c r="U38" s="753" t="e">
        <f t="shared" si="11"/>
        <v>#N/A</v>
      </c>
      <c r="V38" s="752" t="s">
        <v>25</v>
      </c>
      <c r="W38" s="753" t="e">
        <f t="shared" si="12"/>
        <v>#N/A</v>
      </c>
      <c r="X38" s="1896"/>
      <c r="Y38" s="3032"/>
      <c r="Z38" s="1898" t="str">
        <f t="shared" si="13"/>
        <v>宗地面积</v>
      </c>
      <c r="AA38" s="1899" t="e">
        <f t="shared" si="3"/>
        <v>#N/A</v>
      </c>
      <c r="AB38" s="1899" t="e">
        <f t="shared" si="4"/>
        <v>#N/A</v>
      </c>
      <c r="AC38" s="1899" t="e">
        <f t="shared" si="5"/>
        <v>#N/A</v>
      </c>
    </row>
    <row r="39" spans="1:29" ht="15">
      <c r="A39" s="453"/>
      <c r="B39" s="402" t="s">
        <v>2548</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0"/>
      <c r="M39" s="1241"/>
      <c r="N39" s="1241"/>
      <c r="O39" s="1249"/>
      <c r="P39" s="3032"/>
      <c r="Q39" s="1895" t="str">
        <f t="shared" ref="Q39:Q45" si="14">B39</f>
        <v>宗地形状</v>
      </c>
      <c r="R39" s="752" t="s">
        <v>25</v>
      </c>
      <c r="S39" s="753">
        <f t="shared" si="10"/>
        <v>100</v>
      </c>
      <c r="T39" s="752" t="s">
        <v>25</v>
      </c>
      <c r="U39" s="753">
        <f t="shared" si="11"/>
        <v>100</v>
      </c>
      <c r="V39" s="752" t="s">
        <v>25</v>
      </c>
      <c r="W39" s="753">
        <f t="shared" si="12"/>
        <v>100</v>
      </c>
      <c r="X39" s="1896"/>
      <c r="Y39" s="3032"/>
      <c r="Z39" s="1898" t="str">
        <f t="shared" si="13"/>
        <v>宗地形状</v>
      </c>
      <c r="AA39" s="1899">
        <f t="shared" si="3"/>
        <v>1</v>
      </c>
      <c r="AB39" s="1899">
        <f t="shared" si="4"/>
        <v>1</v>
      </c>
      <c r="AC39" s="1899">
        <f t="shared" si="5"/>
        <v>1</v>
      </c>
    </row>
    <row r="40" spans="1:29" ht="15">
      <c r="A40" s="453"/>
      <c r="B40" s="402" t="s">
        <v>2549</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0"/>
      <c r="M40" s="1241"/>
      <c r="N40" s="1241"/>
      <c r="O40" s="1249"/>
      <c r="P40" s="3032"/>
      <c r="Q40" s="1895" t="str">
        <f t="shared" si="14"/>
        <v>临街宽度及深度</v>
      </c>
      <c r="R40" s="752" t="s">
        <v>25</v>
      </c>
      <c r="S40" s="753">
        <f t="shared" si="10"/>
        <v>100</v>
      </c>
      <c r="T40" s="752" t="s">
        <v>25</v>
      </c>
      <c r="U40" s="753">
        <f t="shared" si="11"/>
        <v>100</v>
      </c>
      <c r="V40" s="752" t="s">
        <v>25</v>
      </c>
      <c r="W40" s="753">
        <f t="shared" si="12"/>
        <v>100</v>
      </c>
      <c r="X40" s="1896"/>
      <c r="Y40" s="3032"/>
      <c r="Z40" s="1898" t="str">
        <f t="shared" si="13"/>
        <v>临街宽度及深度</v>
      </c>
      <c r="AA40" s="1899">
        <f t="shared" si="3"/>
        <v>1</v>
      </c>
      <c r="AB40" s="1899">
        <f t="shared" si="4"/>
        <v>1</v>
      </c>
      <c r="AC40" s="1899">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2"/>
      <c r="M41" s="1243"/>
      <c r="N41" s="1243"/>
      <c r="O41" s="1244"/>
      <c r="P41" s="3032"/>
      <c r="Q41" s="1895" t="str">
        <f t="shared" si="14"/>
        <v>宗地开发程度</v>
      </c>
      <c r="R41" s="748" t="s">
        <v>25</v>
      </c>
      <c r="S41" s="749">
        <f t="shared" si="10"/>
        <v>100</v>
      </c>
      <c r="T41" s="748" t="s">
        <v>25</v>
      </c>
      <c r="U41" s="749">
        <f t="shared" si="11"/>
        <v>100</v>
      </c>
      <c r="V41" s="748" t="s">
        <v>25</v>
      </c>
      <c r="W41" s="749">
        <f t="shared" si="12"/>
        <v>100</v>
      </c>
      <c r="X41" s="750"/>
      <c r="Y41" s="3032"/>
      <c r="Z41" s="23" t="str">
        <f t="shared" si="13"/>
        <v>宗地开发程度</v>
      </c>
      <c r="AA41" s="751">
        <f t="shared" si="3"/>
        <v>1</v>
      </c>
      <c r="AB41" s="751">
        <f t="shared" si="4"/>
        <v>1</v>
      </c>
      <c r="AC41" s="751">
        <f t="shared" si="5"/>
        <v>1</v>
      </c>
    </row>
    <row r="42" spans="1:29" ht="15">
      <c r="A42" s="453"/>
      <c r="B42" s="402" t="s">
        <v>2551</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0"/>
      <c r="M42" s="1241"/>
      <c r="N42" s="1241"/>
      <c r="O42" s="1249"/>
      <c r="P42" s="3032" t="s">
        <v>2368</v>
      </c>
      <c r="Q42" s="1895" t="str">
        <f t="shared" si="14"/>
        <v>工程地质条件</v>
      </c>
      <c r="R42" s="752" t="s">
        <v>25</v>
      </c>
      <c r="S42" s="753">
        <f t="shared" si="10"/>
        <v>100</v>
      </c>
      <c r="T42" s="752" t="s">
        <v>25</v>
      </c>
      <c r="U42" s="753">
        <f t="shared" si="11"/>
        <v>100</v>
      </c>
      <c r="V42" s="752" t="s">
        <v>25</v>
      </c>
      <c r="W42" s="753">
        <f t="shared" si="12"/>
        <v>100</v>
      </c>
      <c r="X42" s="1896"/>
      <c r="Y42" s="3032" t="s">
        <v>2368</v>
      </c>
      <c r="Z42" s="1898" t="str">
        <f t="shared" si="13"/>
        <v>工程地质条件</v>
      </c>
      <c r="AA42" s="1899">
        <f t="shared" si="3"/>
        <v>1</v>
      </c>
      <c r="AB42" s="1899">
        <f t="shared" si="4"/>
        <v>1</v>
      </c>
      <c r="AC42" s="1899">
        <f t="shared" si="5"/>
        <v>1</v>
      </c>
    </row>
    <row r="43" spans="1:29" ht="15">
      <c r="A43" s="453"/>
      <c r="B43" s="2487">
        <v>111</v>
      </c>
      <c r="C43" s="656"/>
      <c r="D43" s="415">
        <v>100</v>
      </c>
      <c r="E43" s="656"/>
      <c r="F43" s="415">
        <f>SUMIF(127:127,E43,128:128)-SUMIF(127:127,C43,128:128)+100</f>
        <v>100</v>
      </c>
      <c r="G43" s="656"/>
      <c r="H43" s="415">
        <f>SUMIF(127:127,G43,128:128)-SUMIF(127:127,C43,128:128)+100</f>
        <v>100</v>
      </c>
      <c r="I43" s="532"/>
      <c r="J43" s="415">
        <f>SUMIF(127:127,I43,128:128)-SUMIF(127:127,C43,128:128)+100</f>
        <v>100</v>
      </c>
      <c r="K43" s="597"/>
      <c r="L43" s="1250"/>
      <c r="M43" s="1241"/>
      <c r="N43" s="1241"/>
      <c r="O43" s="1249"/>
      <c r="P43" s="3032"/>
      <c r="Q43" s="1895">
        <f t="shared" si="14"/>
        <v>111</v>
      </c>
      <c r="R43" s="752" t="s">
        <v>25</v>
      </c>
      <c r="S43" s="753">
        <f t="shared" si="10"/>
        <v>100</v>
      </c>
      <c r="T43" s="752" t="s">
        <v>25</v>
      </c>
      <c r="U43" s="753">
        <f t="shared" si="11"/>
        <v>100</v>
      </c>
      <c r="V43" s="752" t="s">
        <v>25</v>
      </c>
      <c r="W43" s="753">
        <f t="shared" si="12"/>
        <v>100</v>
      </c>
      <c r="X43" s="1896"/>
      <c r="Y43" s="3032"/>
      <c r="Z43" s="1898">
        <f t="shared" si="13"/>
        <v>111</v>
      </c>
      <c r="AA43" s="1899">
        <f t="shared" si="3"/>
        <v>1</v>
      </c>
      <c r="AB43" s="1899">
        <f t="shared" si="4"/>
        <v>1</v>
      </c>
      <c r="AC43" s="1899">
        <f t="shared" si="5"/>
        <v>1</v>
      </c>
    </row>
    <row r="44" spans="1:29" ht="15">
      <c r="A44" s="453"/>
      <c r="B44" s="2487">
        <v>111</v>
      </c>
      <c r="C44" s="656"/>
      <c r="D44" s="415">
        <v>100</v>
      </c>
      <c r="E44" s="656"/>
      <c r="F44" s="415">
        <f>SUMIF(129:129,E44,130:130)-SUMIF(129:129,C44,130:130)+100</f>
        <v>100</v>
      </c>
      <c r="G44" s="656"/>
      <c r="H44" s="415">
        <f>SUMIF(129:129,G44,130:130)-SUMIF(129:129,C44,130:130)+100</f>
        <v>100</v>
      </c>
      <c r="I44" s="532"/>
      <c r="J44" s="415">
        <f>SUMIF(129:129,I44,130:130)-SUMIF(129:129,C44,130:130)+100</f>
        <v>100</v>
      </c>
      <c r="K44" s="597"/>
      <c r="L44" s="1250"/>
      <c r="M44" s="1241"/>
      <c r="N44" s="1241"/>
      <c r="O44" s="1249"/>
      <c r="P44" s="3032"/>
      <c r="Q44" s="1895">
        <f t="shared" si="14"/>
        <v>111</v>
      </c>
      <c r="R44" s="752" t="s">
        <v>25</v>
      </c>
      <c r="S44" s="753">
        <f t="shared" si="10"/>
        <v>100</v>
      </c>
      <c r="T44" s="752" t="s">
        <v>25</v>
      </c>
      <c r="U44" s="753">
        <f t="shared" si="11"/>
        <v>100</v>
      </c>
      <c r="V44" s="752" t="s">
        <v>25</v>
      </c>
      <c r="W44" s="753">
        <f t="shared" si="12"/>
        <v>100</v>
      </c>
      <c r="X44" s="1896"/>
      <c r="Y44" s="3032"/>
      <c r="Z44" s="1898">
        <f t="shared" si="13"/>
        <v>111</v>
      </c>
      <c r="AA44" s="1899">
        <f t="shared" si="3"/>
        <v>1</v>
      </c>
      <c r="AB44" s="1899">
        <f t="shared" si="4"/>
        <v>1</v>
      </c>
      <c r="AC44" s="1899">
        <f t="shared" si="5"/>
        <v>1</v>
      </c>
    </row>
    <row r="45" spans="1:29" s="452" customFormat="1" ht="15.75" thickBot="1">
      <c r="A45" s="449"/>
      <c r="B45" s="2487">
        <v>111</v>
      </c>
      <c r="C45" s="2488"/>
      <c r="D45" s="662">
        <v>100</v>
      </c>
      <c r="E45" s="656"/>
      <c r="F45" s="417">
        <f>SUMIF(131:131,E45,132:132)-SUMIF(131:131,C45,132:132)+100</f>
        <v>100</v>
      </c>
      <c r="G45" s="656"/>
      <c r="H45" s="417">
        <f>SUMIF(131:131,G45,132:132)-SUMIF(131:131,C45,132:132)+100</f>
        <v>100</v>
      </c>
      <c r="I45" s="656"/>
      <c r="J45" s="417">
        <f>SUMIF(131:131,I45,132:132)-SUMIF(131:131,C45,132:132)+100</f>
        <v>100</v>
      </c>
      <c r="K45" s="663"/>
      <c r="L45" s="1248"/>
      <c r="M45" s="1251"/>
      <c r="N45" s="1251"/>
      <c r="O45" s="1252"/>
      <c r="P45" s="3032"/>
      <c r="Q45" s="1895">
        <f t="shared" si="14"/>
        <v>111</v>
      </c>
      <c r="R45" s="755" t="s">
        <v>25</v>
      </c>
      <c r="S45" s="756">
        <f t="shared" si="10"/>
        <v>100</v>
      </c>
      <c r="T45" s="755" t="s">
        <v>25</v>
      </c>
      <c r="U45" s="756">
        <f t="shared" si="11"/>
        <v>100</v>
      </c>
      <c r="V45" s="755" t="s">
        <v>25</v>
      </c>
      <c r="W45" s="756">
        <f t="shared" si="12"/>
        <v>100</v>
      </c>
      <c r="X45" s="757"/>
      <c r="Y45" s="3032"/>
      <c r="Z45" s="758">
        <f t="shared" si="13"/>
        <v>111</v>
      </c>
      <c r="AA45" s="1899">
        <f t="shared" si="3"/>
        <v>1</v>
      </c>
      <c r="AB45" s="1899">
        <f t="shared" si="4"/>
        <v>1</v>
      </c>
      <c r="AC45" s="1899">
        <f t="shared" si="5"/>
        <v>1</v>
      </c>
    </row>
    <row r="46" spans="1:29" ht="15">
      <c r="A46" s="460" t="s">
        <v>2516</v>
      </c>
      <c r="B46" s="2489" t="s">
        <v>2552</v>
      </c>
      <c r="C46" s="664" t="s">
        <v>1</v>
      </c>
      <c r="D46" s="462"/>
      <c r="E46" s="463"/>
      <c r="F46" s="464"/>
      <c r="G46" s="465"/>
      <c r="H46" s="466"/>
      <c r="I46" s="463"/>
      <c r="J46" s="466"/>
      <c r="K46" s="761"/>
      <c r="L46" s="1253"/>
      <c r="M46" s="1254"/>
      <c r="N46" s="1241"/>
      <c r="O46" s="1254"/>
      <c r="P46" s="3001" t="str">
        <f>A46</f>
        <v>成交单价</v>
      </c>
      <c r="Q46" s="3001"/>
      <c r="R46" s="3025">
        <f>E46</f>
        <v>0</v>
      </c>
      <c r="S46" s="3025"/>
      <c r="T46" s="3025">
        <f>G46</f>
        <v>0</v>
      </c>
      <c r="U46" s="3025"/>
      <c r="V46" s="3025">
        <f>I46</f>
        <v>0</v>
      </c>
      <c r="W46" s="3025"/>
      <c r="X46" s="737"/>
      <c r="Y46" s="759"/>
      <c r="Z46" s="737"/>
      <c r="AA46" s="737"/>
      <c r="AB46" s="737"/>
      <c r="AC46" s="737"/>
    </row>
    <row r="47" spans="1:29" ht="15.75" thickBot="1">
      <c r="A47" s="467" t="s">
        <v>2463</v>
      </c>
      <c r="B47" s="665"/>
      <c r="C47" s="471" t="e">
        <f>R48</f>
        <v>#DIV/0!</v>
      </c>
      <c r="D47" s="470"/>
      <c r="E47" s="471" t="e">
        <f>R47</f>
        <v>#DIV/0!</v>
      </c>
      <c r="F47" s="472"/>
      <c r="G47" s="469" t="e">
        <f>T47</f>
        <v>#DIV/0!</v>
      </c>
      <c r="H47" s="470"/>
      <c r="I47" s="471" t="e">
        <f>V47</f>
        <v>#DIV/0!</v>
      </c>
      <c r="J47" s="470"/>
      <c r="K47" s="762"/>
      <c r="L47" s="1253"/>
      <c r="M47" s="1254"/>
      <c r="N47" s="1254"/>
      <c r="O47" s="1254"/>
      <c r="P47" s="3001" t="str">
        <f>A47</f>
        <v>比较价值（元/平方米）</v>
      </c>
      <c r="Q47" s="3001"/>
      <c r="R47" s="3082" t="e">
        <f>ROUND(PRODUCT(R46,AA7:AA45),0)</f>
        <v>#DIV/0!</v>
      </c>
      <c r="S47" s="3082"/>
      <c r="T47" s="3082" t="e">
        <f>ROUND(PRODUCT(T46,AB7:AB45),0)</f>
        <v>#DIV/0!</v>
      </c>
      <c r="U47" s="3082"/>
      <c r="V47" s="3082" t="e">
        <f>ROUND(PRODUCT(V46,AC7:AC45),0)</f>
        <v>#DIV/0!</v>
      </c>
      <c r="W47" s="3082"/>
      <c r="X47" s="737"/>
      <c r="Y47" s="737"/>
      <c r="Z47" s="737"/>
      <c r="AA47" s="737"/>
      <c r="AB47" s="737"/>
      <c r="AC47" s="737"/>
    </row>
    <row r="48" spans="1:29" ht="15.75" thickBot="1">
      <c r="A48" s="473" t="s">
        <v>2486</v>
      </c>
      <c r="B48" s="474"/>
      <c r="C48" s="475" t="e">
        <f>R48</f>
        <v>#DIV/0!</v>
      </c>
      <c r="D48" s="475"/>
      <c r="E48" s="475"/>
      <c r="F48" s="475"/>
      <c r="G48" s="475"/>
      <c r="H48" s="475"/>
      <c r="I48" s="475"/>
      <c r="J48" s="475"/>
      <c r="K48" s="763"/>
      <c r="L48" s="1253"/>
      <c r="M48" s="1254"/>
      <c r="N48" s="1254"/>
      <c r="O48" s="1254"/>
      <c r="P48" s="3034" t="str">
        <f>A48</f>
        <v>估价对象XX用房的比较价值（楼面单价，元/平方米）</v>
      </c>
      <c r="Q48" s="3035"/>
      <c r="R48" s="3083" t="e">
        <f>ROUND(AVERAGE(R47:V47),0)</f>
        <v>#DIV/0!</v>
      </c>
      <c r="S48" s="3083"/>
      <c r="T48" s="3083"/>
      <c r="U48" s="3083"/>
      <c r="V48" s="3083"/>
      <c r="W48" s="3083"/>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6" t="s">
        <v>2553</v>
      </c>
      <c r="B55" s="667" t="s">
        <v>2554</v>
      </c>
      <c r="C55" s="2490" t="s">
        <v>2555</v>
      </c>
      <c r="D55" s="2491" t="s">
        <v>2556</v>
      </c>
      <c r="E55" s="668" t="s">
        <v>2557</v>
      </c>
      <c r="F55" s="669" t="s">
        <v>2558</v>
      </c>
      <c r="G55" s="62" t="s">
        <v>2559</v>
      </c>
      <c r="H55" s="62">
        <f>项目基本情况!G8</f>
        <v>0</v>
      </c>
      <c r="I55" s="2492" t="s">
        <v>2560</v>
      </c>
      <c r="J55" s="738"/>
      <c r="K55" s="1255"/>
      <c r="L55" s="1255"/>
      <c r="M55" s="1254"/>
      <c r="N55" s="1254"/>
      <c r="O55" s="1254"/>
    </row>
    <row r="56" spans="1:15" s="674" customFormat="1">
      <c r="A56" s="670" t="s">
        <v>2561</v>
      </c>
      <c r="B56" s="671" t="e">
        <f>C48</f>
        <v>#DIV/0!</v>
      </c>
      <c r="C56" s="672">
        <v>1</v>
      </c>
      <c r="D56" s="1290">
        <v>1</v>
      </c>
      <c r="E56" s="676">
        <v>120</v>
      </c>
      <c r="F56" s="673" t="e">
        <f t="shared" ref="F56:F65" si="15">ROUND(B56*E56,0)</f>
        <v>#DIV/0!</v>
      </c>
      <c r="G56" s="970">
        <v>1</v>
      </c>
      <c r="H56" s="970">
        <v>1</v>
      </c>
      <c r="I56" s="1256"/>
      <c r="J56" s="1256"/>
      <c r="K56" s="1260"/>
      <c r="L56" s="1261"/>
      <c r="M56" s="1256"/>
      <c r="N56" s="1256"/>
      <c r="O56" s="969"/>
    </row>
    <row r="57" spans="1:15" s="674" customFormat="1">
      <c r="A57" s="675" t="s">
        <v>2562</v>
      </c>
      <c r="B57" s="178" t="e">
        <f>ROUND($C$48*C57*D57,0)</f>
        <v>#DIV/0!</v>
      </c>
      <c r="C57" s="117">
        <f>IF($C$55="北京市系数",G57,H57)</f>
        <v>0.8</v>
      </c>
      <c r="D57" s="1289">
        <v>0.25</v>
      </c>
      <c r="E57" s="676">
        <v>0</v>
      </c>
      <c r="F57" s="673" t="e">
        <f t="shared" si="15"/>
        <v>#DIV/0!</v>
      </c>
      <c r="G57" s="970">
        <f>SUMIF(修正!$A$45:$A$56,项目基本情况!$F$9,修正!B45:B56)</f>
        <v>0.8</v>
      </c>
      <c r="H57" s="971"/>
      <c r="I57" s="1254"/>
      <c r="J57" s="1259"/>
      <c r="K57" s="1255"/>
      <c r="L57" s="1255"/>
      <c r="M57" s="1254"/>
      <c r="N57" s="1254"/>
      <c r="O57" s="969"/>
    </row>
    <row r="58" spans="1:15" s="674" customFormat="1">
      <c r="A58" s="675" t="s">
        <v>2563</v>
      </c>
      <c r="B58" s="178" t="e">
        <f t="shared" ref="B58:B65" si="16">ROUND($C$48*C58*D58,0)</f>
        <v>#DIV/0!</v>
      </c>
      <c r="C58" s="117">
        <f t="shared" ref="C58:C65" si="17">IF($C$55="北京市系数",G58,H58)</f>
        <v>0.5</v>
      </c>
      <c r="D58" s="1289">
        <v>0.25</v>
      </c>
      <c r="E58" s="676">
        <v>0</v>
      </c>
      <c r="F58" s="673" t="e">
        <f t="shared" si="15"/>
        <v>#DIV/0!</v>
      </c>
      <c r="G58" s="970">
        <f>SUMIF(修正!$A$45:$A$56,项目基本情况!$F$9,修正!C45:C56)</f>
        <v>0.5</v>
      </c>
      <c r="H58" s="971"/>
      <c r="I58" s="1256"/>
      <c r="J58" s="1256"/>
      <c r="K58" s="1260"/>
      <c r="L58" s="1261"/>
      <c r="M58" s="1256"/>
      <c r="N58" s="1256"/>
      <c r="O58" s="969"/>
    </row>
    <row r="59" spans="1:15" s="674" customFormat="1">
      <c r="A59" s="675" t="s">
        <v>2564</v>
      </c>
      <c r="B59" s="178" t="e">
        <f t="shared" si="16"/>
        <v>#DIV/0!</v>
      </c>
      <c r="C59" s="117">
        <f t="shared" si="17"/>
        <v>0.36</v>
      </c>
      <c r="D59" s="1289">
        <v>0.25</v>
      </c>
      <c r="E59" s="676">
        <v>0</v>
      </c>
      <c r="F59" s="673" t="e">
        <f t="shared" si="15"/>
        <v>#DIV/0!</v>
      </c>
      <c r="G59" s="970">
        <f>SUMIF(修正!$A$45:$A$56,项目基本情况!$F$9,修正!D45:D56)</f>
        <v>0.36</v>
      </c>
      <c r="H59" s="971"/>
      <c r="I59" s="1254"/>
      <c r="J59" s="1259"/>
      <c r="K59" s="1255"/>
      <c r="L59" s="1255"/>
      <c r="M59" s="1254"/>
      <c r="N59" s="1254"/>
      <c r="O59" s="969"/>
    </row>
    <row r="60" spans="1:15" s="674" customFormat="1">
      <c r="A60" s="675" t="s">
        <v>2565</v>
      </c>
      <c r="B60" s="178" t="e">
        <f t="shared" si="16"/>
        <v>#DIV/0!</v>
      </c>
      <c r="C60" s="117">
        <f t="shared" si="17"/>
        <v>0.3</v>
      </c>
      <c r="D60" s="1289">
        <v>0.25</v>
      </c>
      <c r="E60" s="676">
        <v>0</v>
      </c>
      <c r="F60" s="673" t="e">
        <f t="shared" si="15"/>
        <v>#DIV/0!</v>
      </c>
      <c r="G60" s="970">
        <f>SUMIF(修正!$A$45:$A$56,项目基本情况!$F$9,修正!E45:E56)</f>
        <v>0.3</v>
      </c>
      <c r="H60" s="971"/>
      <c r="I60" s="1256"/>
      <c r="J60" s="1256"/>
      <c r="K60" s="1260"/>
      <c r="L60" s="1261"/>
      <c r="M60" s="1256"/>
      <c r="N60" s="1256"/>
      <c r="O60" s="969"/>
    </row>
    <row r="61" spans="1:15" s="674" customFormat="1">
      <c r="A61" s="675" t="s">
        <v>2566</v>
      </c>
      <c r="B61" s="178" t="e">
        <f t="shared" si="16"/>
        <v>#DIV/0!</v>
      </c>
      <c r="C61" s="117">
        <f t="shared" si="17"/>
        <v>0.3</v>
      </c>
      <c r="D61" s="1289">
        <v>0.25</v>
      </c>
      <c r="E61" s="676">
        <v>0</v>
      </c>
      <c r="F61" s="673" t="e">
        <f t="shared" si="15"/>
        <v>#DIV/0!</v>
      </c>
      <c r="G61" s="970">
        <f>SUMIF(修正!A45:A56,项目基本情况!F9,修正!F45:F56)</f>
        <v>0.3</v>
      </c>
      <c r="H61" s="971"/>
      <c r="I61" s="1254"/>
      <c r="J61" s="1259"/>
      <c r="K61" s="1255"/>
      <c r="L61" s="1255"/>
      <c r="M61" s="1254"/>
      <c r="N61" s="1254"/>
      <c r="O61" s="969"/>
    </row>
    <row r="62" spans="1:15" s="674" customFormat="1">
      <c r="A62" s="675" t="s">
        <v>2567</v>
      </c>
      <c r="B62" s="178" t="e">
        <f t="shared" si="16"/>
        <v>#DIV/0!</v>
      </c>
      <c r="C62" s="117">
        <f t="shared" si="17"/>
        <v>0.3</v>
      </c>
      <c r="D62" s="1289">
        <v>0.25</v>
      </c>
      <c r="E62" s="676">
        <v>0</v>
      </c>
      <c r="F62" s="673" t="e">
        <f t="shared" si="15"/>
        <v>#DIV/0!</v>
      </c>
      <c r="G62" s="970">
        <f>SUMIF(修正!A45:A56,项目基本情况!F9,修正!G45:G56)</f>
        <v>0.3</v>
      </c>
      <c r="H62" s="971"/>
      <c r="I62" s="1256"/>
      <c r="J62" s="1256"/>
      <c r="K62" s="1260"/>
      <c r="L62" s="1261"/>
      <c r="M62" s="1256"/>
      <c r="N62" s="1256"/>
      <c r="O62" s="969"/>
    </row>
    <row r="63" spans="1:15" s="674" customFormat="1">
      <c r="A63" s="675" t="s">
        <v>2568</v>
      </c>
      <c r="B63" s="178" t="e">
        <f t="shared" si="16"/>
        <v>#DIV/0!</v>
      </c>
      <c r="C63" s="117">
        <f>IF($C$55="北京市系数",G63,H63)</f>
        <v>0.25</v>
      </c>
      <c r="D63" s="1289">
        <v>0.25</v>
      </c>
      <c r="E63" s="676">
        <v>0</v>
      </c>
      <c r="F63" s="673" t="e">
        <f t="shared" si="15"/>
        <v>#DIV/0!</v>
      </c>
      <c r="G63" s="970">
        <f>SUMIF(修正!A45:A56,项目基本情况!F9,修正!H45:H56)</f>
        <v>0.25</v>
      </c>
      <c r="H63" s="971"/>
      <c r="I63" s="1254"/>
      <c r="J63" s="1259"/>
      <c r="K63" s="1255"/>
      <c r="L63" s="1255"/>
      <c r="M63" s="1254"/>
      <c r="N63" s="1254"/>
      <c r="O63" s="969"/>
    </row>
    <row r="64" spans="1:15" s="674" customFormat="1">
      <c r="A64" s="675" t="s">
        <v>2569</v>
      </c>
      <c r="B64" s="178" t="e">
        <f t="shared" si="16"/>
        <v>#DIV/0!</v>
      </c>
      <c r="C64" s="117">
        <f t="shared" si="17"/>
        <v>0.25</v>
      </c>
      <c r="D64" s="1289">
        <v>0.25</v>
      </c>
      <c r="E64" s="676">
        <v>0</v>
      </c>
      <c r="F64" s="673" t="e">
        <f t="shared" si="15"/>
        <v>#DIV/0!</v>
      </c>
      <c r="G64" s="970">
        <f>G63</f>
        <v>0.25</v>
      </c>
      <c r="H64" s="971"/>
      <c r="I64" s="1256"/>
      <c r="J64" s="1256"/>
      <c r="K64" s="1260"/>
      <c r="L64" s="1261"/>
      <c r="M64" s="1256"/>
      <c r="N64" s="1256"/>
      <c r="O64" s="969"/>
    </row>
    <row r="65" spans="1:17" s="674" customFormat="1">
      <c r="A65" s="675" t="s">
        <v>2570</v>
      </c>
      <c r="B65" s="178" t="e">
        <f t="shared" si="16"/>
        <v>#DIV/0!</v>
      </c>
      <c r="C65" s="117">
        <f t="shared" si="17"/>
        <v>0.25</v>
      </c>
      <c r="D65" s="1289">
        <v>0.25</v>
      </c>
      <c r="E65" s="676">
        <v>0</v>
      </c>
      <c r="F65" s="673" t="e">
        <f t="shared" si="15"/>
        <v>#DIV/0!</v>
      </c>
      <c r="G65" s="970">
        <f>G63</f>
        <v>0.25</v>
      </c>
      <c r="H65" s="971"/>
      <c r="I65" s="1254"/>
      <c r="J65" s="1259"/>
      <c r="K65" s="1255"/>
      <c r="L65" s="1255"/>
      <c r="M65" s="1254"/>
      <c r="N65" s="1254"/>
      <c r="O65" s="969"/>
    </row>
    <row r="66" spans="1:17" s="674" customFormat="1" ht="13.5" thickBot="1">
      <c r="A66" s="678" t="s">
        <v>2571</v>
      </c>
      <c r="B66" s="679" t="s">
        <v>39</v>
      </c>
      <c r="C66" s="679" t="s">
        <v>40</v>
      </c>
      <c r="D66" s="679" t="s">
        <v>36</v>
      </c>
      <c r="E66" s="679">
        <f>SUM(E56:E65)</f>
        <v>120</v>
      </c>
      <c r="F66" s="680" t="e">
        <f>SUM(F56:F65)</f>
        <v>#DIV/0!</v>
      </c>
      <c r="G66" s="767"/>
      <c r="H66" s="767"/>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2018-12-1</v>
      </c>
      <c r="D68" s="1667">
        <f>EDATE(C68,-3)</f>
        <v>43344</v>
      </c>
      <c r="E68" s="1667">
        <f t="shared" ref="E68:O68" si="18">EDATE(D68,-3)</f>
        <v>43252</v>
      </c>
      <c r="F68" s="1667">
        <f t="shared" si="18"/>
        <v>43160</v>
      </c>
      <c r="G68" s="1667">
        <f t="shared" si="18"/>
        <v>43070</v>
      </c>
      <c r="H68" s="1667">
        <f t="shared" si="18"/>
        <v>42979</v>
      </c>
      <c r="I68" s="1667">
        <f t="shared" si="18"/>
        <v>42887</v>
      </c>
      <c r="J68" s="1667">
        <f t="shared" si="18"/>
        <v>42795</v>
      </c>
      <c r="K68" s="1667">
        <f t="shared" si="18"/>
        <v>42705</v>
      </c>
      <c r="L68" s="1667">
        <f t="shared" si="18"/>
        <v>42614</v>
      </c>
      <c r="M68" s="1667">
        <f t="shared" si="18"/>
        <v>42522</v>
      </c>
      <c r="N68" s="1667">
        <f t="shared" si="18"/>
        <v>42430</v>
      </c>
      <c r="O68" s="1667">
        <f t="shared" si="18"/>
        <v>42339</v>
      </c>
    </row>
    <row r="69" spans="1:17" ht="21.75" thickBot="1">
      <c r="A69" s="741" t="s">
        <v>2468</v>
      </c>
      <c r="B69" s="737"/>
      <c r="C69" s="742"/>
      <c r="D69" s="742"/>
      <c r="E69" s="742"/>
      <c r="F69" s="743"/>
      <c r="G69" s="743"/>
      <c r="H69" s="742"/>
      <c r="I69" s="1270"/>
      <c r="J69" s="1270"/>
      <c r="K69" s="1268"/>
      <c r="L69" s="1269"/>
      <c r="M69" s="1270"/>
      <c r="N69" s="1270"/>
      <c r="O69" s="1270"/>
      <c r="P69" s="484"/>
      <c r="Q69" s="485"/>
    </row>
    <row r="70" spans="1:17" s="1671" customFormat="1" ht="15">
      <c r="A70" s="2493" t="s">
        <v>2572</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4" t="s">
        <v>2573</v>
      </c>
      <c r="B71" s="284" t="str">
        <f>"北京市平均增长率"&amp;TEXT(SUMIF(基准地价修正!N21:N25,A71,基准地价修正!P21:P25),"0.00%")</f>
        <v>北京市平均增长率1.58%</v>
      </c>
      <c r="C71" s="587">
        <v>100</v>
      </c>
      <c r="D71" s="579"/>
      <c r="E71" s="579"/>
      <c r="F71" s="579"/>
      <c r="G71" s="579"/>
      <c r="H71" s="579"/>
      <c r="I71" s="579"/>
      <c r="J71" s="579"/>
      <c r="K71" s="579"/>
      <c r="L71" s="579"/>
      <c r="M71" s="1666"/>
      <c r="N71" s="579"/>
      <c r="O71" s="1672"/>
      <c r="P71" s="485"/>
    </row>
    <row r="72" spans="1:17" s="35" customFormat="1" ht="15.75" thickBot="1">
      <c r="A72" s="496" t="s">
        <v>2388</v>
      </c>
      <c r="B72" s="497"/>
      <c r="C72" s="498"/>
      <c r="D72" s="499"/>
      <c r="E72" s="499"/>
      <c r="F72" s="499"/>
      <c r="G72" s="499"/>
      <c r="H72" s="499"/>
      <c r="I72" s="499"/>
      <c r="J72" s="499"/>
      <c r="K72" s="499"/>
      <c r="L72" s="499"/>
      <c r="M72" s="500"/>
      <c r="N72" s="499"/>
      <c r="O72" s="1673"/>
      <c r="P72" s="485"/>
      <c r="Q72" s="485"/>
    </row>
    <row r="73" spans="1:17" s="35" customFormat="1" ht="15">
      <c r="A73" s="502" t="s">
        <v>2352</v>
      </c>
      <c r="B73" s="491"/>
      <c r="C73" s="503" t="s">
        <v>2353</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2391</v>
      </c>
      <c r="B75" s="509" t="s">
        <v>2356</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2359</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2574</v>
      </c>
      <c r="C90" s="562" t="s">
        <v>2400</v>
      </c>
      <c r="D90" s="562" t="s">
        <v>2401</v>
      </c>
      <c r="E90" s="562" t="s">
        <v>2402</v>
      </c>
      <c r="F90" s="562" t="s">
        <v>2403</v>
      </c>
      <c r="G90" s="562" t="s">
        <v>2404</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2575</v>
      </c>
      <c r="C96" s="562" t="s">
        <v>2400</v>
      </c>
      <c r="D96" s="562" t="s">
        <v>2401</v>
      </c>
      <c r="E96" s="562" t="s">
        <v>2402</v>
      </c>
      <c r="F96" s="562" t="s">
        <v>2403</v>
      </c>
      <c r="G96" s="562" t="s">
        <v>2404</v>
      </c>
      <c r="H96" s="562"/>
      <c r="I96" s="562"/>
      <c r="J96" s="562"/>
      <c r="K96" s="562"/>
      <c r="L96" s="681"/>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2576</v>
      </c>
      <c r="C98" s="557" t="s">
        <v>2400</v>
      </c>
      <c r="D98" s="557" t="s">
        <v>2401</v>
      </c>
      <c r="E98" s="557" t="s">
        <v>2402</v>
      </c>
      <c r="F98" s="557" t="s">
        <v>2403</v>
      </c>
      <c r="G98" s="557" t="s">
        <v>2404</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2"/>
      <c r="I101" s="642"/>
      <c r="J101" s="642"/>
      <c r="K101" s="642"/>
      <c r="L101" s="642"/>
      <c r="M101" s="430"/>
      <c r="N101" s="1265"/>
      <c r="O101" s="1265"/>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2480</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2546</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7"/>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59"/>
      <c r="E115" s="659"/>
      <c r="F115" s="659"/>
      <c r="G115" s="659"/>
      <c r="H115" s="659"/>
      <c r="I115" s="659"/>
      <c r="J115" s="659"/>
      <c r="K115" s="659"/>
      <c r="L115" s="659"/>
      <c r="M115" s="682"/>
      <c r="N115" s="1265"/>
      <c r="O115" s="1265"/>
      <c r="P115" s="542"/>
      <c r="Q115" s="543"/>
    </row>
    <row r="116" spans="1:17">
      <c r="A116" s="508" t="s">
        <v>2366</v>
      </c>
      <c r="B116" s="509" t="s">
        <v>2581</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2582</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2583</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2584</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2585</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3"/>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3"/>
      <c r="E1" s="733"/>
      <c r="F1" s="732" t="s">
        <v>2335</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2006</v>
      </c>
      <c r="B2" s="653" t="e">
        <f>F61</f>
        <v>#DIV/0!</v>
      </c>
      <c r="C2" s="731" t="s">
        <v>2540</v>
      </c>
      <c r="D2" s="979"/>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2007</v>
      </c>
      <c r="B3" s="593" t="e">
        <f>ROUND(B2/'数据-取费表'!B5,0)</f>
        <v>#DIV/0!</v>
      </c>
      <c r="C3" s="731" t="s">
        <v>2541</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2337</v>
      </c>
      <c r="B4" s="381"/>
      <c r="C4" s="3009" t="s">
        <v>2338</v>
      </c>
      <c r="D4" s="3010"/>
      <c r="E4" s="3011" t="s">
        <v>2339</v>
      </c>
      <c r="F4" s="3012"/>
      <c r="G4" s="3009" t="s">
        <v>2340</v>
      </c>
      <c r="H4" s="3010"/>
      <c r="I4" s="3009" t="s">
        <v>2341</v>
      </c>
      <c r="J4" s="3010"/>
      <c r="K4" s="594" t="s">
        <v>2342</v>
      </c>
      <c r="L4" s="1240"/>
      <c r="M4" s="1241"/>
      <c r="N4" s="1241"/>
      <c r="O4" s="1241"/>
      <c r="P4" s="3013" t="s">
        <v>2343</v>
      </c>
      <c r="Q4" s="3014"/>
      <c r="R4" s="3019" t="s">
        <v>2339</v>
      </c>
      <c r="S4" s="3020"/>
      <c r="T4" s="3019" t="s">
        <v>2340</v>
      </c>
      <c r="U4" s="3020"/>
      <c r="V4" s="3025" t="s">
        <v>2341</v>
      </c>
      <c r="W4" s="3025"/>
      <c r="X4" s="1896"/>
      <c r="Y4" s="3019" t="s">
        <v>2343</v>
      </c>
      <c r="Z4" s="3020"/>
      <c r="AA4" s="3006" t="s">
        <v>2339</v>
      </c>
      <c r="AB4" s="3007" t="s">
        <v>2340</v>
      </c>
      <c r="AC4" s="3006" t="s">
        <v>2341</v>
      </c>
    </row>
    <row r="5" spans="1:29" ht="15">
      <c r="A5" s="383"/>
      <c r="B5" s="384"/>
      <c r="C5" s="3002" t="s">
        <v>2344</v>
      </c>
      <c r="D5" s="3003"/>
      <c r="E5" s="3026" t="s">
        <v>2345</v>
      </c>
      <c r="F5" s="3027"/>
      <c r="G5" s="3002" t="s">
        <v>2346</v>
      </c>
      <c r="H5" s="3003"/>
      <c r="I5" s="3002" t="s">
        <v>2347</v>
      </c>
      <c r="J5" s="3003"/>
      <c r="K5" s="594"/>
      <c r="L5" s="1240"/>
      <c r="M5" s="1241"/>
      <c r="N5" s="1241"/>
      <c r="O5" s="1241"/>
      <c r="P5" s="3015"/>
      <c r="Q5" s="3016"/>
      <c r="R5" s="3021"/>
      <c r="S5" s="3022"/>
      <c r="T5" s="3021"/>
      <c r="U5" s="3022"/>
      <c r="V5" s="3025"/>
      <c r="W5" s="3025"/>
      <c r="X5" s="1896"/>
      <c r="Y5" s="3021"/>
      <c r="Z5" s="3022"/>
      <c r="AA5" s="3007"/>
      <c r="AB5" s="3007"/>
      <c r="AC5" s="3007"/>
    </row>
    <row r="6" spans="1:29" ht="15.75" thickBot="1">
      <c r="A6" s="385"/>
      <c r="B6" s="386"/>
      <c r="C6" s="2999" t="s">
        <v>2348</v>
      </c>
      <c r="D6" s="3000"/>
      <c r="E6" s="2997" t="s">
        <v>2348</v>
      </c>
      <c r="F6" s="2998"/>
      <c r="G6" s="2999" t="s">
        <v>2348</v>
      </c>
      <c r="H6" s="3000"/>
      <c r="I6" s="2999" t="s">
        <v>2348</v>
      </c>
      <c r="J6" s="3000"/>
      <c r="K6" s="594" t="s">
        <v>2349</v>
      </c>
      <c r="L6" s="1240"/>
      <c r="M6" s="1241"/>
      <c r="N6" s="1241"/>
      <c r="O6" s="1241"/>
      <c r="P6" s="3017"/>
      <c r="Q6" s="3018"/>
      <c r="R6" s="3021"/>
      <c r="S6" s="3022"/>
      <c r="T6" s="3023"/>
      <c r="U6" s="3024"/>
      <c r="V6" s="3025"/>
      <c r="W6" s="3025"/>
      <c r="X6" s="1896"/>
      <c r="Y6" s="3023"/>
      <c r="Z6" s="3024"/>
      <c r="AA6" s="3008"/>
      <c r="AB6" s="3008"/>
      <c r="AC6" s="3008"/>
    </row>
    <row r="7" spans="1:29" s="35" customFormat="1" ht="15.75" thickBot="1">
      <c r="A7" s="387" t="s">
        <v>2350</v>
      </c>
      <c r="B7" s="388"/>
      <c r="C7" s="389">
        <f>'数据-取费表'!B2</f>
        <v>43465</v>
      </c>
      <c r="D7" s="390">
        <v>100</v>
      </c>
      <c r="E7" s="391"/>
      <c r="F7" s="392">
        <f>SUMIF(65:65,YEAR(E7)&amp;"-"&amp;INT((MONTH(E7)+2)/3),66:66)</f>
        <v>0</v>
      </c>
      <c r="G7" s="2464"/>
      <c r="H7" s="390">
        <f>SUMIF(65:65,YEAR(G7)&amp;"-"&amp;INT((MONTH(G7)+2)/3),66:66)</f>
        <v>0</v>
      </c>
      <c r="I7" s="2464"/>
      <c r="J7" s="390">
        <f>SUMIF(65:65,YEAR(I7)&amp;"-"&amp;INT((MONTH(I7)+2)/3),66:66)</f>
        <v>0</v>
      </c>
      <c r="K7" s="595"/>
      <c r="L7" s="1242"/>
      <c r="M7" s="1243"/>
      <c r="N7" s="1243"/>
      <c r="O7" s="1243"/>
      <c r="P7" s="3004" t="s">
        <v>2351</v>
      </c>
      <c r="Q7" s="3028"/>
      <c r="R7" s="748" t="s">
        <v>25</v>
      </c>
      <c r="S7" s="749">
        <f t="shared" ref="S7:S15" si="0">F7</f>
        <v>0</v>
      </c>
      <c r="T7" s="748" t="s">
        <v>25</v>
      </c>
      <c r="U7" s="749">
        <f t="shared" ref="U7:U15" si="1">H7</f>
        <v>0</v>
      </c>
      <c r="V7" s="748" t="s">
        <v>25</v>
      </c>
      <c r="W7" s="749">
        <f t="shared" ref="W7:W15" si="2">J7</f>
        <v>0</v>
      </c>
      <c r="X7" s="750"/>
      <c r="Y7" s="3004" t="s">
        <v>2351</v>
      </c>
      <c r="Z7" s="3005"/>
      <c r="AA7" s="751" t="e">
        <f>D7/F7</f>
        <v>#DIV/0!</v>
      </c>
      <c r="AB7" s="751" t="e">
        <f>D7/H7</f>
        <v>#DIV/0!</v>
      </c>
      <c r="AC7" s="751"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04" t="s">
        <v>2354</v>
      </c>
      <c r="Q8" s="3005"/>
      <c r="R8" s="748" t="s">
        <v>25</v>
      </c>
      <c r="S8" s="749">
        <f t="shared" si="0"/>
        <v>0</v>
      </c>
      <c r="T8" s="748" t="s">
        <v>25</v>
      </c>
      <c r="U8" s="749">
        <f t="shared" si="1"/>
        <v>0</v>
      </c>
      <c r="V8" s="748" t="s">
        <v>25</v>
      </c>
      <c r="W8" s="749">
        <f t="shared" si="2"/>
        <v>0</v>
      </c>
      <c r="X8" s="750"/>
      <c r="Y8" s="3004" t="s">
        <v>2354</v>
      </c>
      <c r="Z8" s="3005"/>
      <c r="AA8" s="751" t="e">
        <f t="shared" ref="AA8:AA40" si="3">D8/F8</f>
        <v>#DIV/0!</v>
      </c>
      <c r="AB8" s="751" t="e">
        <f t="shared" ref="AB8:AB40" si="4">D8/H8</f>
        <v>#DIV/0!</v>
      </c>
      <c r="AC8" s="751" t="e">
        <f t="shared" ref="AC8:AC40" si="5">D8/J8</f>
        <v>#DIV/0!</v>
      </c>
    </row>
    <row r="9" spans="1:29" s="35" customFormat="1">
      <c r="A9" s="395" t="s">
        <v>2355</v>
      </c>
      <c r="B9" s="28" t="s">
        <v>2356</v>
      </c>
      <c r="C9" s="2481" t="s">
        <v>2587</v>
      </c>
      <c r="D9" s="51">
        <v>100</v>
      </c>
      <c r="E9" s="2481"/>
      <c r="F9" s="51">
        <f>SUMIF(70:70,E9,71:71)-SUMIF(70:70,C9,71:71)+100</f>
        <v>100</v>
      </c>
      <c r="G9" s="2481"/>
      <c r="H9" s="51">
        <f>SUMIF(70:70,G9,71:71)-SUMIF(70:70,C9,71:71)+100</f>
        <v>100</v>
      </c>
      <c r="I9" s="2481"/>
      <c r="J9" s="51">
        <f>SUMIF(70:70,I9,71:71)-SUMIF(70:70,C9,71:71)+100</f>
        <v>100</v>
      </c>
      <c r="K9" s="595"/>
      <c r="L9" s="1242"/>
      <c r="M9" s="1243"/>
      <c r="N9" s="1243"/>
      <c r="O9" s="1244"/>
      <c r="P9" s="3001" t="s">
        <v>2357</v>
      </c>
      <c r="Q9" s="1883" t="str">
        <f t="shared" ref="Q9:Q15" si="6">B9</f>
        <v>用途</v>
      </c>
      <c r="R9" s="748" t="s">
        <v>25</v>
      </c>
      <c r="S9" s="749">
        <f t="shared" si="0"/>
        <v>100</v>
      </c>
      <c r="T9" s="748" t="s">
        <v>25</v>
      </c>
      <c r="U9" s="749">
        <f t="shared" si="1"/>
        <v>100</v>
      </c>
      <c r="V9" s="748" t="s">
        <v>25</v>
      </c>
      <c r="W9" s="749">
        <f t="shared" si="2"/>
        <v>100</v>
      </c>
      <c r="X9" s="750"/>
      <c r="Y9" s="2877" t="s">
        <v>2358</v>
      </c>
      <c r="Z9" s="23" t="str">
        <f t="shared" ref="Z9:Z15" si="7">Q9</f>
        <v>用途</v>
      </c>
      <c r="AA9" s="751">
        <f t="shared" si="3"/>
        <v>1</v>
      </c>
      <c r="AB9" s="751">
        <f t="shared" si="4"/>
        <v>1</v>
      </c>
      <c r="AC9" s="751">
        <f t="shared" si="5"/>
        <v>1</v>
      </c>
    </row>
    <row r="10" spans="1:29" s="407" customFormat="1" ht="27">
      <c r="A10" s="401"/>
      <c r="B10" s="402" t="s">
        <v>2359</v>
      </c>
      <c r="C10" s="412"/>
      <c r="D10" s="52">
        <v>100</v>
      </c>
      <c r="E10" s="412"/>
      <c r="F10" s="52">
        <f>ROUND(100/'数据-取费表'!B14,0)</f>
        <v>116</v>
      </c>
      <c r="G10" s="412"/>
      <c r="H10" s="52">
        <f>ROUND(100/'数据-取费表'!B14,0)</f>
        <v>116</v>
      </c>
      <c r="I10" s="412"/>
      <c r="J10" s="52">
        <f>ROUND(100/'数据-取费表'!B14,0)</f>
        <v>116</v>
      </c>
      <c r="K10" s="654"/>
      <c r="L10" s="1245"/>
      <c r="M10" s="1246"/>
      <c r="N10" s="1246"/>
      <c r="O10" s="1247"/>
      <c r="P10" s="3001"/>
      <c r="Q10" s="1883" t="str">
        <f t="shared" si="6"/>
        <v>土地使用年限（年）</v>
      </c>
      <c r="R10" s="748" t="s">
        <v>25</v>
      </c>
      <c r="S10" s="749">
        <f t="shared" si="0"/>
        <v>116</v>
      </c>
      <c r="T10" s="748" t="s">
        <v>25</v>
      </c>
      <c r="U10" s="749">
        <f t="shared" si="1"/>
        <v>116</v>
      </c>
      <c r="V10" s="748" t="s">
        <v>25</v>
      </c>
      <c r="W10" s="749">
        <f t="shared" si="2"/>
        <v>116</v>
      </c>
      <c r="X10" s="750"/>
      <c r="Y10" s="2877"/>
      <c r="Z10" s="23" t="str">
        <f t="shared" si="7"/>
        <v>土地使用年限（年）</v>
      </c>
      <c r="AA10" s="751">
        <f t="shared" si="3"/>
        <v>0.86206896551724133</v>
      </c>
      <c r="AB10" s="751">
        <f t="shared" si="4"/>
        <v>0.86206896551724133</v>
      </c>
      <c r="AC10" s="751">
        <f t="shared" si="5"/>
        <v>0.86206896551724133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5"/>
      <c r="L11" s="1248"/>
      <c r="M11" s="1241"/>
      <c r="N11" s="1241"/>
      <c r="O11" s="1249"/>
      <c r="P11" s="3001"/>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7">
        <v>111</v>
      </c>
      <c r="C12" s="412">
        <v>111</v>
      </c>
      <c r="D12" s="413">
        <v>100</v>
      </c>
      <c r="E12" s="532"/>
      <c r="F12" s="52">
        <f>SUMIF(77:77,E12,78:78)-SUMIF(77:77,C12,78:78)+100</f>
        <v>100</v>
      </c>
      <c r="G12" s="656"/>
      <c r="H12" s="52">
        <f>SUMIF(77:77,G12,78:78)-SUMIF(77:77,C12,78:78)+100</f>
        <v>100</v>
      </c>
      <c r="I12" s="532"/>
      <c r="J12" s="52">
        <f>SUMIF(77:77,I12,78:78)-SUMIF(77:77,C12,78:78)+100</f>
        <v>100</v>
      </c>
      <c r="K12" s="654"/>
      <c r="L12" s="1242"/>
      <c r="M12" s="1243"/>
      <c r="N12" s="1243"/>
      <c r="O12" s="1244"/>
      <c r="P12" s="3001"/>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7">
        <v>111</v>
      </c>
      <c r="C13" s="414">
        <v>111</v>
      </c>
      <c r="D13" s="415">
        <v>100</v>
      </c>
      <c r="E13" s="532"/>
      <c r="F13" s="52">
        <f>SUMIF(79:79,E13,80:80)-SUMIF(79:79,C13,80:80)+100</f>
        <v>100</v>
      </c>
      <c r="G13" s="656"/>
      <c r="H13" s="415">
        <f>SUMIF(79:79,G13,80:80)-SUMIF(79:79,C13,80:80)+100</f>
        <v>100</v>
      </c>
      <c r="I13" s="532"/>
      <c r="J13" s="415">
        <f>SUMIF(79:79,I13,80:80)-SUMIF(79:79,C13,80:80)+100</f>
        <v>100</v>
      </c>
      <c r="K13" s="654"/>
      <c r="L13" s="1250"/>
      <c r="M13" s="1241"/>
      <c r="N13" s="1241"/>
      <c r="O13" s="1249"/>
      <c r="P13" s="3001"/>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9">
        <v>111</v>
      </c>
      <c r="C14" s="2400">
        <v>111</v>
      </c>
      <c r="D14" s="417">
        <v>100</v>
      </c>
      <c r="E14" s="532"/>
      <c r="F14" s="417">
        <f>SUMIF(81:81,E14,82:82)-SUMIF(81:81,C14,82:82)+100</f>
        <v>100</v>
      </c>
      <c r="G14" s="656"/>
      <c r="H14" s="417">
        <f>SUMIF(81:81,G14,82:82)-SUMIF(81:81,C14,82:82)+100</f>
        <v>100</v>
      </c>
      <c r="I14" s="532"/>
      <c r="J14" s="417">
        <f>SUMIF(81:81,I14,82:82)-SUMIF(81:81,C14,82:82)+100</f>
        <v>100</v>
      </c>
      <c r="K14" s="654"/>
      <c r="L14" s="1250"/>
      <c r="M14" s="1241"/>
      <c r="N14" s="1241"/>
      <c r="O14" s="1249"/>
      <c r="P14" s="3001"/>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57">
      <c r="A15" s="419" t="s">
        <v>2361</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5"/>
      <c r="L15" s="1250"/>
      <c r="M15" s="1241"/>
      <c r="N15" s="1241"/>
      <c r="O15" s="1249"/>
      <c r="P15" s="3029" t="s">
        <v>2362</v>
      </c>
      <c r="Q15" s="1895" t="str">
        <f t="shared" si="6"/>
        <v>产业集聚程度</v>
      </c>
      <c r="R15" s="752" t="s">
        <v>25</v>
      </c>
      <c r="S15" s="753">
        <f t="shared" si="0"/>
        <v>100</v>
      </c>
      <c r="T15" s="752" t="s">
        <v>25</v>
      </c>
      <c r="U15" s="753">
        <f t="shared" si="1"/>
        <v>100</v>
      </c>
      <c r="V15" s="752" t="s">
        <v>25</v>
      </c>
      <c r="W15" s="753">
        <f t="shared" si="2"/>
        <v>100</v>
      </c>
      <c r="X15" s="1896"/>
      <c r="Y15" s="3029" t="s">
        <v>2362</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4"/>
      <c r="L16" s="1250"/>
      <c r="M16" s="1241"/>
      <c r="N16" s="1241"/>
      <c r="O16" s="1249"/>
      <c r="P16" s="3030"/>
      <c r="Q16" s="1895"/>
      <c r="R16" s="752"/>
      <c r="S16" s="753"/>
      <c r="T16" s="752"/>
      <c r="U16" s="753"/>
      <c r="V16" s="752"/>
      <c r="W16" s="753"/>
      <c r="X16" s="1896"/>
      <c r="Y16" s="3030"/>
      <c r="Z16" s="1898"/>
      <c r="AA16" s="1899">
        <v>1</v>
      </c>
      <c r="AB16" s="1899">
        <v>1</v>
      </c>
      <c r="AC16" s="1899">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5"/>
      <c r="L17" s="1250"/>
      <c r="M17" s="1241"/>
      <c r="N17" s="1241"/>
      <c r="O17" s="1249"/>
      <c r="P17" s="3030"/>
      <c r="Q17" s="1895" t="str">
        <f>B17</f>
        <v>交通便捷度</v>
      </c>
      <c r="R17" s="752" t="s">
        <v>25</v>
      </c>
      <c r="S17" s="753">
        <f>F17</f>
        <v>100</v>
      </c>
      <c r="T17" s="752" t="s">
        <v>25</v>
      </c>
      <c r="U17" s="753">
        <f>H17</f>
        <v>100</v>
      </c>
      <c r="V17" s="752" t="s">
        <v>25</v>
      </c>
      <c r="W17" s="753">
        <f>J17</f>
        <v>100</v>
      </c>
      <c r="X17" s="1896"/>
      <c r="Y17" s="3030"/>
      <c r="Z17" s="1898" t="str">
        <f>Q17</f>
        <v>交通便捷度</v>
      </c>
      <c r="AA17" s="1899">
        <f t="shared" si="3"/>
        <v>1</v>
      </c>
      <c r="AB17" s="1899">
        <f t="shared" si="4"/>
        <v>1</v>
      </c>
      <c r="AC17" s="1899">
        <f t="shared" si="5"/>
        <v>1</v>
      </c>
    </row>
    <row r="18" spans="1:29" ht="15">
      <c r="A18" s="408"/>
      <c r="B18" s="616"/>
      <c r="C18" s="426"/>
      <c r="D18" s="427"/>
      <c r="E18" s="428"/>
      <c r="F18" s="427"/>
      <c r="G18" s="428"/>
      <c r="H18" s="427"/>
      <c r="I18" s="2402"/>
      <c r="J18" s="427"/>
      <c r="K18" s="654"/>
      <c r="L18" s="1250"/>
      <c r="M18" s="1241"/>
      <c r="N18" s="1241"/>
      <c r="O18" s="1249"/>
      <c r="P18" s="3030"/>
      <c r="Q18" s="1895"/>
      <c r="R18" s="752"/>
      <c r="S18" s="753"/>
      <c r="T18" s="752"/>
      <c r="U18" s="753"/>
      <c r="V18" s="752"/>
      <c r="W18" s="753"/>
      <c r="X18" s="1896"/>
      <c r="Y18" s="3030"/>
      <c r="Z18" s="1898"/>
      <c r="AA18" s="1899">
        <v>1</v>
      </c>
      <c r="AB18" s="1899">
        <v>1</v>
      </c>
      <c r="AC18" s="1899">
        <v>1</v>
      </c>
    </row>
    <row r="19" spans="1:29" ht="15">
      <c r="A19" s="408"/>
      <c r="B19" s="615" t="s">
        <v>2544</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5"/>
      <c r="L19" s="1250"/>
      <c r="M19" s="1241"/>
      <c r="N19" s="1241"/>
      <c r="O19" s="1249"/>
      <c r="P19" s="3030"/>
      <c r="Q19" s="1895" t="str">
        <f t="shared" ref="Q19:Q33" si="8">B19</f>
        <v>区域土地利用方向</v>
      </c>
      <c r="R19" s="752" t="s">
        <v>25</v>
      </c>
      <c r="S19" s="753">
        <f>F19</f>
        <v>100</v>
      </c>
      <c r="T19" s="752" t="s">
        <v>25</v>
      </c>
      <c r="U19" s="753">
        <f>H19</f>
        <v>100</v>
      </c>
      <c r="V19" s="752" t="s">
        <v>25</v>
      </c>
      <c r="W19" s="753">
        <f>J19</f>
        <v>100</v>
      </c>
      <c r="X19" s="1896"/>
      <c r="Y19" s="3030"/>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30"/>
      <c r="Q20" s="1895"/>
      <c r="R20" s="752"/>
      <c r="S20" s="753"/>
      <c r="T20" s="752"/>
      <c r="U20" s="753"/>
      <c r="V20" s="752"/>
      <c r="W20" s="753"/>
      <c r="X20" s="1896"/>
      <c r="Y20" s="3030"/>
      <c r="Z20" s="1898"/>
      <c r="AA20" s="1899"/>
      <c r="AB20" s="1899"/>
      <c r="AC20" s="1899"/>
    </row>
    <row r="21" spans="1:29" ht="71.25">
      <c r="A21" s="383"/>
      <c r="B21" s="615" t="s">
        <v>2589</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5"/>
      <c r="L21" s="1250"/>
      <c r="M21" s="1241"/>
      <c r="N21" s="1241"/>
      <c r="O21" s="1249"/>
      <c r="P21" s="3030"/>
      <c r="Q21" s="1895" t="str">
        <f t="shared" si="8"/>
        <v>环境状况</v>
      </c>
      <c r="R21" s="752" t="s">
        <v>25</v>
      </c>
      <c r="S21" s="753">
        <f>F21</f>
        <v>100</v>
      </c>
      <c r="T21" s="752" t="s">
        <v>25</v>
      </c>
      <c r="U21" s="753">
        <f>H21</f>
        <v>100</v>
      </c>
      <c r="V21" s="752" t="s">
        <v>25</v>
      </c>
      <c r="W21" s="753">
        <f>J21</f>
        <v>100</v>
      </c>
      <c r="X21" s="1896"/>
      <c r="Y21" s="3030"/>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4"/>
      <c r="L22" s="1250"/>
      <c r="M22" s="1241"/>
      <c r="N22" s="1241"/>
      <c r="O22" s="1249"/>
      <c r="P22" s="3030"/>
      <c r="Q22" s="1895"/>
      <c r="R22" s="752"/>
      <c r="S22" s="753"/>
      <c r="T22" s="752"/>
      <c r="U22" s="753"/>
      <c r="V22" s="752"/>
      <c r="W22" s="753"/>
      <c r="X22" s="1896"/>
      <c r="Y22" s="3030"/>
      <c r="Z22" s="1898"/>
      <c r="AA22" s="1899">
        <v>1</v>
      </c>
      <c r="AB22" s="1899">
        <v>1</v>
      </c>
      <c r="AC22" s="1899">
        <v>1</v>
      </c>
    </row>
    <row r="23" spans="1:29" s="35" customFormat="1" ht="42.75">
      <c r="A23" s="632"/>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5"/>
      <c r="L23" s="1242"/>
      <c r="M23" s="1243"/>
      <c r="N23" s="1243"/>
      <c r="O23" s="1244"/>
      <c r="P23" s="3030"/>
      <c r="Q23" s="1883" t="str">
        <f t="shared" si="8"/>
        <v>公共配套设施</v>
      </c>
      <c r="R23" s="748" t="s">
        <v>25</v>
      </c>
      <c r="S23" s="749">
        <f>F23</f>
        <v>100</v>
      </c>
      <c r="T23" s="748" t="s">
        <v>25</v>
      </c>
      <c r="U23" s="749">
        <f>H23</f>
        <v>100</v>
      </c>
      <c r="V23" s="748" t="s">
        <v>25</v>
      </c>
      <c r="W23" s="749">
        <f>J23</f>
        <v>100</v>
      </c>
      <c r="X23" s="750"/>
      <c r="Y23" s="3030"/>
      <c r="Z23" s="23" t="str">
        <f>Q23</f>
        <v>公共配套设施</v>
      </c>
      <c r="AA23" s="1899">
        <f>D23/F23</f>
        <v>1</v>
      </c>
      <c r="AB23" s="1899">
        <f>D23/H23</f>
        <v>1</v>
      </c>
      <c r="AC23" s="1899">
        <f>D23/J23</f>
        <v>1</v>
      </c>
    </row>
    <row r="24" spans="1:29" s="35" customFormat="1" ht="15">
      <c r="A24" s="632"/>
      <c r="B24" s="616"/>
      <c r="C24" s="2495"/>
      <c r="D24" s="427"/>
      <c r="E24" s="1469"/>
      <c r="F24" s="427"/>
      <c r="G24" s="1469"/>
      <c r="H24" s="427"/>
      <c r="I24" s="426"/>
      <c r="J24" s="427"/>
      <c r="K24" s="654"/>
      <c r="L24" s="1242"/>
      <c r="M24" s="1243"/>
      <c r="N24" s="1243"/>
      <c r="O24" s="1244"/>
      <c r="P24" s="3030"/>
      <c r="Q24" s="1883"/>
      <c r="R24" s="748"/>
      <c r="S24" s="749"/>
      <c r="T24" s="748"/>
      <c r="U24" s="749"/>
      <c r="V24" s="748"/>
      <c r="W24" s="749"/>
      <c r="X24" s="750"/>
      <c r="Y24" s="3030"/>
      <c r="Z24" s="23"/>
      <c r="AA24" s="751">
        <v>1</v>
      </c>
      <c r="AB24" s="751">
        <v>1</v>
      </c>
      <c r="AC24" s="751">
        <v>1</v>
      </c>
    </row>
    <row r="25" spans="1:29" s="35" customFormat="1" ht="28.5">
      <c r="A25" s="632"/>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5"/>
      <c r="L25" s="1242"/>
      <c r="M25" s="1243"/>
      <c r="N25" s="1243"/>
      <c r="O25" s="1244"/>
      <c r="P25" s="3030"/>
      <c r="Q25" s="1883" t="str">
        <f t="shared" ref="Q25" si="9">B25</f>
        <v>基础设施水平</v>
      </c>
      <c r="R25" s="748" t="s">
        <v>25</v>
      </c>
      <c r="S25" s="749">
        <f>F25</f>
        <v>100</v>
      </c>
      <c r="T25" s="748" t="s">
        <v>25</v>
      </c>
      <c r="U25" s="749">
        <f>H25</f>
        <v>100</v>
      </c>
      <c r="V25" s="748" t="s">
        <v>25</v>
      </c>
      <c r="W25" s="749">
        <f>J25</f>
        <v>100</v>
      </c>
      <c r="X25" s="750"/>
      <c r="Y25" s="3030"/>
      <c r="Z25" s="23" t="str">
        <f>Q25</f>
        <v>基础设施水平</v>
      </c>
      <c r="AA25" s="1899">
        <f>D25/F25</f>
        <v>1</v>
      </c>
      <c r="AB25" s="1899">
        <f>D25/H25</f>
        <v>1</v>
      </c>
      <c r="AC25" s="1899">
        <f>D25/J25</f>
        <v>1</v>
      </c>
    </row>
    <row r="26" spans="1:29" s="35" customFormat="1" ht="15">
      <c r="A26" s="632"/>
      <c r="B26" s="616"/>
      <c r="C26" s="2495"/>
      <c r="D26" s="427"/>
      <c r="E26" s="2484"/>
      <c r="F26" s="427"/>
      <c r="G26" s="2484"/>
      <c r="H26" s="427"/>
      <c r="I26" s="2484"/>
      <c r="J26" s="427"/>
      <c r="K26" s="654"/>
      <c r="L26" s="1242"/>
      <c r="M26" s="1243"/>
      <c r="N26" s="1243"/>
      <c r="O26" s="1244"/>
      <c r="P26" s="3030"/>
      <c r="Q26" s="1883"/>
      <c r="R26" s="748"/>
      <c r="S26" s="749"/>
      <c r="T26" s="748"/>
      <c r="U26" s="749"/>
      <c r="V26" s="748"/>
      <c r="W26" s="749"/>
      <c r="X26" s="750"/>
      <c r="Y26" s="3030"/>
      <c r="Z26" s="23"/>
      <c r="AA26" s="751">
        <v>1</v>
      </c>
      <c r="AB26" s="751">
        <v>1</v>
      </c>
      <c r="AC26" s="751">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5"/>
      <c r="L27" s="1250"/>
      <c r="M27" s="1241"/>
      <c r="N27" s="1241"/>
      <c r="O27" s="1249"/>
      <c r="P27" s="3030"/>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30"/>
      <c r="Z27" s="1898" t="str">
        <f t="shared" ref="Z27:Z40" si="13">Q27</f>
        <v>临街状况</v>
      </c>
      <c r="AA27" s="1899">
        <f t="shared" si="3"/>
        <v>1</v>
      </c>
      <c r="AB27" s="1899">
        <f t="shared" si="4"/>
        <v>1</v>
      </c>
      <c r="AC27" s="1899">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5"/>
      <c r="L28" s="1250"/>
      <c r="M28" s="1241"/>
      <c r="N28" s="1241"/>
      <c r="O28" s="1249"/>
      <c r="P28" s="3030"/>
      <c r="Q28" s="1895" t="str">
        <f t="shared" si="8"/>
        <v>毗邻道路的类型与等级</v>
      </c>
      <c r="R28" s="752" t="s">
        <v>25</v>
      </c>
      <c r="S28" s="753">
        <f t="shared" si="10"/>
        <v>100</v>
      </c>
      <c r="T28" s="752" t="s">
        <v>25</v>
      </c>
      <c r="U28" s="753">
        <f t="shared" si="11"/>
        <v>100</v>
      </c>
      <c r="V28" s="752" t="s">
        <v>25</v>
      </c>
      <c r="W28" s="753">
        <f t="shared" si="12"/>
        <v>100</v>
      </c>
      <c r="X28" s="1896"/>
      <c r="Y28" s="3030"/>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30"/>
      <c r="Q29" s="1895"/>
      <c r="R29" s="752"/>
      <c r="S29" s="753"/>
      <c r="T29" s="752"/>
      <c r="U29" s="753"/>
      <c r="V29" s="752"/>
      <c r="W29" s="753"/>
      <c r="X29" s="1896"/>
      <c r="Y29" s="3030"/>
      <c r="Z29" s="1898"/>
      <c r="AA29" s="1899">
        <v>1</v>
      </c>
      <c r="AB29" s="1899">
        <v>1</v>
      </c>
      <c r="AC29" s="1899">
        <v>1</v>
      </c>
    </row>
    <row r="30" spans="1:29" ht="15">
      <c r="A30" s="408"/>
      <c r="B30" s="636" t="s">
        <v>2546</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30"/>
      <c r="Q30" s="1895" t="str">
        <f t="shared" si="8"/>
        <v>土地级别</v>
      </c>
      <c r="R30" s="752" t="s">
        <v>25</v>
      </c>
      <c r="S30" s="753">
        <f t="shared" si="10"/>
        <v>100</v>
      </c>
      <c r="T30" s="752" t="s">
        <v>25</v>
      </c>
      <c r="U30" s="753">
        <f t="shared" si="11"/>
        <v>100</v>
      </c>
      <c r="V30" s="752" t="s">
        <v>25</v>
      </c>
      <c r="W30" s="753">
        <f t="shared" si="12"/>
        <v>100</v>
      </c>
      <c r="X30" s="1896"/>
      <c r="Y30" s="3030"/>
      <c r="Z30" s="1898" t="str">
        <f t="shared" si="13"/>
        <v>土地级别</v>
      </c>
      <c r="AA30" s="1899">
        <f t="shared" si="3"/>
        <v>1</v>
      </c>
      <c r="AB30" s="1899">
        <f t="shared" si="4"/>
        <v>1</v>
      </c>
      <c r="AC30" s="1899">
        <f t="shared" si="5"/>
        <v>1</v>
      </c>
    </row>
    <row r="31" spans="1:29" ht="15">
      <c r="A31" s="383"/>
      <c r="B31" s="2470">
        <v>111</v>
      </c>
      <c r="C31" s="656"/>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30"/>
      <c r="Q31" s="1895">
        <f t="shared" si="8"/>
        <v>111</v>
      </c>
      <c r="R31" s="752" t="s">
        <v>25</v>
      </c>
      <c r="S31" s="753">
        <f t="shared" si="10"/>
        <v>100</v>
      </c>
      <c r="T31" s="752" t="s">
        <v>25</v>
      </c>
      <c r="U31" s="753">
        <f t="shared" si="11"/>
        <v>100</v>
      </c>
      <c r="V31" s="752" t="s">
        <v>25</v>
      </c>
      <c r="W31" s="753">
        <f t="shared" si="12"/>
        <v>100</v>
      </c>
      <c r="X31" s="1896"/>
      <c r="Y31" s="3030"/>
      <c r="Z31" s="1898">
        <f t="shared" si="13"/>
        <v>111</v>
      </c>
      <c r="AA31" s="1899">
        <f t="shared" si="3"/>
        <v>1</v>
      </c>
      <c r="AB31" s="1899">
        <f t="shared" si="4"/>
        <v>1</v>
      </c>
      <c r="AC31" s="1899">
        <f t="shared" si="5"/>
        <v>1</v>
      </c>
    </row>
    <row r="32" spans="1:29" ht="15">
      <c r="A32" s="657"/>
      <c r="B32" s="2497">
        <v>111</v>
      </c>
      <c r="C32" s="656"/>
      <c r="D32" s="415">
        <v>100</v>
      </c>
      <c r="E32" s="458"/>
      <c r="F32" s="415">
        <f>SUMIF(103:103,E33,104:104)-SUMIF(103:103,C33,104:104)+100</f>
        <v>100</v>
      </c>
      <c r="G32" s="458"/>
      <c r="H32" s="415">
        <f>SUMIF(103:103,G32,104:104)-SUMIF(103:103,C32,104:104)+100</f>
        <v>100</v>
      </c>
      <c r="I32" s="656"/>
      <c r="J32" s="415">
        <f>SUMIF(103:103,I32,104:104)-SUMIF(103:103,C32,104:104)+100</f>
        <v>100</v>
      </c>
      <c r="K32" s="597"/>
      <c r="L32" s="1250"/>
      <c r="M32" s="1241"/>
      <c r="N32" s="1241"/>
      <c r="O32" s="1249"/>
      <c r="P32" s="3031" t="s">
        <v>2368</v>
      </c>
      <c r="Q32" s="1895">
        <f t="shared" si="8"/>
        <v>111</v>
      </c>
      <c r="R32" s="752" t="s">
        <v>25</v>
      </c>
      <c r="S32" s="753">
        <f t="shared" si="10"/>
        <v>100</v>
      </c>
      <c r="T32" s="752" t="s">
        <v>25</v>
      </c>
      <c r="U32" s="753">
        <f t="shared" si="11"/>
        <v>100</v>
      </c>
      <c r="V32" s="752" t="s">
        <v>25</v>
      </c>
      <c r="W32" s="753">
        <f t="shared" si="12"/>
        <v>100</v>
      </c>
      <c r="X32" s="1896"/>
      <c r="Y32" s="3032" t="s">
        <v>2368</v>
      </c>
      <c r="Z32" s="1898">
        <f t="shared" si="13"/>
        <v>111</v>
      </c>
      <c r="AA32" s="1899">
        <f t="shared" si="3"/>
        <v>1</v>
      </c>
      <c r="AB32" s="1899">
        <f t="shared" si="4"/>
        <v>1</v>
      </c>
      <c r="AC32" s="1899">
        <f t="shared" si="5"/>
        <v>1</v>
      </c>
    </row>
    <row r="33" spans="1:29" s="452" customFormat="1" ht="15.75" thickBot="1">
      <c r="A33" s="658"/>
      <c r="B33" s="2498">
        <v>111</v>
      </c>
      <c r="C33" s="660"/>
      <c r="D33" s="53">
        <v>100</v>
      </c>
      <c r="E33" s="684"/>
      <c r="F33" s="417">
        <f>SUMIF(105:105,E33,106:106)-SUMIF(105:105,C33,106:106)+100</f>
        <v>100</v>
      </c>
      <c r="G33" s="684"/>
      <c r="H33" s="417">
        <f>SUMIF(105:105,G33,106:106)-SUMIF(105:105,C33,106:106)+100</f>
        <v>100</v>
      </c>
      <c r="I33" s="660"/>
      <c r="J33" s="417">
        <f>SUMIF(105:105,I33,106:106)-SUMIF(105:105,C33,106:106)+100</f>
        <v>100</v>
      </c>
      <c r="K33" s="597"/>
      <c r="L33" s="1248"/>
      <c r="M33" s="1251"/>
      <c r="N33" s="1251"/>
      <c r="O33" s="1252"/>
      <c r="P33" s="3032"/>
      <c r="Q33" s="1895">
        <f t="shared" si="8"/>
        <v>111</v>
      </c>
      <c r="R33" s="755" t="s">
        <v>25</v>
      </c>
      <c r="S33" s="756">
        <f t="shared" si="10"/>
        <v>100</v>
      </c>
      <c r="T33" s="755" t="s">
        <v>25</v>
      </c>
      <c r="U33" s="756">
        <f t="shared" si="11"/>
        <v>100</v>
      </c>
      <c r="V33" s="755" t="s">
        <v>25</v>
      </c>
      <c r="W33" s="756">
        <f t="shared" si="12"/>
        <v>100</v>
      </c>
      <c r="X33" s="757"/>
      <c r="Y33" s="3032"/>
      <c r="Z33" s="758">
        <f t="shared" si="13"/>
        <v>111</v>
      </c>
      <c r="AA33" s="1899">
        <f t="shared" si="3"/>
        <v>1</v>
      </c>
      <c r="AB33" s="1899">
        <f t="shared" si="4"/>
        <v>1</v>
      </c>
      <c r="AC33" s="1899">
        <f t="shared" si="5"/>
        <v>1</v>
      </c>
    </row>
    <row r="34" spans="1:29" ht="15">
      <c r="A34" s="453" t="s">
        <v>2366</v>
      </c>
      <c r="B34" s="436" t="s">
        <v>2547</v>
      </c>
      <c r="C34" s="661"/>
      <c r="D34" s="448">
        <v>100</v>
      </c>
      <c r="E34" s="661"/>
      <c r="F34" s="448" t="e">
        <f>LOOKUP(E34,108:108,109:109)-LOOKUP(C34,108:108,109:109)+100</f>
        <v>#N/A</v>
      </c>
      <c r="G34" s="661"/>
      <c r="H34" s="448" t="e">
        <f>LOOKUP(G34,108:108,109:109)-LOOKUP(C34,108:108,109:109)+100</f>
        <v>#N/A</v>
      </c>
      <c r="I34" s="511"/>
      <c r="J34" s="448" t="e">
        <f>LOOKUP(I34,108:108,109:109)-LOOKUP(C34,108:108,109:109)+100</f>
        <v>#N/A</v>
      </c>
      <c r="K34" s="597"/>
      <c r="L34" s="1250"/>
      <c r="M34" s="1241"/>
      <c r="N34" s="1241"/>
      <c r="O34" s="1249"/>
      <c r="P34" s="3032"/>
      <c r="Q34" s="1895" t="str">
        <f>B34</f>
        <v>宗地面积</v>
      </c>
      <c r="R34" s="752" t="s">
        <v>25</v>
      </c>
      <c r="S34" s="753" t="e">
        <f t="shared" si="10"/>
        <v>#N/A</v>
      </c>
      <c r="T34" s="752" t="s">
        <v>25</v>
      </c>
      <c r="U34" s="753" t="e">
        <f t="shared" si="11"/>
        <v>#N/A</v>
      </c>
      <c r="V34" s="752" t="s">
        <v>25</v>
      </c>
      <c r="W34" s="753" t="e">
        <f t="shared" si="12"/>
        <v>#N/A</v>
      </c>
      <c r="X34" s="1896"/>
      <c r="Y34" s="3032"/>
      <c r="Z34" s="1898" t="str">
        <f t="shared" si="13"/>
        <v>宗地面积</v>
      </c>
      <c r="AA34" s="1899" t="e">
        <f t="shared" si="3"/>
        <v>#N/A</v>
      </c>
      <c r="AB34" s="1899" t="e">
        <f t="shared" si="4"/>
        <v>#N/A</v>
      </c>
      <c r="AC34" s="1899" t="e">
        <f t="shared" si="5"/>
        <v>#N/A</v>
      </c>
    </row>
    <row r="35" spans="1:29" ht="15">
      <c r="A35" s="453"/>
      <c r="B35" s="402" t="s">
        <v>2548</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0"/>
      <c r="M35" s="1241"/>
      <c r="N35" s="1241"/>
      <c r="O35" s="1249"/>
      <c r="P35" s="3032"/>
      <c r="Q35" s="1895" t="str">
        <f t="shared" ref="Q35:Q40" si="14">B35</f>
        <v>宗地形状</v>
      </c>
      <c r="R35" s="752" t="s">
        <v>25</v>
      </c>
      <c r="S35" s="753">
        <f t="shared" si="10"/>
        <v>100</v>
      </c>
      <c r="T35" s="752" t="s">
        <v>25</v>
      </c>
      <c r="U35" s="753">
        <f t="shared" si="11"/>
        <v>100</v>
      </c>
      <c r="V35" s="752" t="s">
        <v>25</v>
      </c>
      <c r="W35" s="753">
        <f t="shared" si="12"/>
        <v>100</v>
      </c>
      <c r="X35" s="1896"/>
      <c r="Y35" s="3032"/>
      <c r="Z35" s="1898" t="str">
        <f t="shared" si="13"/>
        <v>宗地形状</v>
      </c>
      <c r="AA35" s="1899">
        <f t="shared" si="3"/>
        <v>1</v>
      </c>
      <c r="AB35" s="1899">
        <f t="shared" si="4"/>
        <v>1</v>
      </c>
      <c r="AC35" s="1899">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2"/>
      <c r="M36" s="1243"/>
      <c r="N36" s="1243"/>
      <c r="O36" s="1244"/>
      <c r="P36" s="3032"/>
      <c r="Q36" s="1895" t="str">
        <f t="shared" si="14"/>
        <v>宗地开发程度</v>
      </c>
      <c r="R36" s="748" t="s">
        <v>25</v>
      </c>
      <c r="S36" s="749">
        <f t="shared" si="10"/>
        <v>100</v>
      </c>
      <c r="T36" s="748" t="s">
        <v>25</v>
      </c>
      <c r="U36" s="749">
        <f t="shared" si="11"/>
        <v>100</v>
      </c>
      <c r="V36" s="748" t="s">
        <v>25</v>
      </c>
      <c r="W36" s="749">
        <f t="shared" si="12"/>
        <v>100</v>
      </c>
      <c r="X36" s="750"/>
      <c r="Y36" s="3032"/>
      <c r="Z36" s="23" t="str">
        <f t="shared" si="13"/>
        <v>宗地开发程度</v>
      </c>
      <c r="AA36" s="751">
        <f t="shared" si="3"/>
        <v>1</v>
      </c>
      <c r="AB36" s="751">
        <f t="shared" si="4"/>
        <v>1</v>
      </c>
      <c r="AC36" s="751">
        <f t="shared" si="5"/>
        <v>1</v>
      </c>
    </row>
    <row r="37" spans="1:29" ht="15">
      <c r="A37" s="453"/>
      <c r="B37" s="402" t="s">
        <v>2551</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0"/>
      <c r="M37" s="1241"/>
      <c r="N37" s="1241"/>
      <c r="O37" s="1249"/>
      <c r="P37" s="3032" t="s">
        <v>2368</v>
      </c>
      <c r="Q37" s="1895" t="str">
        <f t="shared" si="14"/>
        <v>工程地质条件</v>
      </c>
      <c r="R37" s="752" t="s">
        <v>25</v>
      </c>
      <c r="S37" s="753">
        <f t="shared" si="10"/>
        <v>100</v>
      </c>
      <c r="T37" s="752" t="s">
        <v>25</v>
      </c>
      <c r="U37" s="753">
        <f t="shared" si="11"/>
        <v>100</v>
      </c>
      <c r="V37" s="752" t="s">
        <v>25</v>
      </c>
      <c r="W37" s="753">
        <f t="shared" si="12"/>
        <v>100</v>
      </c>
      <c r="X37" s="1896"/>
      <c r="Y37" s="3032" t="s">
        <v>2368</v>
      </c>
      <c r="Z37" s="1898" t="str">
        <f t="shared" si="13"/>
        <v>工程地质条件</v>
      </c>
      <c r="AA37" s="1899">
        <f t="shared" si="3"/>
        <v>1</v>
      </c>
      <c r="AB37" s="1899">
        <f t="shared" si="4"/>
        <v>1</v>
      </c>
      <c r="AC37" s="1899">
        <f t="shared" si="5"/>
        <v>1</v>
      </c>
    </row>
    <row r="38" spans="1:29" ht="15">
      <c r="A38" s="453"/>
      <c r="B38" s="2487">
        <v>111</v>
      </c>
      <c r="C38" s="656"/>
      <c r="D38" s="415">
        <v>100</v>
      </c>
      <c r="E38" s="656"/>
      <c r="F38" s="415">
        <f>SUMIF(116:116,E38,117:117)-SUMIF(116:116,C38,117:117)+100</f>
        <v>100</v>
      </c>
      <c r="G38" s="656"/>
      <c r="H38" s="415">
        <f>SUMIF(116:116,G38,117:117)-SUMIF(116:116,C38,117:117)+100</f>
        <v>100</v>
      </c>
      <c r="I38" s="532"/>
      <c r="J38" s="415">
        <f>SUMIF(116:116,I38,117:117)-SUMIF(116:116,C38,117:117)+100</f>
        <v>100</v>
      </c>
      <c r="K38" s="597"/>
      <c r="L38" s="1250"/>
      <c r="M38" s="1241"/>
      <c r="N38" s="1241"/>
      <c r="O38" s="1249"/>
      <c r="P38" s="3032"/>
      <c r="Q38" s="1895">
        <f t="shared" si="14"/>
        <v>111</v>
      </c>
      <c r="R38" s="752" t="s">
        <v>25</v>
      </c>
      <c r="S38" s="753">
        <f t="shared" si="10"/>
        <v>100</v>
      </c>
      <c r="T38" s="752" t="s">
        <v>25</v>
      </c>
      <c r="U38" s="753">
        <f t="shared" si="11"/>
        <v>100</v>
      </c>
      <c r="V38" s="752" t="s">
        <v>25</v>
      </c>
      <c r="W38" s="753">
        <f t="shared" si="12"/>
        <v>100</v>
      </c>
      <c r="X38" s="1896"/>
      <c r="Y38" s="3032"/>
      <c r="Z38" s="1898">
        <f t="shared" si="13"/>
        <v>111</v>
      </c>
      <c r="AA38" s="1899">
        <f t="shared" si="3"/>
        <v>1</v>
      </c>
      <c r="AB38" s="1899">
        <f t="shared" si="4"/>
        <v>1</v>
      </c>
      <c r="AC38" s="1899">
        <f t="shared" si="5"/>
        <v>1</v>
      </c>
    </row>
    <row r="39" spans="1:29" ht="15">
      <c r="A39" s="453"/>
      <c r="B39" s="2487">
        <v>111</v>
      </c>
      <c r="C39" s="656"/>
      <c r="D39" s="415">
        <v>100</v>
      </c>
      <c r="E39" s="656"/>
      <c r="F39" s="415">
        <f>SUMIF(118:118,E39,119:119)-SUMIF(118:118,C39,119:119)+100</f>
        <v>100</v>
      </c>
      <c r="G39" s="656"/>
      <c r="H39" s="415">
        <f>SUMIF(118:118,G39,119:119)-SUMIF(118:118,C39,119:119)+100</f>
        <v>100</v>
      </c>
      <c r="I39" s="532"/>
      <c r="J39" s="415">
        <f>SUMIF(118:118,I39,119:119)-SUMIF(118:118,C39,119:119)+100</f>
        <v>100</v>
      </c>
      <c r="K39" s="597"/>
      <c r="L39" s="1250"/>
      <c r="M39" s="1241"/>
      <c r="N39" s="1241"/>
      <c r="O39" s="1249"/>
      <c r="P39" s="3032"/>
      <c r="Q39" s="1895">
        <f t="shared" si="14"/>
        <v>111</v>
      </c>
      <c r="R39" s="752" t="s">
        <v>25</v>
      </c>
      <c r="S39" s="753">
        <f t="shared" si="10"/>
        <v>100</v>
      </c>
      <c r="T39" s="752" t="s">
        <v>25</v>
      </c>
      <c r="U39" s="753">
        <f t="shared" si="11"/>
        <v>100</v>
      </c>
      <c r="V39" s="752" t="s">
        <v>25</v>
      </c>
      <c r="W39" s="753">
        <f t="shared" si="12"/>
        <v>100</v>
      </c>
      <c r="X39" s="1896"/>
      <c r="Y39" s="3032"/>
      <c r="Z39" s="1898">
        <f t="shared" si="13"/>
        <v>111</v>
      </c>
      <c r="AA39" s="1899">
        <f t="shared" si="3"/>
        <v>1</v>
      </c>
      <c r="AB39" s="1899">
        <f t="shared" si="4"/>
        <v>1</v>
      </c>
      <c r="AC39" s="1899">
        <f t="shared" si="5"/>
        <v>1</v>
      </c>
    </row>
    <row r="40" spans="1:29" s="452" customFormat="1" ht="15.75" thickBot="1">
      <c r="A40" s="449"/>
      <c r="B40" s="2487">
        <v>111</v>
      </c>
      <c r="C40" s="2488"/>
      <c r="D40" s="53">
        <v>100</v>
      </c>
      <c r="E40" s="656"/>
      <c r="F40" s="417">
        <f>SUMIF(120:120,E40,121:121)-SUMIF(120:120,C40,121:121)+100</f>
        <v>100</v>
      </c>
      <c r="G40" s="656"/>
      <c r="H40" s="417">
        <f>SUMIF(120:120,G40,121:121)-SUMIF(120:120,C40,121:121)+100</f>
        <v>100</v>
      </c>
      <c r="I40" s="532"/>
      <c r="J40" s="417">
        <f>SUMIF(120:120,I40,121:121)-SUMIF(120:120,C40,121:121)+100</f>
        <v>100</v>
      </c>
      <c r="K40" s="663"/>
      <c r="L40" s="1248"/>
      <c r="M40" s="1251"/>
      <c r="N40" s="1251"/>
      <c r="O40" s="1252"/>
      <c r="P40" s="3032"/>
      <c r="Q40" s="1895">
        <f t="shared" si="14"/>
        <v>111</v>
      </c>
      <c r="R40" s="755" t="s">
        <v>25</v>
      </c>
      <c r="S40" s="756">
        <f t="shared" si="10"/>
        <v>100</v>
      </c>
      <c r="T40" s="755" t="s">
        <v>25</v>
      </c>
      <c r="U40" s="756">
        <f t="shared" si="11"/>
        <v>100</v>
      </c>
      <c r="V40" s="755" t="s">
        <v>25</v>
      </c>
      <c r="W40" s="756">
        <f t="shared" si="12"/>
        <v>100</v>
      </c>
      <c r="X40" s="757"/>
      <c r="Y40" s="3032"/>
      <c r="Z40" s="758">
        <f t="shared" si="13"/>
        <v>111</v>
      </c>
      <c r="AA40" s="1899">
        <f t="shared" si="3"/>
        <v>1</v>
      </c>
      <c r="AB40" s="1899">
        <f t="shared" si="4"/>
        <v>1</v>
      </c>
      <c r="AC40" s="1899">
        <f t="shared" si="5"/>
        <v>1</v>
      </c>
    </row>
    <row r="41" spans="1:29" ht="15">
      <c r="A41" s="460" t="s">
        <v>2516</v>
      </c>
      <c r="B41" s="2489" t="s">
        <v>2590</v>
      </c>
      <c r="C41" s="664" t="s">
        <v>1</v>
      </c>
      <c r="D41" s="462"/>
      <c r="E41" s="463"/>
      <c r="F41" s="464"/>
      <c r="G41" s="465"/>
      <c r="H41" s="466"/>
      <c r="I41" s="463"/>
      <c r="J41" s="466"/>
      <c r="K41" s="761"/>
      <c r="L41" s="1253"/>
      <c r="M41" s="1241"/>
      <c r="N41" s="1241"/>
      <c r="O41" s="1254"/>
      <c r="P41" s="3001" t="str">
        <f>A41</f>
        <v>成交单价</v>
      </c>
      <c r="Q41" s="3001"/>
      <c r="R41" s="3025">
        <f>E41</f>
        <v>0</v>
      </c>
      <c r="S41" s="3025"/>
      <c r="T41" s="3025">
        <f>G41</f>
        <v>0</v>
      </c>
      <c r="U41" s="3025"/>
      <c r="V41" s="3025">
        <f>I41</f>
        <v>0</v>
      </c>
      <c r="W41" s="3025"/>
      <c r="X41" s="737"/>
      <c r="Y41" s="759"/>
      <c r="Z41" s="737"/>
      <c r="AA41" s="737"/>
      <c r="AB41" s="737"/>
      <c r="AC41" s="737"/>
    </row>
    <row r="42" spans="1:29" ht="15.75" thickBot="1">
      <c r="A42" s="467" t="s">
        <v>2463</v>
      </c>
      <c r="B42" s="665"/>
      <c r="C42" s="471" t="e">
        <f>R43</f>
        <v>#DIV/0!</v>
      </c>
      <c r="D42" s="470"/>
      <c r="E42" s="471" t="e">
        <f>R42</f>
        <v>#DIV/0!</v>
      </c>
      <c r="F42" s="472"/>
      <c r="G42" s="469" t="e">
        <f>T42</f>
        <v>#DIV/0!</v>
      </c>
      <c r="H42" s="470"/>
      <c r="I42" s="471" t="e">
        <f>V42</f>
        <v>#DIV/0!</v>
      </c>
      <c r="J42" s="470"/>
      <c r="K42" s="762"/>
      <c r="L42" s="1253"/>
      <c r="M42" s="1241"/>
      <c r="N42" s="1241"/>
      <c r="O42" s="1254"/>
      <c r="P42" s="3001" t="str">
        <f>A42</f>
        <v>比较价值（元/平方米）</v>
      </c>
      <c r="Q42" s="3001"/>
      <c r="R42" s="3082" t="e">
        <f>ROUND(PRODUCT(R41,AA7:AA40),0)</f>
        <v>#DIV/0!</v>
      </c>
      <c r="S42" s="3082"/>
      <c r="T42" s="3082" t="e">
        <f>ROUND(PRODUCT(T41,AB7:AB40),0)</f>
        <v>#DIV/0!</v>
      </c>
      <c r="U42" s="3082"/>
      <c r="V42" s="3082" t="e">
        <f>ROUND(PRODUCT(V41,AC7:AC40),0)</f>
        <v>#DIV/0!</v>
      </c>
      <c r="W42" s="3082"/>
      <c r="X42" s="737"/>
      <c r="Y42" s="737"/>
      <c r="Z42" s="737"/>
      <c r="AA42" s="737"/>
      <c r="AB42" s="737"/>
      <c r="AC42" s="737"/>
    </row>
    <row r="43" spans="1:29" ht="15.75" thickBot="1">
      <c r="A43" s="473" t="s">
        <v>2486</v>
      </c>
      <c r="B43" s="474"/>
      <c r="C43" s="475" t="e">
        <f>R43</f>
        <v>#DIV/0!</v>
      </c>
      <c r="D43" s="475"/>
      <c r="E43" s="475"/>
      <c r="F43" s="475"/>
      <c r="G43" s="475"/>
      <c r="H43" s="475"/>
      <c r="I43" s="475"/>
      <c r="J43" s="475"/>
      <c r="K43" s="763"/>
      <c r="L43" s="1253"/>
      <c r="M43" s="1241"/>
      <c r="N43" s="1241"/>
      <c r="O43" s="1254"/>
      <c r="P43" s="3034" t="str">
        <f>A43</f>
        <v>估价对象XX用房的比较价值（楼面单价，元/平方米）</v>
      </c>
      <c r="Q43" s="3035"/>
      <c r="R43" s="3083" t="e">
        <f>ROUND(AVERAGE(R42:V42),0)</f>
        <v>#DIV/0!</v>
      </c>
      <c r="S43" s="3083"/>
      <c r="T43" s="3083"/>
      <c r="U43" s="3083"/>
      <c r="V43" s="3083"/>
      <c r="W43" s="3083"/>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6" t="s">
        <v>2553</v>
      </c>
      <c r="B50" s="667" t="s">
        <v>2554</v>
      </c>
      <c r="C50" s="2490" t="s">
        <v>2555</v>
      </c>
      <c r="D50" s="2491" t="s">
        <v>2556</v>
      </c>
      <c r="E50" s="668" t="s">
        <v>2557</v>
      </c>
      <c r="F50" s="669" t="s">
        <v>2558</v>
      </c>
      <c r="G50" s="1898" t="s">
        <v>2591</v>
      </c>
      <c r="H50" s="1898">
        <f>项目基本情况!G8</f>
        <v>0</v>
      </c>
      <c r="I50" s="1846" t="s">
        <v>2560</v>
      </c>
      <c r="J50" s="1259"/>
      <c r="K50" s="1255"/>
      <c r="L50" s="1255"/>
      <c r="M50" s="1254"/>
      <c r="N50" s="1254"/>
      <c r="O50" s="1254"/>
    </row>
    <row r="51" spans="1:17" s="674" customFormat="1">
      <c r="A51" s="670" t="s">
        <v>2561</v>
      </c>
      <c r="B51" s="671" t="e">
        <f>C43</f>
        <v>#DIV/0!</v>
      </c>
      <c r="C51" s="672">
        <v>1</v>
      </c>
      <c r="D51" s="672">
        <v>1</v>
      </c>
      <c r="E51" s="676">
        <v>120</v>
      </c>
      <c r="F51" s="673" t="e">
        <f t="shared" ref="F51:F60" si="15">ROUND(B51*E51,0)</f>
        <v>#DIV/0!</v>
      </c>
      <c r="G51" s="970">
        <v>1</v>
      </c>
      <c r="H51" s="970">
        <v>1</v>
      </c>
      <c r="I51" s="1256"/>
      <c r="J51" s="1259"/>
      <c r="K51" s="1255"/>
      <c r="L51" s="1255"/>
      <c r="M51" s="1254"/>
      <c r="N51" s="1254"/>
      <c r="O51" s="1254"/>
    </row>
    <row r="52" spans="1:17" s="674" customFormat="1">
      <c r="A52" s="675" t="s">
        <v>2562</v>
      </c>
      <c r="B52" s="178" t="e">
        <f>ROUND($C$43*C52*D52,0)</f>
        <v>#DIV/0!</v>
      </c>
      <c r="C52" s="117">
        <f>IF($C$50="北京市系数",G52,H52)</f>
        <v>0.8</v>
      </c>
      <c r="D52" s="1289">
        <v>0.25</v>
      </c>
      <c r="E52" s="676">
        <v>0</v>
      </c>
      <c r="F52" s="673" t="e">
        <f t="shared" si="15"/>
        <v>#DIV/0!</v>
      </c>
      <c r="G52" s="970">
        <f>SUMIF(修正!$A$45:$A$56,项目基本情况!$F$9,修正!B45:B56)</f>
        <v>0.8</v>
      </c>
      <c r="H52" s="971"/>
      <c r="I52" s="1254"/>
      <c r="J52" s="1259"/>
      <c r="K52" s="1255"/>
      <c r="L52" s="1255"/>
      <c r="M52" s="1254"/>
      <c r="N52" s="1254"/>
      <c r="O52" s="1254"/>
    </row>
    <row r="53" spans="1:17" s="674" customFormat="1">
      <c r="A53" s="675" t="s">
        <v>2563</v>
      </c>
      <c r="B53" s="178" t="e">
        <f t="shared" ref="B53:B60" si="16">ROUND($C$43*C53*D53,0)</f>
        <v>#DIV/0!</v>
      </c>
      <c r="C53" s="117">
        <f t="shared" ref="C53:C60" si="17">IF($C$50="北京市系数",G53,H53)</f>
        <v>0.5</v>
      </c>
      <c r="D53" s="1289">
        <v>0.25</v>
      </c>
      <c r="E53" s="676">
        <v>0</v>
      </c>
      <c r="F53" s="673" t="e">
        <f t="shared" si="15"/>
        <v>#DIV/0!</v>
      </c>
      <c r="G53" s="970">
        <f>SUMIF(修正!$A$45:$A$56,项目基本情况!$F$9,修正!C45:C56)</f>
        <v>0.5</v>
      </c>
      <c r="H53" s="971"/>
      <c r="I53" s="1256"/>
      <c r="J53" s="1259"/>
      <c r="K53" s="1255"/>
      <c r="L53" s="1255"/>
      <c r="M53" s="1254"/>
      <c r="N53" s="1254"/>
      <c r="O53" s="1254"/>
    </row>
    <row r="54" spans="1:17" s="674" customFormat="1">
      <c r="A54" s="675" t="s">
        <v>2564</v>
      </c>
      <c r="B54" s="178" t="e">
        <f t="shared" si="16"/>
        <v>#DIV/0!</v>
      </c>
      <c r="C54" s="117">
        <f t="shared" si="17"/>
        <v>0.36</v>
      </c>
      <c r="D54" s="1289">
        <v>0.25</v>
      </c>
      <c r="E54" s="676">
        <v>0</v>
      </c>
      <c r="F54" s="673" t="e">
        <f t="shared" si="15"/>
        <v>#DIV/0!</v>
      </c>
      <c r="G54" s="970">
        <f>SUMIF(修正!$A$45:$A$56,项目基本情况!$F$9,修正!D45:D56)</f>
        <v>0.36</v>
      </c>
      <c r="H54" s="971"/>
      <c r="I54" s="1254"/>
      <c r="J54" s="1259"/>
      <c r="K54" s="1255"/>
      <c r="L54" s="1255"/>
      <c r="M54" s="1254"/>
      <c r="N54" s="1254"/>
      <c r="O54" s="1254"/>
    </row>
    <row r="55" spans="1:17" s="674" customFormat="1">
      <c r="A55" s="675" t="s">
        <v>2565</v>
      </c>
      <c r="B55" s="178" t="e">
        <f t="shared" si="16"/>
        <v>#DIV/0!</v>
      </c>
      <c r="C55" s="117">
        <f t="shared" si="17"/>
        <v>0.3</v>
      </c>
      <c r="D55" s="1289">
        <v>0.25</v>
      </c>
      <c r="E55" s="676">
        <v>0</v>
      </c>
      <c r="F55" s="673" t="e">
        <f t="shared" si="15"/>
        <v>#DIV/0!</v>
      </c>
      <c r="G55" s="970">
        <f>SUMIF(修正!$A$45:$A$56,项目基本情况!$F$9,修正!E45:E56)</f>
        <v>0.3</v>
      </c>
      <c r="H55" s="971"/>
      <c r="I55" s="1256"/>
      <c r="J55" s="1259"/>
      <c r="K55" s="1255"/>
      <c r="L55" s="1255"/>
      <c r="M55" s="1254"/>
      <c r="N55" s="1254"/>
      <c r="O55" s="1254"/>
    </row>
    <row r="56" spans="1:17" s="674" customFormat="1">
      <c r="A56" s="675" t="s">
        <v>2566</v>
      </c>
      <c r="B56" s="178" t="e">
        <f t="shared" si="16"/>
        <v>#DIV/0!</v>
      </c>
      <c r="C56" s="117">
        <f t="shared" si="17"/>
        <v>0.25</v>
      </c>
      <c r="D56" s="1289">
        <v>0.25</v>
      </c>
      <c r="E56" s="676">
        <v>0</v>
      </c>
      <c r="F56" s="673" t="e">
        <f t="shared" si="15"/>
        <v>#DIV/0!</v>
      </c>
      <c r="G56" s="970">
        <f>SUMIF(修正!A40:A51,项目基本情况!F9,修正!F45:F56)</f>
        <v>0.25</v>
      </c>
      <c r="H56" s="971"/>
      <c r="I56" s="1254"/>
      <c r="J56" s="1259"/>
      <c r="K56" s="1255"/>
      <c r="L56" s="1255"/>
      <c r="M56" s="1254"/>
      <c r="N56" s="1254"/>
      <c r="O56" s="1254"/>
    </row>
    <row r="57" spans="1:17" s="674" customFormat="1">
      <c r="A57" s="675" t="s">
        <v>2567</v>
      </c>
      <c r="B57" s="178" t="e">
        <f t="shared" si="16"/>
        <v>#DIV/0!</v>
      </c>
      <c r="C57" s="117">
        <f t="shared" si="17"/>
        <v>0.25</v>
      </c>
      <c r="D57" s="1289">
        <v>0.25</v>
      </c>
      <c r="E57" s="676">
        <v>0</v>
      </c>
      <c r="F57" s="673" t="e">
        <f t="shared" si="15"/>
        <v>#DIV/0!</v>
      </c>
      <c r="G57" s="970">
        <f>SUMIF(修正!A40:A51,项目基本情况!F9,修正!G45:G56)</f>
        <v>0.25</v>
      </c>
      <c r="H57" s="971"/>
      <c r="I57" s="1256"/>
      <c r="J57" s="1259"/>
      <c r="K57" s="1255"/>
      <c r="L57" s="1255"/>
      <c r="M57" s="1254"/>
      <c r="N57" s="1254"/>
      <c r="O57" s="1254"/>
    </row>
    <row r="58" spans="1:17" s="674" customFormat="1">
      <c r="A58" s="675" t="s">
        <v>2568</v>
      </c>
      <c r="B58" s="178" t="e">
        <f t="shared" si="16"/>
        <v>#DIV/0!</v>
      </c>
      <c r="C58" s="117">
        <f t="shared" si="17"/>
        <v>0.2</v>
      </c>
      <c r="D58" s="1289">
        <v>0.25</v>
      </c>
      <c r="E58" s="676">
        <v>0</v>
      </c>
      <c r="F58" s="673" t="e">
        <f t="shared" si="15"/>
        <v>#DIV/0!</v>
      </c>
      <c r="G58" s="970">
        <f>SUMIF(修正!A40:A51,项目基本情况!F9,修正!H45:H56)</f>
        <v>0.2</v>
      </c>
      <c r="H58" s="971"/>
      <c r="I58" s="1254"/>
      <c r="J58" s="1259"/>
      <c r="K58" s="1255"/>
      <c r="L58" s="1255"/>
      <c r="M58" s="1254"/>
      <c r="N58" s="1254"/>
      <c r="O58" s="1254"/>
    </row>
    <row r="59" spans="1:17" s="674" customFormat="1">
      <c r="A59" s="675" t="s">
        <v>2569</v>
      </c>
      <c r="B59" s="178" t="e">
        <f t="shared" si="16"/>
        <v>#DIV/0!</v>
      </c>
      <c r="C59" s="117">
        <f t="shared" si="17"/>
        <v>0.2</v>
      </c>
      <c r="D59" s="1289">
        <v>0.25</v>
      </c>
      <c r="E59" s="676">
        <v>0</v>
      </c>
      <c r="F59" s="673" t="e">
        <f t="shared" si="15"/>
        <v>#DIV/0!</v>
      </c>
      <c r="G59" s="970">
        <f>G58</f>
        <v>0.2</v>
      </c>
      <c r="H59" s="971"/>
      <c r="I59" s="1256"/>
      <c r="J59" s="1259"/>
      <c r="K59" s="1255"/>
      <c r="L59" s="1255"/>
      <c r="M59" s="1254"/>
      <c r="N59" s="1254"/>
      <c r="O59" s="1254"/>
    </row>
    <row r="60" spans="1:17" s="674" customFormat="1">
      <c r="A60" s="675" t="s">
        <v>2570</v>
      </c>
      <c r="B60" s="178" t="e">
        <f t="shared" si="16"/>
        <v>#DIV/0!</v>
      </c>
      <c r="C60" s="117">
        <f t="shared" si="17"/>
        <v>0.2</v>
      </c>
      <c r="D60" s="1289">
        <v>0.25</v>
      </c>
      <c r="E60" s="676">
        <v>0</v>
      </c>
      <c r="F60" s="673" t="e">
        <f t="shared" si="15"/>
        <v>#DIV/0!</v>
      </c>
      <c r="G60" s="970">
        <f>G58</f>
        <v>0.2</v>
      </c>
      <c r="H60" s="971"/>
      <c r="I60" s="1254"/>
      <c r="J60" s="1259"/>
      <c r="K60" s="1255"/>
      <c r="L60" s="1255"/>
      <c r="M60" s="1254"/>
      <c r="N60" s="1254"/>
      <c r="O60" s="1254"/>
    </row>
    <row r="61" spans="1:17" s="674" customFormat="1" ht="15" thickBot="1">
      <c r="A61" s="678" t="s">
        <v>2571</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2018-12-1</v>
      </c>
      <c r="D63" s="1667">
        <f>EDATE(C63,-3)</f>
        <v>43344</v>
      </c>
      <c r="E63" s="1667">
        <f t="shared" ref="E63:O63" si="18">EDATE(D63,-3)</f>
        <v>43252</v>
      </c>
      <c r="F63" s="1667">
        <f t="shared" si="18"/>
        <v>43160</v>
      </c>
      <c r="G63" s="1667">
        <f t="shared" si="18"/>
        <v>43070</v>
      </c>
      <c r="H63" s="1667">
        <f t="shared" si="18"/>
        <v>42979</v>
      </c>
      <c r="I63" s="1667">
        <f t="shared" si="18"/>
        <v>42887</v>
      </c>
      <c r="J63" s="1667">
        <f t="shared" si="18"/>
        <v>42795</v>
      </c>
      <c r="K63" s="1667">
        <f t="shared" si="18"/>
        <v>42705</v>
      </c>
      <c r="L63" s="1667">
        <f t="shared" si="18"/>
        <v>42614</v>
      </c>
      <c r="M63" s="1667">
        <f t="shared" si="18"/>
        <v>42522</v>
      </c>
      <c r="N63" s="1667">
        <f t="shared" si="18"/>
        <v>42430</v>
      </c>
      <c r="O63" s="1667">
        <f t="shared" si="18"/>
        <v>42339</v>
      </c>
    </row>
    <row r="64" spans="1:17" ht="21.75" thickBot="1">
      <c r="A64" s="741" t="s">
        <v>2468</v>
      </c>
      <c r="B64" s="737"/>
      <c r="C64" s="742"/>
      <c r="D64" s="742"/>
      <c r="E64" s="742"/>
      <c r="F64" s="743"/>
      <c r="G64" s="743"/>
      <c r="H64" s="742"/>
      <c r="I64" s="1270"/>
      <c r="J64" s="1270"/>
      <c r="K64" s="1268"/>
      <c r="L64" s="1269"/>
      <c r="M64" s="1270"/>
      <c r="N64" s="1270"/>
      <c r="O64" s="1270"/>
      <c r="P64" s="484"/>
      <c r="Q64" s="485"/>
    </row>
    <row r="65" spans="1:17" s="489" customFormat="1" ht="15">
      <c r="A65" s="2493" t="s">
        <v>2572</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9" t="s">
        <v>2592</v>
      </c>
      <c r="B66" s="284" t="str">
        <f>"北京市平均增长率"&amp;TEXT(基准地价修正!P24,"0.00%")</f>
        <v>北京市平均增长率1.49%</v>
      </c>
      <c r="C66" s="587">
        <v>100</v>
      </c>
      <c r="D66" s="579"/>
      <c r="E66" s="579"/>
      <c r="F66" s="579"/>
      <c r="G66" s="579"/>
      <c r="H66" s="579"/>
      <c r="I66" s="579"/>
      <c r="J66" s="579"/>
      <c r="K66" s="579"/>
      <c r="L66" s="579"/>
      <c r="M66" s="1666"/>
      <c r="N66" s="579"/>
      <c r="O66" s="1672"/>
      <c r="P66" s="485"/>
    </row>
    <row r="67" spans="1:17" s="35" customFormat="1" ht="15.75" thickBot="1">
      <c r="A67" s="496" t="s">
        <v>2388</v>
      </c>
      <c r="B67" s="497"/>
      <c r="C67" s="498"/>
      <c r="D67" s="499"/>
      <c r="E67" s="499"/>
      <c r="F67" s="499"/>
      <c r="G67" s="499"/>
      <c r="H67" s="499"/>
      <c r="I67" s="499"/>
      <c r="J67" s="499"/>
      <c r="K67" s="499"/>
      <c r="L67" s="499"/>
      <c r="M67" s="500"/>
      <c r="N67" s="499"/>
      <c r="O67" s="1673"/>
      <c r="P67" s="485"/>
      <c r="Q67" s="485"/>
    </row>
    <row r="68" spans="1:17" s="35" customFormat="1" ht="15">
      <c r="A68" s="502" t="s">
        <v>2352</v>
      </c>
      <c r="B68" s="491"/>
      <c r="C68" s="503" t="s">
        <v>2353</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2391</v>
      </c>
      <c r="B70" s="509" t="s">
        <v>2356</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2359</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2575</v>
      </c>
      <c r="C87" s="557" t="s">
        <v>2400</v>
      </c>
      <c r="D87" s="557" t="s">
        <v>2401</v>
      </c>
      <c r="E87" s="557" t="s">
        <v>2402</v>
      </c>
      <c r="F87" s="557" t="s">
        <v>2403</v>
      </c>
      <c r="G87" s="557" t="s">
        <v>2404</v>
      </c>
      <c r="H87" s="562"/>
      <c r="I87" s="562"/>
      <c r="J87" s="562"/>
      <c r="K87" s="562"/>
      <c r="L87" s="681"/>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2576</v>
      </c>
      <c r="C89" s="557" t="s">
        <v>2400</v>
      </c>
      <c r="D89" s="557" t="s">
        <v>2401</v>
      </c>
      <c r="E89" s="557" t="s">
        <v>2402</v>
      </c>
      <c r="F89" s="557" t="s">
        <v>2403</v>
      </c>
      <c r="G89" s="557" t="s">
        <v>2404</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2480</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2546</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7"/>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59"/>
      <c r="H106" s="659"/>
      <c r="I106" s="659"/>
      <c r="J106" s="659"/>
      <c r="K106" s="659"/>
      <c r="L106" s="659"/>
      <c r="M106" s="682"/>
      <c r="N106" s="1265"/>
      <c r="O106" s="1265"/>
      <c r="P106" s="542"/>
      <c r="Q106" s="543"/>
    </row>
    <row r="107" spans="1:17">
      <c r="A107" s="508" t="s">
        <v>2366</v>
      </c>
      <c r="B107" s="509" t="s">
        <v>2581</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2582</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2584</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2585</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500"/>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1265</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1266</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估价对象为北京市房地产，为所有。根据《房屋所有权证》[]，估价对象建筑面积为14802.98平方米，（分摊）出让国有建设用地使用权面积为1050.7平方米。估价对象用途为。</v>
      </c>
      <c r="B6" s="1913"/>
      <c r="C6" s="1913"/>
      <c r="D6" s="1913"/>
      <c r="E6" s="1913"/>
      <c r="F6" s="1913"/>
      <c r="G6" s="1913"/>
    </row>
    <row r="7" spans="1:7" ht="18.75">
      <c r="A7" s="1914" t="s">
        <v>1267</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1268</v>
      </c>
      <c r="B9" s="1918"/>
    </row>
    <row r="10" spans="1:7" ht="18">
      <c r="A10" s="1919" t="str">
        <f>TEXT(项目基本情况!D2,"yyyy年m月d日;;")&amp;IF(项目基本情况!B2=项目基本情况!D2,"（评估专业人员实地查勘之日）","")</f>
        <v>2018年12月31日</v>
      </c>
      <c r="B10" s="1920"/>
      <c r="C10" s="1920"/>
      <c r="D10" s="1920"/>
      <c r="E10" s="1920"/>
      <c r="F10" s="1920"/>
      <c r="G10" s="1920"/>
    </row>
    <row r="11" spans="1:7" ht="18.75">
      <c r="A11" s="1911" t="s">
        <v>1269</v>
      </c>
    </row>
    <row r="12" spans="1:7" ht="75">
      <c r="A12" s="1913" t="s">
        <v>1270</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本次估价的“房地产价值”是指在正常市场情况下，在价值时点2018年12月31日，估价对象规划用途为，假定未设立法定优先受偿款下的房地产市场价值。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1264</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1263</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C38" sqref="C38"/>
    </sheetView>
  </sheetViews>
  <sheetFormatPr defaultColWidth="9" defaultRowHeight="12.75"/>
  <cols>
    <col min="1" max="1" width="9.75" style="2580" customWidth="1"/>
    <col min="2" max="2" width="19.25" style="2693"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9" customWidth="1"/>
    <col min="12" max="12" width="12" style="2504" customWidth="1"/>
    <col min="13" max="13" width="8.5" style="2504" customWidth="1"/>
    <col min="14" max="14" width="9.75" style="2504" customWidth="1"/>
    <col min="15" max="25" width="12" style="2504" customWidth="1"/>
    <col min="26" max="26" width="9.375" style="2580" customWidth="1"/>
    <col min="27" max="32" width="9.375" style="2656" customWidth="1"/>
    <col min="33" max="36" width="9.375" style="2580" customWidth="1"/>
    <col min="37" max="38" width="9.375" style="2504" customWidth="1"/>
    <col min="39" max="16384" width="9" style="2504"/>
  </cols>
  <sheetData>
    <row r="1" spans="1:36" ht="28.5">
      <c r="A1" s="161" t="s">
        <v>2593</v>
      </c>
      <c r="B1" s="2501"/>
      <c r="C1" s="162" t="s">
        <v>2594</v>
      </c>
      <c r="D1" s="2502">
        <f>SUM(D29:D30,D33:D39)</f>
        <v>0</v>
      </c>
      <c r="E1" s="2502"/>
      <c r="F1" s="2502"/>
      <c r="G1" s="2502"/>
      <c r="H1" s="2502"/>
      <c r="I1" s="2502"/>
      <c r="J1" s="2502"/>
      <c r="L1" s="2503" t="s">
        <v>2595</v>
      </c>
      <c r="M1" s="1116">
        <f>SUMPRODUCT((区片价!B5:B9=I2)*(区片价!C3:F3=E2)*(区片价!C5:F9))</f>
        <v>0</v>
      </c>
      <c r="N1" s="1119">
        <f>SUMPRODUCT((因素修正幅度!B5:B9=I2)*(因素修正幅度!C3:F3=E2)*(因素修正幅度!C5:F9))</f>
        <v>0</v>
      </c>
      <c r="O1" s="1459"/>
      <c r="P1" s="1459"/>
      <c r="Q1" s="1459"/>
      <c r="R1" s="1706" t="s">
        <v>2596</v>
      </c>
      <c r="S1" s="1706" t="s">
        <v>2597</v>
      </c>
      <c r="T1" s="1706" t="s">
        <v>2598</v>
      </c>
      <c r="U1" s="1706" t="s">
        <v>2599</v>
      </c>
      <c r="V1" s="1706" t="s">
        <v>2600</v>
      </c>
      <c r="W1" s="1710"/>
      <c r="X1" s="1710"/>
      <c r="Y1" s="1710"/>
      <c r="Z1" s="1710"/>
      <c r="AA1" s="1710"/>
      <c r="AB1" s="1710"/>
      <c r="AC1" s="1711"/>
      <c r="AD1" s="1712"/>
      <c r="AE1" s="1712"/>
      <c r="AF1" s="1712"/>
      <c r="AG1" s="1712"/>
      <c r="AH1" s="1712"/>
      <c r="AI1" s="1712"/>
      <c r="AJ1" s="1713"/>
    </row>
    <row r="2" spans="1:36" ht="24.75">
      <c r="A2" s="165" t="s">
        <v>2601</v>
      </c>
      <c r="B2" s="168" t="e">
        <f>C26</f>
        <v>#DIV/0!</v>
      </c>
      <c r="C2" s="2505" t="s">
        <v>2602</v>
      </c>
      <c r="D2" s="2506" t="s">
        <v>2603</v>
      </c>
      <c r="E2" s="2507"/>
      <c r="F2" s="2506" t="s">
        <v>2604</v>
      </c>
      <c r="G2" s="2508" t="str">
        <f>项目基本情况!F9</f>
        <v>一级</v>
      </c>
      <c r="H2" s="2509" t="s">
        <v>2605</v>
      </c>
      <c r="I2" s="2508" t="str">
        <f>项目基本情况!F10</f>
        <v>Ⅰ—04</v>
      </c>
      <c r="J2" s="2510"/>
      <c r="L2" s="2511" t="s">
        <v>2606</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2607</v>
      </c>
      <c r="B3" s="168" t="e">
        <f>ROUND(B2/D1,0)</f>
        <v>#DIV/0!</v>
      </c>
      <c r="C3" s="2505" t="s">
        <v>2608</v>
      </c>
      <c r="D3" s="2506" t="s">
        <v>2609</v>
      </c>
      <c r="E3" s="2512"/>
      <c r="F3" s="2513" t="s">
        <v>2610</v>
      </c>
      <c r="G3" s="940">
        <f>项目基本情况!C15</f>
        <v>0</v>
      </c>
      <c r="H3" s="115" t="s">
        <v>2611</v>
      </c>
      <c r="I3" s="972">
        <v>7</v>
      </c>
      <c r="J3" s="2510" t="s">
        <v>2612</v>
      </c>
      <c r="L3" s="2511" t="s">
        <v>2613</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100"/>
      <c r="B4" s="3101"/>
      <c r="C4" s="3101"/>
      <c r="D4" s="3102"/>
      <c r="E4" s="3102"/>
      <c r="F4" s="3102"/>
      <c r="G4" s="3102"/>
      <c r="H4" s="3102"/>
      <c r="I4" s="3102"/>
      <c r="J4" s="3103"/>
      <c r="L4" s="2511" t="s">
        <v>2614</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2" customFormat="1" ht="15.75" thickBot="1">
      <c r="A5" s="2514" t="s">
        <v>2615</v>
      </c>
      <c r="B5" s="2515" t="s">
        <v>2616</v>
      </c>
      <c r="C5" s="2730" t="e">
        <f>ROUND(IF(E2="商业",IF(F16="增加",C6*C7+C16,C6*C7-C16),IF(E2="住宅",IF(F16="增加",C6*C12+C16,C6*C12-C16),IF(F16="增加",C6+C16,C6-C16))),0)</f>
        <v>#DIV/0!</v>
      </c>
      <c r="D5" s="2731" t="e">
        <f>ROUND(IF(F16="增加",C6+C16,C6-C16),0)</f>
        <v>#DIV/0!</v>
      </c>
      <c r="E5" s="2731"/>
      <c r="F5" s="2732"/>
      <c r="G5" s="2516"/>
      <c r="H5" s="2516"/>
      <c r="I5" s="2516"/>
      <c r="J5" s="2517"/>
      <c r="K5" s="2518"/>
      <c r="L5" s="2511" t="s">
        <v>2617</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9"/>
      <c r="AD5" s="2520"/>
      <c r="AE5" s="2520"/>
      <c r="AF5" s="2520"/>
      <c r="AG5" s="2520"/>
      <c r="AH5" s="2520"/>
      <c r="AI5" s="2520"/>
      <c r="AJ5" s="2521"/>
    </row>
    <row r="6" spans="1:36" ht="15.75" thickBot="1">
      <c r="A6" s="2523">
        <v>1</v>
      </c>
      <c r="B6" s="2524" t="s">
        <v>2618</v>
      </c>
      <c r="C6" s="941">
        <f>SUMIF(L1:L12,G2,M1:M12)</f>
        <v>0</v>
      </c>
      <c r="D6" s="2525" t="s">
        <v>2619</v>
      </c>
      <c r="E6" s="2526"/>
      <c r="F6" s="2526"/>
      <c r="G6" s="2527"/>
      <c r="H6" s="2527"/>
      <c r="I6" s="2527"/>
      <c r="J6" s="2528"/>
      <c r="K6" s="2529"/>
      <c r="L6" s="2511" t="s">
        <v>2620</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9"/>
      <c r="AD6" s="2520"/>
      <c r="AE6" s="2520"/>
      <c r="AF6" s="2520"/>
      <c r="AG6" s="2520"/>
      <c r="AH6" s="2520"/>
      <c r="AI6" s="2520"/>
      <c r="AJ6" s="2521"/>
    </row>
    <row r="7" spans="1:36" ht="24">
      <c r="A7" s="3084" t="str">
        <f>IF(E2="商业",IF(C8="不临58条商业街","",2),"")</f>
        <v/>
      </c>
      <c r="B7" s="2530" t="s">
        <v>2621</v>
      </c>
      <c r="C7" s="942" t="e">
        <f>IF(C8="不临58条商业街",1,ROUND(1+(1.6*E8+1.2*E9+0.8*E10+0.4*E11)*C9,4))</f>
        <v>#DIV/0!</v>
      </c>
      <c r="D7" s="2531" t="s">
        <v>2622</v>
      </c>
      <c r="E7" s="973"/>
      <c r="F7" s="2532"/>
      <c r="G7" s="2533"/>
      <c r="H7" s="2533"/>
      <c r="I7" s="2533"/>
      <c r="J7" s="2534"/>
      <c r="K7" s="2529"/>
      <c r="L7" s="2511" t="s">
        <v>2623</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1" t="s">
        <v>2624</v>
      </c>
      <c r="X7" s="1708" t="str">
        <f>G2</f>
        <v>一级</v>
      </c>
      <c r="Y7" s="1708" t="s">
        <v>2625</v>
      </c>
      <c r="Z7" s="1709">
        <f>G3</f>
        <v>0</v>
      </c>
      <c r="AA7" s="1710"/>
      <c r="AB7" s="1710"/>
      <c r="AC7" s="1711"/>
      <c r="AD7" s="1712"/>
      <c r="AE7" s="1712"/>
      <c r="AF7" s="1712"/>
      <c r="AG7" s="1712"/>
      <c r="AH7" s="1712"/>
      <c r="AI7" s="1712"/>
      <c r="AJ7" s="1713"/>
    </row>
    <row r="8" spans="1:36" ht="15">
      <c r="A8" s="3085"/>
      <c r="B8" s="115" t="s">
        <v>2626</v>
      </c>
      <c r="C8" s="2535"/>
      <c r="D8" s="943" t="s">
        <v>89</v>
      </c>
      <c r="E8" s="944" t="e">
        <f>ROUND(C11/E7,4)</f>
        <v>#DIV/0!</v>
      </c>
      <c r="F8" s="2536" t="s">
        <v>2627</v>
      </c>
      <c r="G8" s="2537"/>
      <c r="H8" s="2537"/>
      <c r="I8" s="2537"/>
      <c r="J8" s="2538"/>
      <c r="L8" s="2511" t="s">
        <v>2628</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097" t="s">
        <v>2629</v>
      </c>
      <c r="X8" s="3098"/>
      <c r="Y8" s="1714" t="s">
        <v>2630</v>
      </c>
      <c r="Z8" s="1714" t="s">
        <v>2631</v>
      </c>
      <c r="AA8" s="1714" t="s">
        <v>2632</v>
      </c>
      <c r="AB8" s="1714" t="s">
        <v>2633</v>
      </c>
      <c r="AC8" s="1714" t="s">
        <v>2634</v>
      </c>
      <c r="AD8" s="1714" t="s">
        <v>2635</v>
      </c>
      <c r="AE8" s="1714" t="s">
        <v>2636</v>
      </c>
      <c r="AF8" s="1714" t="s">
        <v>2637</v>
      </c>
      <c r="AG8" s="1714" t="s">
        <v>2638</v>
      </c>
      <c r="AH8" s="1714" t="s">
        <v>2639</v>
      </c>
      <c r="AI8" s="1714" t="s">
        <v>2640</v>
      </c>
      <c r="AJ8" s="1714" t="s">
        <v>2641</v>
      </c>
    </row>
    <row r="9" spans="1:36" ht="15">
      <c r="A9" s="3085"/>
      <c r="B9" s="115" t="s">
        <v>2642</v>
      </c>
      <c r="C9" s="945">
        <f>SUMIF(修正!C59:C119,C8,修正!E59:E119)</f>
        <v>0</v>
      </c>
      <c r="D9" s="117" t="s">
        <v>90</v>
      </c>
      <c r="E9" s="117" t="e">
        <f>ROUND(C11/E7,4)</f>
        <v>#DIV/0!</v>
      </c>
      <c r="F9" s="2536" t="s">
        <v>2643</v>
      </c>
      <c r="G9" s="2537"/>
      <c r="H9" s="2537"/>
      <c r="I9" s="2537"/>
      <c r="J9" s="2538"/>
      <c r="L9" s="2511" t="s">
        <v>2644</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099" t="s">
        <v>2645</v>
      </c>
      <c r="X9" s="1715" t="s">
        <v>2646</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85"/>
      <c r="B10" s="115" t="s">
        <v>2647</v>
      </c>
      <c r="C10" s="117">
        <f>SUMIF(修正!C59:C119,C8,修正!F59:F119)</f>
        <v>0</v>
      </c>
      <c r="D10" s="117" t="s">
        <v>91</v>
      </c>
      <c r="E10" s="117" t="e">
        <f>ROUND(C11/E7,4)</f>
        <v>#DIV/0!</v>
      </c>
      <c r="F10" s="2536" t="s">
        <v>2648</v>
      </c>
      <c r="G10" s="2537"/>
      <c r="H10" s="2537"/>
      <c r="I10" s="2537"/>
      <c r="J10" s="2538"/>
      <c r="L10" s="2511" t="s">
        <v>2649</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099"/>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85"/>
      <c r="B11" s="2539" t="s">
        <v>2650</v>
      </c>
      <c r="C11" s="946">
        <f>C10/4</f>
        <v>0</v>
      </c>
      <c r="D11" s="946" t="s">
        <v>92</v>
      </c>
      <c r="E11" s="946" t="e">
        <f>ROUND(C11/E7,4)</f>
        <v>#DIV/0!</v>
      </c>
      <c r="F11" s="2540" t="s">
        <v>2651</v>
      </c>
      <c r="G11" s="2541"/>
      <c r="H11" s="2541"/>
      <c r="I11" s="2541"/>
      <c r="J11" s="2542"/>
      <c r="L11" s="2511" t="s">
        <v>2652</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099" t="s">
        <v>2653</v>
      </c>
      <c r="X11" s="1719" t="s">
        <v>2654</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84" t="str">
        <f>IF(E2="住宅",2,"")</f>
        <v/>
      </c>
      <c r="B12" s="2543" t="s">
        <v>2655</v>
      </c>
      <c r="C12" s="942">
        <f>ROUND(C15*D15*E15*F15*G15*H15*I15*J15,4)</f>
        <v>1.32</v>
      </c>
      <c r="D12" s="2544" t="s">
        <v>2656</v>
      </c>
      <c r="E12" s="2545"/>
      <c r="F12" s="2545"/>
      <c r="G12" s="2546"/>
      <c r="H12" s="2546"/>
      <c r="I12" s="2546"/>
      <c r="J12" s="2547"/>
      <c r="L12" s="2548" t="s">
        <v>2657</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099"/>
      <c r="X12" s="1721" t="s">
        <v>2658</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04"/>
      <c r="B13" s="2549" t="s">
        <v>2659</v>
      </c>
      <c r="C13" s="2550" t="s">
        <v>2660</v>
      </c>
      <c r="D13" s="2551" t="s">
        <v>2661</v>
      </c>
      <c r="E13" s="2551" t="s">
        <v>2662</v>
      </c>
      <c r="F13" s="20" t="s">
        <v>2663</v>
      </c>
      <c r="G13" s="2552" t="s">
        <v>2664</v>
      </c>
      <c r="H13" s="2552" t="s">
        <v>2664</v>
      </c>
      <c r="I13" s="2552" t="s">
        <v>2664</v>
      </c>
      <c r="J13" s="2553" t="s">
        <v>2664</v>
      </c>
      <c r="L13" s="1459"/>
      <c r="M13" s="1459"/>
      <c r="N13" s="1459"/>
      <c r="O13" s="1459"/>
      <c r="P13" s="1459"/>
      <c r="Q13" s="1459"/>
      <c r="R13" s="1706">
        <v>12</v>
      </c>
      <c r="S13" s="1707"/>
      <c r="T13" s="1706" t="e">
        <f t="shared" si="0"/>
        <v>#DIV/0!</v>
      </c>
      <c r="U13" s="1707"/>
      <c r="V13" s="1706" t="e">
        <f t="shared" si="1"/>
        <v>#DIV/0!</v>
      </c>
      <c r="W13" s="3099"/>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104"/>
      <c r="B14" s="2554"/>
      <c r="C14" s="2555" t="s">
        <v>2665</v>
      </c>
      <c r="D14" s="2556" t="s">
        <v>2666</v>
      </c>
      <c r="E14" s="2556" t="s">
        <v>2666</v>
      </c>
      <c r="F14" s="2557" t="s">
        <v>2667</v>
      </c>
      <c r="G14" s="2558" t="s">
        <v>2668</v>
      </c>
      <c r="H14" s="2559"/>
      <c r="I14" s="2560"/>
      <c r="J14" s="2561"/>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105"/>
      <c r="B15" s="2562" t="s">
        <v>2669</v>
      </c>
      <c r="C15" s="150">
        <f>IF(C14="有",1.1,1)</f>
        <v>1.1000000000000001</v>
      </c>
      <c r="D15" s="150">
        <f>IF(D14="有",1.1,1)</f>
        <v>1</v>
      </c>
      <c r="E15" s="150">
        <f>IF(E14="有",1.1,1)</f>
        <v>1</v>
      </c>
      <c r="F15" s="150">
        <f>IF(F14="500米范围内",1.2,IF(F14="500-1000米",1.1,1))</f>
        <v>1.2</v>
      </c>
      <c r="G15" s="974">
        <v>1</v>
      </c>
      <c r="H15" s="974">
        <v>1</v>
      </c>
      <c r="I15" s="974">
        <v>1</v>
      </c>
      <c r="J15" s="975">
        <v>1</v>
      </c>
      <c r="L15" s="2563" t="s">
        <v>2670</v>
      </c>
      <c r="M15" s="943" t="s">
        <v>2671</v>
      </c>
      <c r="N15" s="943" t="s">
        <v>2672</v>
      </c>
      <c r="O15" s="943" t="s">
        <v>2673</v>
      </c>
      <c r="P15" s="2564" t="s">
        <v>2674</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84" t="b">
        <f>IF(E2="办公",2,IF(E2="工业",2,IF(E2="住宅",3,IF(E2="商业",IF(C8="不临58条商业街",2,3)))))</f>
        <v>0</v>
      </c>
      <c r="B16" s="2530" t="s">
        <v>2675</v>
      </c>
      <c r="C16" s="1881" t="e">
        <f>ROUND(SUM(G17:J17)/C17,0)</f>
        <v>#DIV/0!</v>
      </c>
      <c r="D16" s="2565" t="s">
        <v>2676</v>
      </c>
      <c r="E16" s="2566"/>
      <c r="F16" s="2567"/>
      <c r="G16" s="2568"/>
      <c r="H16" s="2568"/>
      <c r="I16" s="2568"/>
      <c r="J16" s="2569"/>
      <c r="L16" s="1457" t="s">
        <v>2677</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85"/>
      <c r="B17" s="2570" t="s">
        <v>2678</v>
      </c>
      <c r="C17" s="947">
        <f>SUMPRODUCT((修正!A2:A5=E2)*(修正!B1:M1=G2)*(修正!B2:M5))</f>
        <v>0</v>
      </c>
      <c r="D17" s="2571" t="s">
        <v>2679</v>
      </c>
      <c r="E17" s="946" t="str">
        <f>IF(OR(G2="八级",G2="九级",G2="十级",G2="十一级",G2="十二级"),"五通一平","七通一平")</f>
        <v>七通一平</v>
      </c>
      <c r="F17" s="947" t="s">
        <v>2680</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2681</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4"/>
      <c r="AH17" s="2504"/>
      <c r="AI17" s="2504"/>
      <c r="AJ17" s="2504"/>
    </row>
    <row r="18" spans="1:37" s="2522" customFormat="1" ht="15.75" thickBot="1">
      <c r="A18" s="2572" t="s">
        <v>2682</v>
      </c>
      <c r="B18" s="2573" t="s">
        <v>2683</v>
      </c>
      <c r="C18" s="949">
        <f>SUMIF(修正!C18:C39,E3,修正!E18:E39)</f>
        <v>0</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2" customFormat="1" ht="27.75" thickBot="1">
      <c r="A19" s="2572" t="s">
        <v>2684</v>
      </c>
      <c r="B19" s="2573" t="s">
        <v>2685</v>
      </c>
      <c r="C19" s="950" t="e">
        <f>ROUND(IF(H19="按公示增长率计算",SUMPRODUCT((地价!A3:A25=YEAR(G19)&amp;"-"&amp;ROUNDUP(MONTH(G19)/3,0))*(地价!X2:AB2=E2)*(地价!X3:AB25)),IF(H19="地价指数",M20/M19,(1+I19)^O19)),4)</f>
        <v>#DIV/0!</v>
      </c>
      <c r="D19" s="2581" t="s">
        <v>2686</v>
      </c>
      <c r="E19" s="951">
        <v>41640</v>
      </c>
      <c r="F19" s="2581" t="s">
        <v>2687</v>
      </c>
      <c r="G19" s="952">
        <f>'数据-取费表'!B2</f>
        <v>43465</v>
      </c>
      <c r="H19" s="2582" t="s">
        <v>2688</v>
      </c>
      <c r="I19" s="953" t="str">
        <f>IF(H19="季度增幅（自定义）",SUMIF(N21:N24,E2,O21:O24),"")</f>
        <v/>
      </c>
      <c r="J19" s="2578"/>
      <c r="K19" s="2579"/>
      <c r="L19" s="2583" t="s">
        <v>2689</v>
      </c>
      <c r="M19" s="1823">
        <f>ROUND(SUMIF(地价!B2:F2,E2,地价!B25:F25),0)</f>
        <v>0</v>
      </c>
      <c r="N19" s="1463" t="s">
        <v>2690</v>
      </c>
      <c r="O19" s="954">
        <f>ROUNDDOWN(DATEDIF(E19,G19,"M")/3,0)</f>
        <v>19</v>
      </c>
      <c r="P19" s="1460"/>
      <c r="R19" s="1459"/>
      <c r="S19" s="1459"/>
      <c r="T19" s="1459"/>
      <c r="U19" s="1459"/>
      <c r="V19" s="1459"/>
      <c r="W19" s="1459"/>
      <c r="X19" s="1459"/>
      <c r="Y19" s="1459"/>
      <c r="Z19" s="1459"/>
      <c r="AA19" s="1459"/>
      <c r="AB19" s="1459"/>
      <c r="AC19" s="1459"/>
      <c r="AD19" s="1459"/>
      <c r="AE19" s="2579"/>
      <c r="AF19" s="2584"/>
      <c r="AG19" s="2585"/>
      <c r="AH19" s="2580"/>
      <c r="AI19" s="2586"/>
      <c r="AJ19" s="2586"/>
      <c r="AK19" s="2586"/>
    </row>
    <row r="20" spans="1:37" s="2522" customFormat="1" ht="27.75" thickBot="1">
      <c r="A20" s="2587" t="s">
        <v>2691</v>
      </c>
      <c r="B20" s="2588" t="s">
        <v>2692</v>
      </c>
      <c r="C20" s="955" t="e">
        <f>ROUND(POWER(1+G20,J20-I20)*(POWER(1+G20,I20)-1)/(POWER(1+G20,J20)-1),4)</f>
        <v>#DIV/0!</v>
      </c>
      <c r="D20" s="2589" t="s">
        <v>2693</v>
      </c>
      <c r="E20" s="1853">
        <f ca="1">存贷款利率!D4/100</f>
        <v>4.3499999999999997E-2</v>
      </c>
      <c r="F20" s="2589" t="s">
        <v>2681</v>
      </c>
      <c r="G20" s="961">
        <f>SUMIF(M15:P15,E2,M17:P17)</f>
        <v>0</v>
      </c>
      <c r="H20" s="2589" t="s">
        <v>2694</v>
      </c>
      <c r="I20" s="962">
        <f>'数据-取费表'!B13</f>
        <v>34.26</v>
      </c>
      <c r="J20" s="963">
        <f>IF(E2="住宅",70,IF(E2="商业",40,50))</f>
        <v>50</v>
      </c>
      <c r="K20" s="2579"/>
      <c r="L20" s="2590" t="s">
        <v>2695</v>
      </c>
      <c r="M20" s="1824">
        <f>ROUND(SUMPRODUCT((地价!A4:A25=YEAR(G19)&amp;"-"&amp;ROUNDUP(MONTH(G19)/3,0))*(地价!B2:F2=E2)*(地价!B4:F25)),0)</f>
        <v>0</v>
      </c>
      <c r="N20" s="2591" t="s">
        <v>2696</v>
      </c>
      <c r="O20" s="2592" t="s">
        <v>2697</v>
      </c>
      <c r="P20" s="2593" t="s">
        <v>2698</v>
      </c>
      <c r="R20" s="1459"/>
      <c r="S20" s="1459"/>
      <c r="T20" s="1459"/>
      <c r="U20" s="1459"/>
      <c r="V20" s="1459"/>
      <c r="W20" s="1459"/>
      <c r="X20" s="1459"/>
      <c r="Y20" s="1459"/>
      <c r="Z20" s="1459"/>
      <c r="AA20" s="1459"/>
      <c r="AB20" s="1459"/>
      <c r="AC20" s="1459"/>
      <c r="AD20" s="1459"/>
      <c r="AE20" s="2579"/>
      <c r="AF20" s="2579"/>
    </row>
    <row r="21" spans="1:37" s="2522" customFormat="1" ht="14.25">
      <c r="A21" s="2594" t="s">
        <v>2699</v>
      </c>
      <c r="B21" s="2595" t="s">
        <v>2700</v>
      </c>
      <c r="C21" s="964" t="b">
        <f>IF(B21="容积率修正",IF(G3&lt;=10,D22,J22),C23)</f>
        <v>0</v>
      </c>
      <c r="D21" s="2596"/>
      <c r="E21" s="2596"/>
      <c r="F21" s="2596"/>
      <c r="G21" s="2596"/>
      <c r="H21" s="2596"/>
      <c r="I21" s="2596"/>
      <c r="J21" s="2597"/>
      <c r="K21" s="2579"/>
      <c r="N21" s="2598" t="s">
        <v>2701</v>
      </c>
      <c r="O21" s="1661"/>
      <c r="P21" s="1662">
        <f>SUMPRODUCT((地价!A3:A25=YEAR(G19)&amp;"-"&amp;ROUNDUP(MONTH(G19)/3,0))*(地价!AD2:AH2=N21)*(地价!AD3:AH25))</f>
        <v>1.5800000000000002E-2</v>
      </c>
      <c r="R21" s="1459"/>
      <c r="S21" s="1459"/>
      <c r="T21" s="1459"/>
      <c r="U21" s="1459"/>
      <c r="V21" s="1459"/>
      <c r="W21" s="1459"/>
      <c r="X21" s="1459"/>
      <c r="Y21" s="1459"/>
      <c r="Z21" s="1459"/>
      <c r="AA21" s="1459"/>
      <c r="AB21" s="1459"/>
      <c r="AC21" s="1459"/>
      <c r="AD21" s="1459"/>
      <c r="AE21" s="2579"/>
      <c r="AF21" s="2579"/>
    </row>
    <row r="22" spans="1:37" s="2522" customFormat="1" ht="14.25">
      <c r="A22" s="2599">
        <v>1</v>
      </c>
      <c r="B22" s="2600" t="s">
        <v>2702</v>
      </c>
      <c r="C22" s="1895" t="s">
        <v>2703</v>
      </c>
      <c r="D22" s="1895" t="b">
        <f>IF(E22=G22,F22,IF(G3&lt;=10,ROUND(F22+(H22-F22)*(G3-E22)/(G22-E22),4),"——"))</f>
        <v>0</v>
      </c>
      <c r="E22" s="940">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5" t="str">
        <f>IF(G3&gt;10,D113,"——")</f>
        <v>——</v>
      </c>
      <c r="K22" s="2579"/>
      <c r="N22" s="2598" t="s">
        <v>2704</v>
      </c>
      <c r="O22" s="1661"/>
      <c r="P22" s="1662">
        <f>SUMPRODUCT((地价!A3:A25=YEAR(G19)&amp;"-"&amp;ROUNDUP(MONTH(G19)/3,0))*(地价!AD2:AH2=N22)*(地价!AD3:AH25))</f>
        <v>1.5800000000000002E-2</v>
      </c>
      <c r="R22" s="1459"/>
      <c r="S22" s="1459"/>
      <c r="T22" s="1459"/>
      <c r="U22" s="1459"/>
      <c r="V22" s="1459"/>
      <c r="W22" s="1459"/>
      <c r="X22" s="1459"/>
      <c r="Y22" s="1459"/>
      <c r="Z22" s="1459"/>
      <c r="AA22" s="1459"/>
      <c r="AB22" s="1459"/>
      <c r="AC22" s="1459"/>
      <c r="AD22" s="1459"/>
      <c r="AE22" s="2579"/>
      <c r="AF22" s="2579"/>
    </row>
    <row r="23" spans="1:37" ht="27">
      <c r="A23" s="2599">
        <v>2</v>
      </c>
      <c r="B23" s="2600" t="s">
        <v>2705</v>
      </c>
      <c r="C23" s="956" t="e">
        <f>ROUND(IF(G3&gt;1,IF(I3&lt;7,SUMPRODUCT((B93:B98=I3)*(C92:N92=G2)*(C93:N98)),SUMIF(C92:N92,G2,C100:N100)),IF(I3&lt;7,SUMPRODUCT((B102:B107=I3)*(C92:N92=G2)*(C102:N107)),SUMIF(C92:N92,G2,C109:N109))),4)</f>
        <v>#DIV/0!</v>
      </c>
      <c r="D23" s="2559"/>
      <c r="E23" s="2559"/>
      <c r="F23" s="2601"/>
      <c r="G23" s="2602"/>
      <c r="H23" s="2603"/>
      <c r="I23" s="2604"/>
      <c r="J23" s="2605"/>
      <c r="N23" s="2598" t="s">
        <v>2706</v>
      </c>
      <c r="O23" s="1661"/>
      <c r="P23" s="1662">
        <f>SUMPRODUCT((地价!A3:A25=YEAR(G19)&amp;"-"&amp;ROUNDUP(MONTH(G19)/3,0))*(地价!AD2:AH2=N23)*(地价!AD3:AH25))</f>
        <v>2.4500000000000001E-2</v>
      </c>
      <c r="R23" s="1459"/>
      <c r="S23" s="1459"/>
      <c r="T23" s="1459"/>
      <c r="U23" s="1459"/>
      <c r="V23" s="1459"/>
      <c r="W23" s="1459"/>
      <c r="X23" s="1459"/>
      <c r="Y23" s="1459"/>
      <c r="Z23" s="1459"/>
      <c r="AA23" s="1459"/>
      <c r="AB23" s="1459"/>
      <c r="AC23" s="1459"/>
      <c r="AD23" s="1459"/>
      <c r="AE23" s="1460"/>
      <c r="AF23" s="1460"/>
      <c r="AK23" s="2580"/>
    </row>
    <row r="24" spans="1:37" s="2522" customFormat="1" ht="15.75" thickBot="1">
      <c r="A24" s="2606" t="s">
        <v>2707</v>
      </c>
      <c r="B24" s="2607" t="s">
        <v>2708</v>
      </c>
      <c r="C24" s="966">
        <f>SUMIF(A46:A88,E2,B46:B88)</f>
        <v>0</v>
      </c>
      <c r="D24" s="2608"/>
      <c r="E24" s="2609"/>
      <c r="F24" s="2609"/>
      <c r="G24" s="2609"/>
      <c r="H24" s="2609"/>
      <c r="I24" s="2609"/>
      <c r="J24" s="2610"/>
      <c r="K24" s="2579"/>
      <c r="N24" s="2611" t="s">
        <v>2709</v>
      </c>
      <c r="O24" s="1663"/>
      <c r="P24" s="1664">
        <f>SUMPRODUCT((地价!A3:A25=YEAR(G19)&amp;"-"&amp;ROUNDUP(MONTH(G19)/3,0))*(地价!AD2:AH2=N24)*(地价!AD3:AH25))</f>
        <v>1.49E-2</v>
      </c>
      <c r="R24" s="1459"/>
      <c r="S24" s="1459"/>
      <c r="T24" s="1459"/>
      <c r="U24" s="1459"/>
      <c r="V24" s="1459"/>
      <c r="W24" s="1459"/>
      <c r="X24" s="1459"/>
      <c r="Y24" s="1459"/>
      <c r="Z24" s="1459"/>
      <c r="AA24" s="1459"/>
      <c r="AB24" s="1459"/>
      <c r="AC24" s="1459"/>
      <c r="AD24" s="1459"/>
      <c r="AE24" s="2579"/>
      <c r="AF24" s="2579"/>
    </row>
    <row r="25" spans="1:37" ht="15" thickBot="1">
      <c r="A25" s="2587" t="s">
        <v>2710</v>
      </c>
      <c r="B25" s="2612" t="s">
        <v>2711</v>
      </c>
      <c r="C25" s="957"/>
      <c r="D25" s="2533"/>
      <c r="E25" s="2533"/>
      <c r="F25" s="2613"/>
      <c r="G25" s="2533"/>
      <c r="H25" s="2533"/>
      <c r="I25" s="2533"/>
      <c r="J25" s="2534"/>
      <c r="L25" s="1459"/>
      <c r="M25" s="1459"/>
      <c r="N25" s="2614" t="s">
        <v>2712</v>
      </c>
      <c r="O25" s="1665"/>
      <c r="P25" s="1664">
        <f>SUMPRODUCT((地价!A3:A25=YEAR(G19)&amp;"-"&amp;ROUNDUP(MONTH(G19)/3,0))*(地价!AD2:AH2=N25)*(地价!AD3:AH25))</f>
        <v>2.24E-2</v>
      </c>
      <c r="R25" s="1459"/>
      <c r="S25" s="1459"/>
      <c r="T25" s="1459"/>
      <c r="U25" s="1459"/>
      <c r="V25" s="1459"/>
      <c r="W25" s="1459"/>
      <c r="X25" s="1459"/>
      <c r="Y25" s="1459"/>
      <c r="Z25" s="1459"/>
      <c r="AA25" s="1459"/>
      <c r="AB25" s="1459"/>
      <c r="AC25" s="1459"/>
      <c r="AD25" s="1459"/>
      <c r="AE25" s="1460"/>
      <c r="AF25" s="1460"/>
    </row>
    <row r="26" spans="1:37" ht="15">
      <c r="A26" s="2615"/>
      <c r="B26" s="2600" t="s">
        <v>2713</v>
      </c>
      <c r="C26" s="123" t="e">
        <f>E29+SUM(E33:E39)</f>
        <v>#DIV/0!</v>
      </c>
      <c r="D26" s="2616"/>
      <c r="E26" s="2559"/>
      <c r="F26" s="2617"/>
      <c r="G26" s="2559"/>
      <c r="H26" s="2559"/>
      <c r="I26" s="2559"/>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2714</v>
      </c>
      <c r="C27" s="958" t="e">
        <f>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2715</v>
      </c>
      <c r="C28" s="2625" t="s">
        <v>2716</v>
      </c>
      <c r="D28" s="2625" t="s">
        <v>2717</v>
      </c>
      <c r="E28" s="2626" t="s">
        <v>2718</v>
      </c>
      <c r="F28" s="2627"/>
      <c r="G28" s="2546"/>
      <c r="H28" s="2546"/>
      <c r="I28" s="2546"/>
      <c r="J28" s="2547"/>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2719</v>
      </c>
      <c r="C29" s="123" t="e">
        <f>ROUND(C5*C18*C19*C20*C21*C24,0)</f>
        <v>#DIV/0!</v>
      </c>
      <c r="D29" s="2630"/>
      <c r="E29" s="970" t="e">
        <f>ROUND(C29*D29,0)</f>
        <v>#DIV/0!</v>
      </c>
      <c r="F29" s="2631" t="s">
        <v>2720</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4"/>
      <c r="AH29" s="2504"/>
      <c r="AI29" s="2504"/>
      <c r="AJ29" s="2504"/>
    </row>
    <row r="30" spans="1:37" ht="25.5" thickBot="1">
      <c r="A30" s="2634"/>
      <c r="B30" s="2635" t="s">
        <v>2721</v>
      </c>
      <c r="C30" s="150" t="e">
        <f>ROUND(IF(E2="工业",C29*M39,C29*M38),0)</f>
        <v>#DIV/0!</v>
      </c>
      <c r="D30" s="2636"/>
      <c r="E30" s="970" t="e">
        <f>ROUND(C30*D30,0)</f>
        <v>#DIV/0!</v>
      </c>
      <c r="F30" s="2637" t="s">
        <v>2722</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4"/>
      <c r="AH30" s="2504"/>
      <c r="AI30" s="2504"/>
      <c r="AJ30" s="2504"/>
    </row>
    <row r="31" spans="1:37">
      <c r="A31" s="2640"/>
      <c r="B31" s="2641" t="s">
        <v>2723</v>
      </c>
      <c r="C31" s="2642" t="s">
        <v>2724</v>
      </c>
      <c r="D31" s="2546"/>
      <c r="E31" s="2642"/>
      <c r="F31" s="2642"/>
      <c r="G31" s="2544" t="s">
        <v>2725</v>
      </c>
      <c r="H31" s="2546"/>
      <c r="I31" s="2643"/>
      <c r="J31" s="2547"/>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4"/>
      <c r="AH31" s="2504"/>
      <c r="AI31" s="2504"/>
      <c r="AJ31" s="2504"/>
    </row>
    <row r="32" spans="1:37" ht="24">
      <c r="A32" s="2628"/>
      <c r="B32" s="2644"/>
      <c r="C32" s="482" t="s">
        <v>2716</v>
      </c>
      <c r="D32" s="479" t="s">
        <v>2717</v>
      </c>
      <c r="E32" s="479" t="s">
        <v>2718</v>
      </c>
      <c r="F32" s="367" t="s">
        <v>2726</v>
      </c>
      <c r="G32" s="956" t="s">
        <v>2716</v>
      </c>
      <c r="H32" s="956" t="s">
        <v>2717</v>
      </c>
      <c r="I32" s="956" t="s">
        <v>2718</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4"/>
      <c r="AH32" s="2504"/>
      <c r="AI32" s="2504"/>
      <c r="AJ32" s="2504"/>
    </row>
    <row r="33" spans="1:37">
      <c r="A33" s="3094" t="s">
        <v>2727</v>
      </c>
      <c r="B33" s="2645" t="s">
        <v>2728</v>
      </c>
      <c r="C33" s="123" t="e">
        <f>ROUND(D5*C19*C20*C24*F33,0)</f>
        <v>#DIV/0!</v>
      </c>
      <c r="D33" s="2630"/>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95"/>
      <c r="B34" s="2550" t="s">
        <v>2729</v>
      </c>
      <c r="C34" s="123" t="e">
        <f>ROUND(D5*C19*C20*C24*F34,0)</f>
        <v>#DIV/0!</v>
      </c>
      <c r="D34" s="2630"/>
      <c r="E34" s="117" t="e">
        <f t="shared" si="6"/>
        <v>#DIV/0!</v>
      </c>
      <c r="F34" s="117">
        <f>SUMIF(修正!A45:A56,G2,修正!C45:C56)</f>
        <v>0.5</v>
      </c>
      <c r="G34" s="117" t="e">
        <f>ROUND(IF(E2="工业",C34*$M$39,C34*$M$38),0)</f>
        <v>#DIV/0!</v>
      </c>
      <c r="H34" s="117">
        <f t="shared" ref="H34:H39" si="9">D34</f>
        <v>0</v>
      </c>
      <c r="I34" s="117" t="e">
        <f t="shared" si="8"/>
        <v>#DIV/0!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95"/>
      <c r="B35" s="2550" t="s">
        <v>2730</v>
      </c>
      <c r="C35" s="123" t="e">
        <f>ROUND(D5*C19*C20*C24*F35,0)</f>
        <v>#DIV/0!</v>
      </c>
      <c r="D35" s="2630"/>
      <c r="E35" s="117" t="e">
        <f t="shared" si="6"/>
        <v>#DIV/0!</v>
      </c>
      <c r="F35" s="117">
        <f>SUMIF(修正!A45:A56,G2,修正!D45:D56)</f>
        <v>0.36</v>
      </c>
      <c r="G35" s="117" t="e">
        <f>ROUND(IF(E2="工业",C35*$M$39,C35*$M$38),0)</f>
        <v>#DIV/0!</v>
      </c>
      <c r="H35" s="117">
        <f t="shared" si="9"/>
        <v>0</v>
      </c>
      <c r="I35" s="117" t="e">
        <f t="shared" si="8"/>
        <v>#DIV/0!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6"/>
      <c r="B36" s="2550" t="s">
        <v>2731</v>
      </c>
      <c r="C36" s="123" t="e">
        <f>ROUND(D5*C19*C20*C24*F36,0)</f>
        <v>#DIV/0!</v>
      </c>
      <c r="D36" s="2630"/>
      <c r="E36" s="117" t="e">
        <f t="shared" si="6"/>
        <v>#DIV/0!</v>
      </c>
      <c r="F36" s="117">
        <f>SUMIF(修正!A45:A56,G2,修正!E45:E56)</f>
        <v>0.3</v>
      </c>
      <c r="G36" s="117" t="e">
        <f>ROUND(IF(E2="工业",C36*$M$39,C36*$M$38),0)</f>
        <v>#DIV/0!</v>
      </c>
      <c r="H36" s="117">
        <f t="shared" si="9"/>
        <v>0</v>
      </c>
      <c r="I36" s="117" t="e">
        <f t="shared" si="8"/>
        <v>#DIV/0!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0" t="s">
        <v>2732</v>
      </c>
      <c r="C37" s="117" t="e">
        <f>ROUND(D5*C19*C20*C24*F37,0)</f>
        <v>#DIV/0!</v>
      </c>
      <c r="D37" s="2630"/>
      <c r="E37" s="117" t="e">
        <f t="shared" si="6"/>
        <v>#DIV/0!</v>
      </c>
      <c r="F37" s="123">
        <f>SUMIF(修正!A45:A56,G2,修正!F45:F56)</f>
        <v>0.3</v>
      </c>
      <c r="G37" s="117" t="e">
        <f>ROUND(IF(E2="工业",C37*$M$39,C37*$M$38),0)</f>
        <v>#DIV/0!</v>
      </c>
      <c r="H37" s="117">
        <f t="shared" si="9"/>
        <v>0</v>
      </c>
      <c r="I37" s="117" t="e">
        <f t="shared" si="8"/>
        <v>#DIV/0!</v>
      </c>
      <c r="J37" s="2646"/>
      <c r="L37" s="2649" t="s">
        <v>2733</v>
      </c>
      <c r="M37" s="2534"/>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0" t="s">
        <v>2734</v>
      </c>
      <c r="C38" s="117" t="e">
        <f>ROUND(D5*C19*C41*C24*F38,0)</f>
        <v>#DIV/0!</v>
      </c>
      <c r="D38" s="2630"/>
      <c r="E38" s="117" t="e">
        <f t="shared" si="6"/>
        <v>#DIV/0!</v>
      </c>
      <c r="F38" s="123">
        <f>SUMIF(修正!A45:A56,G2,修正!G45:G56)</f>
        <v>0.3</v>
      </c>
      <c r="G38" s="117" t="e">
        <f>ROUND(IF(E2="工业",C38*$M$39,C38*$M$38),0)</f>
        <v>#DIV/0!</v>
      </c>
      <c r="H38" s="117">
        <f t="shared" si="9"/>
        <v>0</v>
      </c>
      <c r="I38" s="117" t="e">
        <f t="shared" si="8"/>
        <v>#DIV/0!</v>
      </c>
      <c r="J38" s="2646"/>
      <c r="L38" s="2650" t="s">
        <v>2735</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2736</v>
      </c>
      <c r="C39" s="150" t="e">
        <f>ROUND(D5*C19*C41*C24*F39,0)</f>
        <v>#DIV/0!</v>
      </c>
      <c r="D39" s="2636"/>
      <c r="E39" s="150" t="e">
        <f t="shared" si="6"/>
        <v>#DIV/0!</v>
      </c>
      <c r="F39" s="959">
        <f>SUMIF(修正!A45:A56,G2,修正!H45:H56)</f>
        <v>0.25</v>
      </c>
      <c r="G39" s="150" t="e">
        <f>ROUND(IF(E2="工业",C39*$M$39,C39*$M$38),0)</f>
        <v>#DIV/0!</v>
      </c>
      <c r="H39" s="150">
        <f t="shared" si="9"/>
        <v>0</v>
      </c>
      <c r="I39" s="150" t="e">
        <f t="shared" si="8"/>
        <v>#DIV/0!</v>
      </c>
      <c r="J39" s="2653"/>
      <c r="L39" s="2654" t="s">
        <v>2674</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728" t="s">
        <v>2820</v>
      </c>
      <c r="C41" s="367" t="e">
        <f>ROUND(POWER(1+E41,H41-G41)*(POWER(1+E41,G41)-1)/(POWER(1+E41,H41)-1),4)</f>
        <v>#DIV/0!</v>
      </c>
      <c r="D41" s="117" t="s">
        <v>2818</v>
      </c>
      <c r="E41" s="826">
        <f>G20</f>
        <v>0</v>
      </c>
      <c r="F41" s="117" t="s">
        <v>2819</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2737</v>
      </c>
      <c r="B45" s="2660"/>
      <c r="C45" s="9"/>
      <c r="D45" s="9"/>
      <c r="E45" s="9"/>
      <c r="F45" s="7"/>
      <c r="G45" s="9"/>
      <c r="H45" s="7"/>
      <c r="I45" s="9"/>
      <c r="J45" s="9"/>
      <c r="K45" s="9"/>
      <c r="L45" s="9"/>
      <c r="M45" s="9"/>
      <c r="N45" s="2502"/>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2738</v>
      </c>
      <c r="B46" s="2662">
        <f>1+E48</f>
        <v>1</v>
      </c>
      <c r="C46" s="2663"/>
      <c r="D46" s="816"/>
      <c r="E46" s="817"/>
      <c r="F46" s="2664"/>
      <c r="G46" s="7"/>
      <c r="H46" s="9"/>
      <c r="I46" s="9"/>
      <c r="J46" s="9"/>
      <c r="K46" s="9"/>
      <c r="L46" s="9"/>
      <c r="M46" s="2502"/>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2739</v>
      </c>
      <c r="B47" s="822" t="s">
        <v>2740</v>
      </c>
      <c r="C47" s="822" t="s">
        <v>2741</v>
      </c>
      <c r="D47" s="822" t="s">
        <v>2742</v>
      </c>
      <c r="E47" s="823" t="s">
        <v>2743</v>
      </c>
      <c r="F47" s="2667" t="s">
        <v>2744</v>
      </c>
      <c r="G47" s="822" t="s">
        <v>2745</v>
      </c>
      <c r="H47" s="2668" t="s">
        <v>2746</v>
      </c>
      <c r="I47" s="822" t="s">
        <v>2747</v>
      </c>
      <c r="J47" s="587" t="s">
        <v>2748</v>
      </c>
      <c r="K47" s="587" t="s">
        <v>2749</v>
      </c>
      <c r="L47" s="587" t="s">
        <v>2750</v>
      </c>
      <c r="M47" s="587" t="s">
        <v>2751</v>
      </c>
      <c r="N47" s="587" t="s">
        <v>2752</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38.25">
      <c r="A48" s="2666" t="s">
        <v>2753</v>
      </c>
      <c r="B48" s="2669" t="str">
        <f>估价对象房地状况!C16</f>
        <v>估价对象位于XX商圈，周边商业氛围成熟，人流量大，商业繁华度好</v>
      </c>
      <c r="C48" s="2556"/>
      <c r="D48" s="1373">
        <f t="shared" ref="D48:D56" si="10">SUMIF($J$47:$N$47,C48,J48:N48)</f>
        <v>0</v>
      </c>
      <c r="E48" s="828">
        <f>ROUND(SUM(D48:D56),4)</f>
        <v>0</v>
      </c>
      <c r="F48" s="2275"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51">
      <c r="A49" s="2666" t="s">
        <v>2754</v>
      </c>
      <c r="B49" s="2670" t="str">
        <f>估价对象房地状况!C18</f>
        <v>估价对象周边道路状况、公共交通通达情况、停车便捷程度，综合评价交通便捷度较好</v>
      </c>
      <c r="C49" s="2556"/>
      <c r="D49" s="1373">
        <f t="shared" si="10"/>
        <v>0</v>
      </c>
      <c r="E49" s="831"/>
      <c r="F49" s="2275"/>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2755</v>
      </c>
      <c r="B50" s="2670">
        <f>估价对象房地状况!C19</f>
        <v>0</v>
      </c>
      <c r="C50" s="2556"/>
      <c r="D50" s="1373">
        <f t="shared" si="10"/>
        <v>0</v>
      </c>
      <c r="E50" s="831"/>
      <c r="F50" s="2275"/>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2756</v>
      </c>
      <c r="B51" s="2671" t="s">
        <v>2757</v>
      </c>
      <c r="C51" s="2556"/>
      <c r="D51" s="1373">
        <f t="shared" si="10"/>
        <v>0</v>
      </c>
      <c r="E51" s="831"/>
      <c r="F51" s="2275"/>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4">
      <c r="A52" s="2666" t="s">
        <v>2758</v>
      </c>
      <c r="B52" s="2670">
        <f>估价对象房地状况!C24</f>
        <v>0</v>
      </c>
      <c r="C52" s="2556"/>
      <c r="D52" s="1373">
        <f t="shared" si="10"/>
        <v>0</v>
      </c>
      <c r="E52" s="831"/>
      <c r="F52" s="2275"/>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2759</v>
      </c>
      <c r="B53" s="2672" t="s">
        <v>2760</v>
      </c>
      <c r="C53" s="2556"/>
      <c r="D53" s="1373">
        <f t="shared" si="10"/>
        <v>0</v>
      </c>
      <c r="E53" s="831"/>
      <c r="F53" s="2275"/>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25.5">
      <c r="A54" s="2673" t="s">
        <v>2761</v>
      </c>
      <c r="B54" s="2674" t="str">
        <f>估价对象房地状况!C21</f>
        <v>估价对象所在区域公共配套设施齐备情况</v>
      </c>
      <c r="C54" s="2556"/>
      <c r="D54" s="1373">
        <f t="shared" si="10"/>
        <v>0</v>
      </c>
      <c r="E54" s="831"/>
      <c r="F54" s="2275"/>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5.5">
      <c r="A55" s="2673" t="s">
        <v>2762</v>
      </c>
      <c r="B55" s="2670" t="str">
        <f>估价对象房地状况!C22</f>
        <v>估价对象所在区域基础设施水平</v>
      </c>
      <c r="C55" s="2556"/>
      <c r="D55" s="1373">
        <f t="shared" si="10"/>
        <v>0</v>
      </c>
      <c r="E55" s="831"/>
      <c r="F55" s="2275"/>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39" thickBot="1">
      <c r="A56" s="2675" t="s">
        <v>2763</v>
      </c>
      <c r="B56" s="2676" t="str">
        <f>估价对象房地状况!C20</f>
        <v>区域自然环境：；人文环境；综合评价环境状况一般</v>
      </c>
      <c r="C56" s="2556"/>
      <c r="D56" s="1373">
        <f t="shared" si="10"/>
        <v>0</v>
      </c>
      <c r="E56" s="837"/>
      <c r="F56" s="2275"/>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2764</v>
      </c>
      <c r="B57" s="2677">
        <f>1+E59</f>
        <v>1</v>
      </c>
      <c r="C57" s="816"/>
      <c r="D57" s="816"/>
      <c r="E57" s="817"/>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2739</v>
      </c>
      <c r="B58" s="2670"/>
      <c r="C58" s="822" t="s">
        <v>2741</v>
      </c>
      <c r="D58" s="822" t="s">
        <v>2742</v>
      </c>
      <c r="E58" s="823" t="s">
        <v>2743</v>
      </c>
      <c r="F58" s="2667" t="s">
        <v>2744</v>
      </c>
      <c r="G58" s="822" t="s">
        <v>2765</v>
      </c>
      <c r="H58" s="2668" t="s">
        <v>2766</v>
      </c>
      <c r="I58" s="822" t="s">
        <v>2767</v>
      </c>
      <c r="J58" s="587" t="s">
        <v>2400</v>
      </c>
      <c r="K58" s="587" t="s">
        <v>2401</v>
      </c>
      <c r="L58" s="587" t="s">
        <v>2402</v>
      </c>
      <c r="M58" s="587" t="s">
        <v>2403</v>
      </c>
      <c r="N58" s="587" t="s">
        <v>2404</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38.25">
      <c r="A59" s="2666" t="s">
        <v>2768</v>
      </c>
      <c r="B59" s="2669" t="str">
        <f>估价对象房地状况!C17</f>
        <v>估价对象位于XX商圈，周边办公楼项目较多，入驻率高，办公集聚程度较好</v>
      </c>
      <c r="C59" s="2556"/>
      <c r="D59" s="1373">
        <f t="shared" ref="D59:D67" si="15">SUMIF($J$58:$N$58,C59,J59:N59)</f>
        <v>0</v>
      </c>
      <c r="E59" s="828">
        <f>ROUND(SUM(D59:D67),4)</f>
        <v>0</v>
      </c>
      <c r="F59" s="2275"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51">
      <c r="A60" s="2666" t="s">
        <v>2754</v>
      </c>
      <c r="B60" s="2670" t="str">
        <f>估价对象房地状况!C18</f>
        <v>估价对象周边道路状况、公共交通通达情况、停车便捷程度，综合评价交通便捷度较好</v>
      </c>
      <c r="C60" s="2556"/>
      <c r="D60" s="1373">
        <f t="shared" si="15"/>
        <v>0</v>
      </c>
      <c r="E60" s="831"/>
      <c r="F60" s="2275"/>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2755</v>
      </c>
      <c r="B61" s="2670">
        <f>估价对象房地状况!C19</f>
        <v>0</v>
      </c>
      <c r="C61" s="2556"/>
      <c r="D61" s="1373">
        <f t="shared" si="15"/>
        <v>0</v>
      </c>
      <c r="E61" s="831"/>
      <c r="F61" s="2275"/>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2756</v>
      </c>
      <c r="B62" s="2671" t="s">
        <v>2757</v>
      </c>
      <c r="C62" s="2556"/>
      <c r="D62" s="1373">
        <f t="shared" si="15"/>
        <v>0</v>
      </c>
      <c r="E62" s="831"/>
      <c r="F62" s="2275"/>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4">
      <c r="A63" s="2666" t="s">
        <v>2758</v>
      </c>
      <c r="B63" s="2670">
        <f>估价对象房地状况!C24</f>
        <v>0</v>
      </c>
      <c r="C63" s="2556"/>
      <c r="D63" s="1373">
        <f t="shared" si="15"/>
        <v>0</v>
      </c>
      <c r="E63" s="831"/>
      <c r="F63" s="2275"/>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2759</v>
      </c>
      <c r="B64" s="2672" t="s">
        <v>2760</v>
      </c>
      <c r="C64" s="2556"/>
      <c r="D64" s="1373">
        <f t="shared" si="15"/>
        <v>0</v>
      </c>
      <c r="E64" s="831"/>
      <c r="F64" s="2275"/>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25.5">
      <c r="A65" s="2666" t="s">
        <v>2761</v>
      </c>
      <c r="B65" s="2674" t="str">
        <f>估价对象房地状况!C21</f>
        <v>估价对象所在区域公共配套设施齐备情况</v>
      </c>
      <c r="C65" s="2556"/>
      <c r="D65" s="1373">
        <f t="shared" si="15"/>
        <v>0</v>
      </c>
      <c r="E65" s="831"/>
      <c r="F65" s="2275"/>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5.5">
      <c r="A66" s="2666" t="s">
        <v>2762</v>
      </c>
      <c r="B66" s="2674" t="str">
        <f>估价对象房地状况!C22</f>
        <v>估价对象所在区域基础设施水平</v>
      </c>
      <c r="C66" s="2556"/>
      <c r="D66" s="1373">
        <f t="shared" si="15"/>
        <v>0</v>
      </c>
      <c r="E66" s="831"/>
      <c r="F66" s="2275"/>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39" thickBot="1">
      <c r="A67" s="2675" t="s">
        <v>2763</v>
      </c>
      <c r="B67" s="2678" t="str">
        <f>估价对象房地状况!C20</f>
        <v>区域自然环境：；人文环境；综合评价环境状况一般</v>
      </c>
      <c r="C67" s="2556"/>
      <c r="D67" s="1373">
        <f t="shared" si="15"/>
        <v>0</v>
      </c>
      <c r="E67" s="837"/>
      <c r="F67" s="2275"/>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2769</v>
      </c>
      <c r="B68" s="2677">
        <f>1+E70</f>
        <v>1</v>
      </c>
      <c r="C68" s="816"/>
      <c r="D68" s="816"/>
      <c r="E68" s="817"/>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2739</v>
      </c>
      <c r="B69" s="2670"/>
      <c r="C69" s="822" t="s">
        <v>2741</v>
      </c>
      <c r="D69" s="822" t="s">
        <v>2742</v>
      </c>
      <c r="E69" s="823" t="s">
        <v>2743</v>
      </c>
      <c r="F69" s="2667" t="s">
        <v>2744</v>
      </c>
      <c r="G69" s="822" t="s">
        <v>2765</v>
      </c>
      <c r="H69" s="2668" t="s">
        <v>2766</v>
      </c>
      <c r="I69" s="822" t="s">
        <v>2767</v>
      </c>
      <c r="J69" s="587" t="s">
        <v>2400</v>
      </c>
      <c r="K69" s="587" t="s">
        <v>2401</v>
      </c>
      <c r="L69" s="587" t="s">
        <v>2402</v>
      </c>
      <c r="M69" s="587" t="s">
        <v>2403</v>
      </c>
      <c r="N69" s="587" t="s">
        <v>2404</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51">
      <c r="A70" s="2666" t="s">
        <v>2770</v>
      </c>
      <c r="B70" s="2669" t="str">
        <f>估价对象房地状况!C15</f>
        <v>估价对象周边居住用地比例、居住小区规模和社区发展完善程度，综合评价居住社区成熟度一般</v>
      </c>
      <c r="C70" s="2556"/>
      <c r="D70" s="1373">
        <f t="shared" ref="D70:D78" si="20">SUMIF($J$69:$N$69,C70,J70:N70)</f>
        <v>0</v>
      </c>
      <c r="E70" s="828">
        <f>ROUND(SUM(D70:D78),4)</f>
        <v>0</v>
      </c>
      <c r="F70" s="2275"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51">
      <c r="A71" s="2666" t="s">
        <v>2754</v>
      </c>
      <c r="B71" s="2670" t="str">
        <f>估价对象房地状况!C18</f>
        <v>估价对象周边道路状况、公共交通通达情况、停车便捷程度，综合评价交通便捷度较好</v>
      </c>
      <c r="C71" s="2556"/>
      <c r="D71" s="1373">
        <f t="shared" si="20"/>
        <v>0</v>
      </c>
      <c r="E71" s="839"/>
      <c r="F71" s="2679"/>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2755</v>
      </c>
      <c r="B72" s="2670">
        <f>估价对象房地状况!C19</f>
        <v>0</v>
      </c>
      <c r="C72" s="2556"/>
      <c r="D72" s="1373">
        <f t="shared" si="20"/>
        <v>0</v>
      </c>
      <c r="E72" s="839"/>
      <c r="F72" s="2679"/>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14.25">
      <c r="A73" s="2666" t="s">
        <v>2771</v>
      </c>
      <c r="B73" s="2670">
        <f>估价对象房地状况!C24</f>
        <v>0</v>
      </c>
      <c r="C73" s="2556"/>
      <c r="D73" s="1373">
        <f t="shared" si="20"/>
        <v>0</v>
      </c>
      <c r="E73" s="839"/>
      <c r="F73" s="2679"/>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25.5">
      <c r="A74" s="2666" t="s">
        <v>2761</v>
      </c>
      <c r="B74" s="2674" t="str">
        <f>估价对象房地状况!C21</f>
        <v>估价对象所在区域公共配套设施齐备情况</v>
      </c>
      <c r="C74" s="2556"/>
      <c r="D74" s="1373">
        <f t="shared" si="20"/>
        <v>0</v>
      </c>
      <c r="E74" s="839"/>
      <c r="F74" s="2679"/>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5.5">
      <c r="A75" s="2666" t="s">
        <v>2762</v>
      </c>
      <c r="B75" s="2674" t="str">
        <f>估价对象房地状况!C22</f>
        <v>估价对象所在区域基础设施水平</v>
      </c>
      <c r="C75" s="2556"/>
      <c r="D75" s="1373">
        <f t="shared" si="20"/>
        <v>0</v>
      </c>
      <c r="E75" s="839"/>
      <c r="F75" s="2679"/>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2759</v>
      </c>
      <c r="B76" s="2672" t="s">
        <v>2760</v>
      </c>
      <c r="C76" s="2556"/>
      <c r="D76" s="1373">
        <f t="shared" si="20"/>
        <v>0</v>
      </c>
      <c r="E76" s="839"/>
      <c r="F76" s="2679"/>
      <c r="G76" s="1374"/>
      <c r="H76" s="1378" t="str">
        <f t="shared" si="21"/>
        <v>——</v>
      </c>
      <c r="I76" s="827">
        <v>0.05</v>
      </c>
      <c r="J76" s="1375">
        <f t="shared" si="22"/>
        <v>0</v>
      </c>
      <c r="K76" s="1375">
        <f t="shared" si="23"/>
        <v>0</v>
      </c>
      <c r="L76" s="1375">
        <v>0</v>
      </c>
      <c r="M76" s="1375">
        <f t="shared" si="24"/>
        <v>0</v>
      </c>
      <c r="N76" s="1375">
        <f t="shared" si="24"/>
        <v>0</v>
      </c>
      <c r="Z76" s="2504"/>
      <c r="AA76" s="2580"/>
      <c r="AG76" s="2656"/>
      <c r="AK76" s="2580"/>
    </row>
    <row r="77" spans="1:37" ht="38.25">
      <c r="A77" s="2666" t="s">
        <v>2763</v>
      </c>
      <c r="B77" s="2669" t="str">
        <f>估价对象房地状况!C20</f>
        <v>区域自然环境：；人文环境；综合评价环境状况一般</v>
      </c>
      <c r="C77" s="2556"/>
      <c r="D77" s="1373">
        <f t="shared" si="20"/>
        <v>0</v>
      </c>
      <c r="E77" s="839"/>
      <c r="F77" s="2679"/>
      <c r="G77" s="1374"/>
      <c r="H77" s="1378" t="str">
        <f t="shared" si="21"/>
        <v>——</v>
      </c>
      <c r="I77" s="827">
        <v>0.15</v>
      </c>
      <c r="J77" s="1375">
        <f t="shared" si="22"/>
        <v>0</v>
      </c>
      <c r="K77" s="1375">
        <f t="shared" si="23"/>
        <v>0</v>
      </c>
      <c r="L77" s="1375">
        <v>0</v>
      </c>
      <c r="M77" s="1375">
        <f t="shared" si="24"/>
        <v>0</v>
      </c>
      <c r="N77" s="1375">
        <f t="shared" si="24"/>
        <v>0</v>
      </c>
      <c r="Z77" s="2504"/>
      <c r="AA77" s="2580"/>
      <c r="AG77" s="2656"/>
      <c r="AK77" s="2580"/>
    </row>
    <row r="78" spans="1:37" ht="24.75" thickBot="1">
      <c r="A78" s="2675" t="s">
        <v>2772</v>
      </c>
      <c r="B78" s="2680"/>
      <c r="C78" s="2556"/>
      <c r="D78" s="1373">
        <f t="shared" si="20"/>
        <v>0</v>
      </c>
      <c r="E78" s="840"/>
      <c r="F78" s="2679"/>
      <c r="G78" s="1374"/>
      <c r="H78" s="1378" t="str">
        <f t="shared" si="21"/>
        <v>——</v>
      </c>
      <c r="I78" s="836">
        <v>0.04</v>
      </c>
      <c r="J78" s="1375">
        <f t="shared" si="22"/>
        <v>0</v>
      </c>
      <c r="K78" s="1375">
        <f t="shared" si="23"/>
        <v>0</v>
      </c>
      <c r="L78" s="1375">
        <v>0</v>
      </c>
      <c r="M78" s="1375">
        <f t="shared" si="24"/>
        <v>0</v>
      </c>
      <c r="N78" s="1375">
        <f t="shared" si="24"/>
        <v>0</v>
      </c>
      <c r="Z78" s="2504"/>
      <c r="AA78" s="2580"/>
      <c r="AG78" s="2656"/>
      <c r="AK78" s="2580"/>
    </row>
    <row r="79" spans="1:37" ht="15">
      <c r="A79" s="2661" t="s">
        <v>2773</v>
      </c>
      <c r="B79" s="2677">
        <f>1+E81</f>
        <v>1</v>
      </c>
      <c r="C79" s="816"/>
      <c r="D79" s="816"/>
      <c r="E79" s="817"/>
      <c r="F79" s="2664"/>
      <c r="G79" s="7"/>
      <c r="H79" s="7"/>
      <c r="I79" s="7"/>
      <c r="J79" s="9"/>
      <c r="K79" s="9"/>
      <c r="L79" s="9"/>
      <c r="M79" s="9"/>
      <c r="N79" s="9"/>
      <c r="Z79" s="2504"/>
      <c r="AA79" s="2580"/>
      <c r="AG79" s="2656"/>
      <c r="AK79" s="2580"/>
    </row>
    <row r="80" spans="1:37" ht="24.75">
      <c r="A80" s="2666" t="s">
        <v>2739</v>
      </c>
      <c r="B80" s="2670"/>
      <c r="C80" s="822" t="s">
        <v>2741</v>
      </c>
      <c r="D80" s="822" t="s">
        <v>2742</v>
      </c>
      <c r="E80" s="823" t="s">
        <v>2743</v>
      </c>
      <c r="F80" s="2667" t="s">
        <v>2744</v>
      </c>
      <c r="G80" s="822" t="s">
        <v>2765</v>
      </c>
      <c r="H80" s="2668" t="s">
        <v>2766</v>
      </c>
      <c r="I80" s="822" t="s">
        <v>2767</v>
      </c>
      <c r="J80" s="587" t="s">
        <v>2400</v>
      </c>
      <c r="K80" s="587" t="s">
        <v>2401</v>
      </c>
      <c r="L80" s="587" t="s">
        <v>2402</v>
      </c>
      <c r="M80" s="587" t="s">
        <v>2403</v>
      </c>
      <c r="N80" s="587" t="s">
        <v>2404</v>
      </c>
      <c r="Z80" s="2504"/>
      <c r="AA80" s="2580"/>
      <c r="AG80" s="2656"/>
      <c r="AK80" s="2580"/>
    </row>
    <row r="81" spans="1:37" ht="38.25">
      <c r="A81" s="2666" t="s">
        <v>2774</v>
      </c>
      <c r="B81" s="2670" t="str">
        <f>估价对象房地状况!G15</f>
        <v>估价对象位于XX开发区，园区建设成熟度XX，产业集聚程度XX</v>
      </c>
      <c r="C81" s="2556"/>
      <c r="D81" s="1373">
        <f t="shared" ref="D81:D88" si="25">SUMIF($J$80:$N$80,C81,J81:N81)</f>
        <v>0</v>
      </c>
      <c r="E81" s="828">
        <f>ROUND(SUM(D81:D88),4)</f>
        <v>0</v>
      </c>
      <c r="F81" s="2275"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504"/>
      <c r="AA81" s="2580"/>
      <c r="AG81" s="2656"/>
      <c r="AK81" s="2580"/>
    </row>
    <row r="82" spans="1:37" ht="51">
      <c r="A82" s="2666" t="s">
        <v>2754</v>
      </c>
      <c r="B82" s="2670" t="str">
        <f>估价对象房地状况!G16</f>
        <v>估价对象周边道路状况、公共交通通达情况、停车便捷程度，综合评价交通便捷度较好</v>
      </c>
      <c r="C82" s="2556"/>
      <c r="D82" s="1373">
        <f t="shared" si="25"/>
        <v>0</v>
      </c>
      <c r="E82" s="839"/>
      <c r="F82" s="2679"/>
      <c r="G82" s="1374"/>
      <c r="H82" s="1378" t="str">
        <f t="shared" si="26"/>
        <v>——</v>
      </c>
      <c r="I82" s="827">
        <v>0.33</v>
      </c>
      <c r="J82" s="1375">
        <f t="shared" si="27"/>
        <v>0</v>
      </c>
      <c r="K82" s="1375">
        <f t="shared" si="28"/>
        <v>0</v>
      </c>
      <c r="L82" s="1375">
        <v>0</v>
      </c>
      <c r="M82" s="1375">
        <f t="shared" si="29"/>
        <v>0</v>
      </c>
      <c r="N82" s="1375">
        <f t="shared" si="29"/>
        <v>0</v>
      </c>
      <c r="Z82" s="2504"/>
      <c r="AA82" s="2580"/>
      <c r="AG82" s="2656"/>
      <c r="AK82" s="2580"/>
    </row>
    <row r="83" spans="1:37" ht="24">
      <c r="A83" s="2666" t="s">
        <v>2755</v>
      </c>
      <c r="B83" s="2670">
        <f>估价对象房地状况!G17</f>
        <v>0</v>
      </c>
      <c r="C83" s="2556"/>
      <c r="D83" s="1373">
        <f t="shared" si="25"/>
        <v>0</v>
      </c>
      <c r="E83" s="839"/>
      <c r="F83" s="2679"/>
      <c r="G83" s="1374"/>
      <c r="H83" s="1378" t="str">
        <f t="shared" si="26"/>
        <v>——</v>
      </c>
      <c r="I83" s="827">
        <v>0.05</v>
      </c>
      <c r="J83" s="1375">
        <f t="shared" si="27"/>
        <v>0</v>
      </c>
      <c r="K83" s="1375">
        <f t="shared" si="28"/>
        <v>0</v>
      </c>
      <c r="L83" s="1375">
        <v>0</v>
      </c>
      <c r="M83" s="1375">
        <f t="shared" si="29"/>
        <v>0</v>
      </c>
      <c r="N83" s="1375">
        <f t="shared" si="29"/>
        <v>0</v>
      </c>
      <c r="Z83" s="2504"/>
      <c r="AA83" s="2580"/>
      <c r="AG83" s="2656"/>
      <c r="AK83" s="2580"/>
    </row>
    <row r="84" spans="1:37" ht="14.25">
      <c r="A84" s="2666" t="s">
        <v>2771</v>
      </c>
      <c r="B84" s="2670">
        <f>估价对象房地状况!G22</f>
        <v>0</v>
      </c>
      <c r="C84" s="2556"/>
      <c r="D84" s="1373">
        <f t="shared" si="25"/>
        <v>0</v>
      </c>
      <c r="E84" s="839"/>
      <c r="F84" s="2679"/>
      <c r="G84" s="1374"/>
      <c r="H84" s="1378" t="str">
        <f t="shared" si="26"/>
        <v>——</v>
      </c>
      <c r="I84" s="827">
        <v>0.04</v>
      </c>
      <c r="J84" s="1375">
        <f t="shared" si="27"/>
        <v>0</v>
      </c>
      <c r="K84" s="1375">
        <f t="shared" si="28"/>
        <v>0</v>
      </c>
      <c r="L84" s="1375">
        <v>0</v>
      </c>
      <c r="M84" s="1375">
        <f t="shared" si="29"/>
        <v>0</v>
      </c>
      <c r="N84" s="1375">
        <f t="shared" si="29"/>
        <v>0</v>
      </c>
      <c r="Z84" s="2504"/>
      <c r="AA84" s="2580"/>
      <c r="AG84" s="2656"/>
      <c r="AK84" s="2580"/>
    </row>
    <row r="85" spans="1:37" ht="25.5">
      <c r="A85" s="2666" t="s">
        <v>2761</v>
      </c>
      <c r="B85" s="2674" t="str">
        <f>估价对象房地状况!G19</f>
        <v>估价对象所在区域公共配套设施齐备情况</v>
      </c>
      <c r="C85" s="2556"/>
      <c r="D85" s="1373">
        <f t="shared" si="25"/>
        <v>0</v>
      </c>
      <c r="E85" s="839"/>
      <c r="F85" s="2679"/>
      <c r="G85" s="1374"/>
      <c r="H85" s="1378" t="str">
        <f t="shared" si="26"/>
        <v>——</v>
      </c>
      <c r="I85" s="827">
        <v>0.06</v>
      </c>
      <c r="J85" s="1375">
        <f t="shared" si="27"/>
        <v>0</v>
      </c>
      <c r="K85" s="1375">
        <f t="shared" si="28"/>
        <v>0</v>
      </c>
      <c r="L85" s="1375">
        <v>0</v>
      </c>
      <c r="M85" s="1375">
        <f t="shared" si="29"/>
        <v>0</v>
      </c>
      <c r="N85" s="1375">
        <f t="shared" si="29"/>
        <v>0</v>
      </c>
      <c r="Z85" s="2504"/>
      <c r="AA85" s="2580"/>
      <c r="AG85" s="2656"/>
      <c r="AK85" s="2580"/>
    </row>
    <row r="86" spans="1:37" ht="25.5">
      <c r="A86" s="2666" t="s">
        <v>2762</v>
      </c>
      <c r="B86" s="2674" t="str">
        <f>估价对象房地状况!G20</f>
        <v>估价对象所在区域基础设施水平</v>
      </c>
      <c r="C86" s="2556"/>
      <c r="D86" s="1373">
        <f t="shared" si="25"/>
        <v>0</v>
      </c>
      <c r="E86" s="839"/>
      <c r="F86" s="2679"/>
      <c r="G86" s="1374"/>
      <c r="H86" s="1378" t="str">
        <f t="shared" si="26"/>
        <v>——</v>
      </c>
      <c r="I86" s="827">
        <v>0.15</v>
      </c>
      <c r="J86" s="1375">
        <f t="shared" si="27"/>
        <v>0</v>
      </c>
      <c r="K86" s="1375">
        <f t="shared" si="28"/>
        <v>0</v>
      </c>
      <c r="L86" s="1375">
        <v>0</v>
      </c>
      <c r="M86" s="1375">
        <f t="shared" si="29"/>
        <v>0</v>
      </c>
      <c r="N86" s="1375">
        <f t="shared" si="29"/>
        <v>0</v>
      </c>
      <c r="Z86" s="2504"/>
      <c r="AA86" s="2580"/>
      <c r="AG86" s="2656"/>
      <c r="AK86" s="2580"/>
    </row>
    <row r="87" spans="1:37" ht="24">
      <c r="A87" s="2666" t="s">
        <v>2759</v>
      </c>
      <c r="B87" s="2672" t="s">
        <v>2760</v>
      </c>
      <c r="C87" s="2556"/>
      <c r="D87" s="1373">
        <f t="shared" si="25"/>
        <v>0</v>
      </c>
      <c r="E87" s="839"/>
      <c r="F87" s="2679"/>
      <c r="G87" s="1374"/>
      <c r="H87" s="1378" t="str">
        <f t="shared" si="26"/>
        <v>——</v>
      </c>
      <c r="I87" s="827">
        <v>0.05</v>
      </c>
      <c r="J87" s="1375">
        <f t="shared" si="27"/>
        <v>0</v>
      </c>
      <c r="K87" s="1375">
        <f t="shared" si="28"/>
        <v>0</v>
      </c>
      <c r="L87" s="1375">
        <v>0</v>
      </c>
      <c r="M87" s="1375">
        <f t="shared" si="29"/>
        <v>0</v>
      </c>
      <c r="N87" s="1375">
        <f t="shared" si="29"/>
        <v>0</v>
      </c>
      <c r="Z87" s="2504"/>
      <c r="AA87" s="2580"/>
      <c r="AG87" s="2656"/>
      <c r="AK87" s="2580"/>
    </row>
    <row r="88" spans="1:37" ht="39" thickBot="1">
      <c r="A88" s="2675" t="s">
        <v>2775</v>
      </c>
      <c r="B88" s="2681" t="str">
        <f>估价对象房地状况!G18</f>
        <v>该园区内是否有污染型企业，绿化情况，卫生条件，整体环境状况判断</v>
      </c>
      <c r="C88" s="2682"/>
      <c r="D88" s="1379">
        <f t="shared" si="25"/>
        <v>0</v>
      </c>
      <c r="E88" s="840"/>
      <c r="F88" s="2679"/>
      <c r="G88" s="1374"/>
      <c r="H88" s="1378" t="str">
        <f t="shared" si="26"/>
        <v>——</v>
      </c>
      <c r="I88" s="836">
        <v>0.06</v>
      </c>
      <c r="J88" s="1375">
        <f t="shared" si="27"/>
        <v>0</v>
      </c>
      <c r="K88" s="1375">
        <f t="shared" si="28"/>
        <v>0</v>
      </c>
      <c r="L88" s="1375">
        <v>0</v>
      </c>
      <c r="M88" s="1375">
        <f t="shared" si="29"/>
        <v>0</v>
      </c>
      <c r="N88" s="1375">
        <f t="shared" si="29"/>
        <v>0</v>
      </c>
      <c r="Z88" s="2504"/>
      <c r="AA88" s="2580"/>
      <c r="AG88" s="2656"/>
      <c r="AK88" s="2580"/>
    </row>
    <row r="90" spans="1:37">
      <c r="A90" s="3086" t="s">
        <v>2776</v>
      </c>
      <c r="B90" s="3086"/>
      <c r="C90" s="3086"/>
      <c r="D90" s="3086"/>
      <c r="E90" s="3086"/>
      <c r="F90" s="3086"/>
      <c r="G90" s="3086"/>
      <c r="H90" s="3086"/>
      <c r="I90" s="3086"/>
      <c r="J90" s="3086"/>
      <c r="K90" s="2683"/>
      <c r="L90" s="2683"/>
      <c r="M90" s="2683"/>
      <c r="N90" s="2683"/>
    </row>
    <row r="91" spans="1:37">
      <c r="A91" s="3088" t="s">
        <v>2777</v>
      </c>
      <c r="B91" s="3088" t="s">
        <v>2778</v>
      </c>
      <c r="C91" s="2631" t="s">
        <v>2779</v>
      </c>
      <c r="D91" s="2632"/>
      <c r="E91" s="2632"/>
      <c r="F91" s="2632"/>
      <c r="G91" s="2632"/>
      <c r="H91" s="2632"/>
      <c r="I91" s="2632"/>
      <c r="J91" s="2684"/>
      <c r="K91" s="2685"/>
      <c r="L91" s="2685"/>
      <c r="M91" s="2685"/>
      <c r="N91" s="2685"/>
    </row>
    <row r="92" spans="1:37">
      <c r="A92" s="3088"/>
      <c r="B92" s="3088"/>
      <c r="C92" s="970" t="s">
        <v>2630</v>
      </c>
      <c r="D92" s="970" t="s">
        <v>2631</v>
      </c>
      <c r="E92" s="970" t="s">
        <v>2632</v>
      </c>
      <c r="F92" s="970" t="s">
        <v>2633</v>
      </c>
      <c r="G92" s="970" t="s">
        <v>2634</v>
      </c>
      <c r="H92" s="970" t="s">
        <v>2635</v>
      </c>
      <c r="I92" s="970" t="s">
        <v>2636</v>
      </c>
      <c r="J92" s="970" t="s">
        <v>2637</v>
      </c>
      <c r="K92" s="970" t="s">
        <v>2638</v>
      </c>
      <c r="L92" s="970" t="s">
        <v>2639</v>
      </c>
      <c r="M92" s="970" t="s">
        <v>2640</v>
      </c>
      <c r="N92" s="970" t="s">
        <v>2641</v>
      </c>
    </row>
    <row r="93" spans="1:37">
      <c r="A93" s="3089"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0"/>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0"/>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0"/>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0"/>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0"/>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0"/>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91"/>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89"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90"/>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90"/>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90"/>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90"/>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90"/>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90"/>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90"/>
      <c r="B108" s="3092"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91"/>
      <c r="B109" s="3093"/>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87" t="s">
        <v>2784</v>
      </c>
      <c r="B110" s="3087"/>
      <c r="C110" s="3087"/>
      <c r="D110" s="3087"/>
      <c r="E110" s="3087"/>
      <c r="F110" s="3087"/>
      <c r="G110" s="3087"/>
      <c r="H110" s="3087"/>
      <c r="I110" s="3087"/>
      <c r="J110" s="3087"/>
      <c r="K110" s="2692"/>
      <c r="L110" s="2692"/>
      <c r="M110" s="2692"/>
      <c r="N110" s="2692"/>
    </row>
    <row r="112" spans="1:14" ht="13.5" thickBot="1"/>
    <row r="113" spans="1:13" ht="25.5" thickBot="1">
      <c r="A113" s="927" t="s">
        <v>2785</v>
      </c>
      <c r="B113" s="1376">
        <f>G3</f>
        <v>0</v>
      </c>
      <c r="C113" s="928" t="s">
        <v>2786</v>
      </c>
      <c r="D113" s="929">
        <f>SUMPRODUCT((A115:A118=F113)*(B114:M114=H113)*B115:M118)</f>
        <v>0</v>
      </c>
      <c r="E113" s="2694" t="s">
        <v>2670</v>
      </c>
      <c r="F113" s="2695">
        <f>E2</f>
        <v>0</v>
      </c>
      <c r="G113" s="2694" t="s">
        <v>2604</v>
      </c>
      <c r="H113" s="2695" t="str">
        <f>G2</f>
        <v>一级</v>
      </c>
      <c r="I113" s="2694"/>
      <c r="J113" s="2696"/>
      <c r="K113" s="2696"/>
      <c r="L113" s="2696"/>
      <c r="M113" s="2696"/>
    </row>
    <row r="114" spans="1:13">
      <c r="A114" s="932"/>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3" t="s">
        <v>2671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6" t="s">
        <v>785</v>
      </c>
      <c r="B1" s="3106"/>
    </row>
    <row r="2" spans="1:6" ht="14.25" thickBot="1">
      <c r="A2" s="1092"/>
      <c r="B2" s="1092"/>
    </row>
    <row r="3" spans="1:6" ht="14.25" thickBot="1">
      <c r="A3" s="1092"/>
      <c r="B3" s="1092"/>
      <c r="C3" s="1095" t="s">
        <v>786</v>
      </c>
      <c r="D3" s="1095" t="s">
        <v>787</v>
      </c>
      <c r="E3" s="1095" t="s">
        <v>788</v>
      </c>
      <c r="F3" s="1095" t="s">
        <v>789</v>
      </c>
    </row>
    <row r="4" spans="1:6" ht="14.25" thickBot="1">
      <c r="A4" s="1096" t="s">
        <v>790</v>
      </c>
      <c r="B4" s="1097" t="s">
        <v>791</v>
      </c>
      <c r="C4" s="1095"/>
      <c r="D4" s="1095"/>
      <c r="E4" s="1095"/>
      <c r="F4" s="1095"/>
    </row>
    <row r="5" spans="1:6" ht="14.25" thickBot="1">
      <c r="A5" s="855" t="s">
        <v>792</v>
      </c>
      <c r="B5" s="856" t="s">
        <v>793</v>
      </c>
      <c r="C5" s="1098">
        <v>8.8999999999999996E-2</v>
      </c>
      <c r="D5" s="1098">
        <v>7.3999999999999996E-2</v>
      </c>
      <c r="E5" s="1098">
        <v>7.4999999999999997E-2</v>
      </c>
      <c r="F5" s="1099">
        <v>0.1</v>
      </c>
    </row>
    <row r="6" spans="1:6" ht="14.25" thickBot="1">
      <c r="A6" s="855" t="s">
        <v>161</v>
      </c>
      <c r="B6" s="849" t="s">
        <v>794</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795</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796</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797</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798</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799</v>
      </c>
      <c r="C72" s="1106"/>
      <c r="D72" s="1106"/>
      <c r="E72" s="1106"/>
      <c r="F72" s="1101">
        <v>0.05</v>
      </c>
    </row>
    <row r="73" spans="1:6" ht="14.25" thickBot="1">
      <c r="A73" s="855" t="s">
        <v>87</v>
      </c>
      <c r="B73" s="849" t="s">
        <v>800</v>
      </c>
      <c r="C73" s="1106"/>
      <c r="D73" s="1106"/>
      <c r="E73" s="1106"/>
      <c r="F73" s="1101">
        <v>0.05</v>
      </c>
    </row>
    <row r="74" spans="1:6" ht="14.25" thickBot="1">
      <c r="A74" s="855" t="s">
        <v>87</v>
      </c>
      <c r="B74" s="849" t="s">
        <v>801</v>
      </c>
      <c r="C74" s="1106"/>
      <c r="D74" s="1106"/>
      <c r="E74" s="1106"/>
      <c r="F74" s="1101">
        <v>0.05</v>
      </c>
    </row>
    <row r="75" spans="1:6" ht="14.25" thickBot="1">
      <c r="A75" s="872" t="s">
        <v>87</v>
      </c>
      <c r="B75" s="865" t="s">
        <v>802</v>
      </c>
      <c r="C75" s="1103"/>
      <c r="D75" s="1103"/>
      <c r="E75" s="1103"/>
      <c r="F75" s="1107">
        <v>0.05</v>
      </c>
    </row>
    <row r="76" spans="1:6" ht="14.25" thickBot="1">
      <c r="A76" s="855" t="s">
        <v>480</v>
      </c>
      <c r="B76" s="856" t="s">
        <v>803</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804</v>
      </c>
      <c r="C102" s="1106"/>
      <c r="D102" s="1106"/>
      <c r="E102" s="1106"/>
      <c r="F102" s="1101">
        <v>0.05</v>
      </c>
    </row>
    <row r="103" spans="1:6" ht="24.75" thickBot="1">
      <c r="A103" s="855" t="s">
        <v>480</v>
      </c>
      <c r="B103" s="849" t="s">
        <v>805</v>
      </c>
      <c r="C103" s="1106"/>
      <c r="D103" s="1106"/>
      <c r="E103" s="1106"/>
      <c r="F103" s="1101">
        <v>0.05</v>
      </c>
    </row>
    <row r="104" spans="1:6" ht="14.25" thickBot="1">
      <c r="A104" s="855" t="s">
        <v>480</v>
      </c>
      <c r="B104" s="849" t="s">
        <v>806</v>
      </c>
      <c r="C104" s="1106"/>
      <c r="D104" s="1106"/>
      <c r="E104" s="1106"/>
      <c r="F104" s="1101">
        <v>0.05</v>
      </c>
    </row>
    <row r="105" spans="1:6" ht="14.25" thickBot="1">
      <c r="A105" s="855" t="s">
        <v>480</v>
      </c>
      <c r="B105" s="849" t="s">
        <v>807</v>
      </c>
      <c r="C105" s="1106"/>
      <c r="D105" s="1106"/>
      <c r="E105" s="1106"/>
      <c r="F105" s="1101">
        <v>0.05</v>
      </c>
    </row>
    <row r="106" spans="1:6" ht="14.25" thickBot="1">
      <c r="A106" s="855" t="s">
        <v>480</v>
      </c>
      <c r="B106" s="849" t="s">
        <v>808</v>
      </c>
      <c r="C106" s="1106"/>
      <c r="D106" s="1106"/>
      <c r="E106" s="1106"/>
      <c r="F106" s="1101">
        <v>0.05</v>
      </c>
    </row>
    <row r="107" spans="1:6" ht="24.75" thickBot="1">
      <c r="A107" s="855" t="s">
        <v>480</v>
      </c>
      <c r="B107" s="849" t="s">
        <v>809</v>
      </c>
      <c r="C107" s="1106"/>
      <c r="D107" s="1106"/>
      <c r="E107" s="1106"/>
      <c r="F107" s="1101">
        <v>0.05</v>
      </c>
    </row>
    <row r="108" spans="1:6" ht="24.75" thickBot="1">
      <c r="A108" s="855" t="s">
        <v>480</v>
      </c>
      <c r="B108" s="849" t="s">
        <v>810</v>
      </c>
      <c r="C108" s="1106"/>
      <c r="D108" s="1106"/>
      <c r="E108" s="1106"/>
      <c r="F108" s="1101">
        <v>0.05</v>
      </c>
    </row>
    <row r="109" spans="1:6" ht="24.75" thickBot="1">
      <c r="A109" s="872" t="s">
        <v>480</v>
      </c>
      <c r="B109" s="865" t="s">
        <v>811</v>
      </c>
      <c r="C109" s="1103"/>
      <c r="D109" s="1103"/>
      <c r="E109" s="1103"/>
      <c r="F109" s="1107">
        <v>0.05</v>
      </c>
    </row>
    <row r="110" spans="1:6" ht="14.25" thickBot="1">
      <c r="A110" s="855" t="s">
        <v>70</v>
      </c>
      <c r="B110" s="856" t="s">
        <v>812</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813</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814</v>
      </c>
      <c r="C138" s="1100">
        <v>0.105</v>
      </c>
      <c r="D138" s="1100">
        <v>0.125</v>
      </c>
      <c r="E138" s="1100">
        <v>0.112</v>
      </c>
      <c r="F138" s="1105"/>
    </row>
    <row r="139" spans="1:6" ht="14.25" thickBot="1">
      <c r="A139" s="855" t="s">
        <v>70</v>
      </c>
      <c r="B139" s="849" t="s">
        <v>815</v>
      </c>
      <c r="C139" s="1100">
        <v>0.127</v>
      </c>
      <c r="D139" s="1100">
        <v>0.127</v>
      </c>
      <c r="E139" s="1100">
        <v>0.122</v>
      </c>
      <c r="F139" s="1101">
        <v>0.13</v>
      </c>
    </row>
    <row r="140" spans="1:6" ht="14.25" thickBot="1">
      <c r="A140" s="855" t="s">
        <v>70</v>
      </c>
      <c r="B140" s="849" t="s">
        <v>816</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817</v>
      </c>
      <c r="C144" s="1109">
        <v>0.126</v>
      </c>
      <c r="D144" s="1109">
        <v>0.126</v>
      </c>
      <c r="E144" s="1109">
        <v>0.121</v>
      </c>
      <c r="F144" s="1105"/>
    </row>
    <row r="145" spans="1:6" ht="14.25" thickBot="1">
      <c r="A145" s="872" t="s">
        <v>70</v>
      </c>
      <c r="B145" s="1110" t="s">
        <v>818</v>
      </c>
      <c r="C145" s="1111"/>
      <c r="D145" s="1111"/>
      <c r="E145" s="1111"/>
      <c r="F145" s="1112">
        <v>0.05</v>
      </c>
    </row>
    <row r="146" spans="1:6" ht="24.75" thickBot="1">
      <c r="A146" s="1113" t="s">
        <v>70</v>
      </c>
      <c r="B146" s="863" t="s">
        <v>819</v>
      </c>
      <c r="C146" s="1106"/>
      <c r="D146" s="1106"/>
      <c r="E146" s="1106"/>
      <c r="F146" s="1114">
        <v>0.05</v>
      </c>
    </row>
    <row r="147" spans="1:6" ht="24.75" thickBot="1">
      <c r="A147" s="855" t="s">
        <v>70</v>
      </c>
      <c r="B147" s="849" t="s">
        <v>820</v>
      </c>
      <c r="C147" s="1106"/>
      <c r="D147" s="1106"/>
      <c r="E147" s="1106"/>
      <c r="F147" s="1101">
        <v>0.05</v>
      </c>
    </row>
    <row r="148" spans="1:6" ht="24.75" thickBot="1">
      <c r="A148" s="855" t="s">
        <v>70</v>
      </c>
      <c r="B148" s="849" t="s">
        <v>821</v>
      </c>
      <c r="C148" s="1106"/>
      <c r="D148" s="1106"/>
      <c r="E148" s="1106"/>
      <c r="F148" s="1101">
        <v>0.05</v>
      </c>
    </row>
    <row r="149" spans="1:6" ht="24.75" thickBot="1">
      <c r="A149" s="855" t="s">
        <v>70</v>
      </c>
      <c r="B149" s="849" t="s">
        <v>822</v>
      </c>
      <c r="C149" s="1106"/>
      <c r="D149" s="1106"/>
      <c r="E149" s="1106"/>
      <c r="F149" s="1101">
        <v>0.05</v>
      </c>
    </row>
    <row r="150" spans="1:6" ht="24.75" thickBot="1">
      <c r="A150" s="855" t="s">
        <v>70</v>
      </c>
      <c r="B150" s="849" t="s">
        <v>823</v>
      </c>
      <c r="C150" s="1106"/>
      <c r="D150" s="1106"/>
      <c r="E150" s="1106"/>
      <c r="F150" s="1101">
        <v>0.05</v>
      </c>
    </row>
    <row r="151" spans="1:6" ht="24.75" thickBot="1">
      <c r="A151" s="855" t="s">
        <v>70</v>
      </c>
      <c r="B151" s="849" t="s">
        <v>824</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825</v>
      </c>
      <c r="C153" s="1106"/>
      <c r="D153" s="1106"/>
      <c r="E153" s="1106"/>
      <c r="F153" s="1101">
        <v>0.05</v>
      </c>
    </row>
    <row r="154" spans="1:6" ht="14.25" thickBot="1">
      <c r="A154" s="855" t="s">
        <v>70</v>
      </c>
      <c r="B154" s="849" t="s">
        <v>826</v>
      </c>
      <c r="C154" s="1106"/>
      <c r="D154" s="1106"/>
      <c r="E154" s="1106"/>
      <c r="F154" s="1101">
        <v>0.05</v>
      </c>
    </row>
    <row r="155" spans="1:6" ht="24.75" thickBot="1">
      <c r="A155" s="855" t="s">
        <v>70</v>
      </c>
      <c r="B155" s="849" t="s">
        <v>827</v>
      </c>
      <c r="C155" s="1106"/>
      <c r="D155" s="1106"/>
      <c r="E155" s="1106"/>
      <c r="F155" s="1101">
        <v>0.05</v>
      </c>
    </row>
    <row r="156" spans="1:6" ht="24.75" thickBot="1">
      <c r="A156" s="855" t="s">
        <v>70</v>
      </c>
      <c r="B156" s="849" t="s">
        <v>828</v>
      </c>
      <c r="C156" s="1106"/>
      <c r="D156" s="1106"/>
      <c r="E156" s="1106"/>
      <c r="F156" s="1101">
        <v>0.05</v>
      </c>
    </row>
    <row r="157" spans="1:6" ht="14.25" thickBot="1">
      <c r="A157" s="872" t="s">
        <v>70</v>
      </c>
      <c r="B157" s="865" t="s">
        <v>829</v>
      </c>
      <c r="C157" s="1103"/>
      <c r="D157" s="1103"/>
      <c r="E157" s="1103"/>
      <c r="F157" s="1107">
        <v>0.05</v>
      </c>
    </row>
    <row r="158" spans="1:6" ht="14.25" thickBot="1">
      <c r="A158" s="855" t="s">
        <v>483</v>
      </c>
      <c r="B158" s="856" t="s">
        <v>830</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831</v>
      </c>
      <c r="C171" s="1100">
        <v>0.127</v>
      </c>
      <c r="D171" s="1100">
        <v>0.126</v>
      </c>
      <c r="E171" s="1100">
        <v>0.126</v>
      </c>
      <c r="F171" s="1101">
        <v>0.11799999999999999</v>
      </c>
    </row>
    <row r="172" spans="1:6" ht="14.25" thickBot="1">
      <c r="A172" s="855" t="s">
        <v>483</v>
      </c>
      <c r="B172" s="849" t="s">
        <v>832</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833</v>
      </c>
      <c r="C174" s="1100">
        <v>0.13</v>
      </c>
      <c r="D174" s="1100">
        <v>0.13</v>
      </c>
      <c r="E174" s="1100">
        <v>0.13</v>
      </c>
      <c r="F174" s="1101">
        <v>0.13</v>
      </c>
    </row>
    <row r="175" spans="1:6" ht="14.25" thickBot="1">
      <c r="A175" s="855" t="s">
        <v>483</v>
      </c>
      <c r="B175" s="849" t="s">
        <v>834</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835</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836</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837</v>
      </c>
      <c r="C185" s="1100">
        <v>0.127</v>
      </c>
      <c r="D185" s="1100">
        <v>0.127</v>
      </c>
      <c r="E185" s="1100">
        <v>0.128</v>
      </c>
      <c r="F185" s="1101">
        <v>0.13</v>
      </c>
    </row>
    <row r="186" spans="1:6" ht="24.75" thickBot="1">
      <c r="A186" s="855" t="s">
        <v>483</v>
      </c>
      <c r="B186" s="849" t="s">
        <v>838</v>
      </c>
      <c r="C186" s="1106"/>
      <c r="D186" s="1106"/>
      <c r="E186" s="1106"/>
      <c r="F186" s="1101">
        <v>0.05</v>
      </c>
    </row>
    <row r="187" spans="1:6" ht="14.25" thickBot="1">
      <c r="A187" s="855" t="s">
        <v>483</v>
      </c>
      <c r="B187" s="849" t="s">
        <v>839</v>
      </c>
      <c r="C187" s="1106"/>
      <c r="D187" s="1106"/>
      <c r="E187" s="1106"/>
      <c r="F187" s="1101">
        <v>0.05</v>
      </c>
    </row>
    <row r="188" spans="1:6" ht="14.25" thickBot="1">
      <c r="A188" s="855" t="s">
        <v>483</v>
      </c>
      <c r="B188" s="849" t="s">
        <v>840</v>
      </c>
      <c r="C188" s="1106"/>
      <c r="D188" s="1106"/>
      <c r="E188" s="1106"/>
      <c r="F188" s="1101">
        <v>0.05</v>
      </c>
    </row>
    <row r="189" spans="1:6" ht="24.75" thickBot="1">
      <c r="A189" s="855" t="s">
        <v>483</v>
      </c>
      <c r="B189" s="849" t="s">
        <v>841</v>
      </c>
      <c r="C189" s="1106"/>
      <c r="D189" s="1106"/>
      <c r="E189" s="1106"/>
      <c r="F189" s="1101">
        <v>0.05</v>
      </c>
    </row>
    <row r="190" spans="1:6" ht="24.75" thickBot="1">
      <c r="A190" s="855" t="s">
        <v>483</v>
      </c>
      <c r="B190" s="849" t="s">
        <v>842</v>
      </c>
      <c r="C190" s="1106"/>
      <c r="D190" s="1106"/>
      <c r="E190" s="1106"/>
      <c r="F190" s="1101">
        <v>0.05</v>
      </c>
    </row>
    <row r="191" spans="1:6" ht="24.75" thickBot="1">
      <c r="A191" s="855" t="s">
        <v>483</v>
      </c>
      <c r="B191" s="849" t="s">
        <v>843</v>
      </c>
      <c r="C191" s="1106"/>
      <c r="D191" s="1106"/>
      <c r="E191" s="1106"/>
      <c r="F191" s="1101">
        <v>0.05</v>
      </c>
    </row>
    <row r="192" spans="1:6" ht="24.75" thickBot="1">
      <c r="A192" s="855" t="s">
        <v>483</v>
      </c>
      <c r="B192" s="849" t="s">
        <v>844</v>
      </c>
      <c r="C192" s="1106"/>
      <c r="D192" s="1106"/>
      <c r="E192" s="1106"/>
      <c r="F192" s="1101">
        <v>0.05</v>
      </c>
    </row>
    <row r="193" spans="1:6" ht="24.75" thickBot="1">
      <c r="A193" s="855" t="s">
        <v>483</v>
      </c>
      <c r="B193" s="849" t="s">
        <v>845</v>
      </c>
      <c r="C193" s="1106"/>
      <c r="D193" s="1106"/>
      <c r="E193" s="1106"/>
      <c r="F193" s="1101">
        <v>0.05</v>
      </c>
    </row>
    <row r="194" spans="1:6" ht="24.75" thickBot="1">
      <c r="A194" s="855" t="s">
        <v>483</v>
      </c>
      <c r="B194" s="849" t="s">
        <v>846</v>
      </c>
      <c r="C194" s="1106"/>
      <c r="D194" s="1106"/>
      <c r="E194" s="1106"/>
      <c r="F194" s="1101">
        <v>0.05</v>
      </c>
    </row>
    <row r="195" spans="1:6" ht="14.25" thickBot="1">
      <c r="A195" s="855" t="s">
        <v>483</v>
      </c>
      <c r="B195" s="849" t="s">
        <v>847</v>
      </c>
      <c r="C195" s="1106"/>
      <c r="D195" s="1106"/>
      <c r="E195" s="1106"/>
      <c r="F195" s="1101">
        <v>0.05</v>
      </c>
    </row>
    <row r="196" spans="1:6" ht="24.75" thickBot="1">
      <c r="A196" s="855" t="s">
        <v>483</v>
      </c>
      <c r="B196" s="849" t="s">
        <v>848</v>
      </c>
      <c r="C196" s="1106"/>
      <c r="D196" s="1106"/>
      <c r="E196" s="1106"/>
      <c r="F196" s="1101">
        <v>0.05</v>
      </c>
    </row>
    <row r="197" spans="1:6" ht="24.75" thickBot="1">
      <c r="A197" s="855" t="s">
        <v>483</v>
      </c>
      <c r="B197" s="849" t="s">
        <v>849</v>
      </c>
      <c r="C197" s="1106"/>
      <c r="D197" s="1106"/>
      <c r="E197" s="1106"/>
      <c r="F197" s="1101">
        <v>0.05</v>
      </c>
    </row>
    <row r="198" spans="1:6" ht="24.75" thickBot="1">
      <c r="A198" s="855" t="s">
        <v>483</v>
      </c>
      <c r="B198" s="849" t="s">
        <v>850</v>
      </c>
      <c r="C198" s="1106"/>
      <c r="D198" s="1106"/>
      <c r="E198" s="1106"/>
      <c r="F198" s="1101">
        <v>0.05</v>
      </c>
    </row>
    <row r="199" spans="1:6" ht="24.75" thickBot="1">
      <c r="A199" s="855" t="s">
        <v>483</v>
      </c>
      <c r="B199" s="849" t="s">
        <v>851</v>
      </c>
      <c r="C199" s="1106"/>
      <c r="D199" s="1106"/>
      <c r="E199" s="1106"/>
      <c r="F199" s="1101">
        <v>0.05</v>
      </c>
    </row>
    <row r="200" spans="1:6" ht="24.75" thickBot="1">
      <c r="A200" s="855" t="s">
        <v>483</v>
      </c>
      <c r="B200" s="849" t="s">
        <v>852</v>
      </c>
      <c r="C200" s="1106"/>
      <c r="D200" s="1106"/>
      <c r="E200" s="1106"/>
      <c r="F200" s="1101">
        <v>0.05</v>
      </c>
    </row>
    <row r="201" spans="1:6" ht="24.75" thickBot="1">
      <c r="A201" s="855" t="s">
        <v>483</v>
      </c>
      <c r="B201" s="849" t="s">
        <v>853</v>
      </c>
      <c r="C201" s="1106"/>
      <c r="D201" s="1106"/>
      <c r="E201" s="1106"/>
      <c r="F201" s="1101">
        <v>0.05</v>
      </c>
    </row>
    <row r="202" spans="1:6" ht="24.75" thickBot="1">
      <c r="A202" s="855" t="s">
        <v>483</v>
      </c>
      <c r="B202" s="849" t="s">
        <v>854</v>
      </c>
      <c r="C202" s="1106"/>
      <c r="D202" s="1106"/>
      <c r="E202" s="1106"/>
      <c r="F202" s="1101">
        <v>0.05</v>
      </c>
    </row>
    <row r="203" spans="1:6" ht="24.75" thickBot="1">
      <c r="A203" s="855" t="s">
        <v>483</v>
      </c>
      <c r="B203" s="849" t="s">
        <v>855</v>
      </c>
      <c r="C203" s="1106"/>
      <c r="D203" s="1106"/>
      <c r="E203" s="1106"/>
      <c r="F203" s="1101">
        <v>0.05</v>
      </c>
    </row>
    <row r="204" spans="1:6" ht="14.25" thickBot="1">
      <c r="A204" s="855" t="s">
        <v>483</v>
      </c>
      <c r="B204" s="849" t="s">
        <v>856</v>
      </c>
      <c r="C204" s="1106"/>
      <c r="D204" s="1106"/>
      <c r="E204" s="1106"/>
      <c r="F204" s="1101">
        <v>0.05</v>
      </c>
    </row>
    <row r="205" spans="1:6" ht="14.25" thickBot="1">
      <c r="A205" s="872" t="s">
        <v>483</v>
      </c>
      <c r="B205" s="865" t="s">
        <v>857</v>
      </c>
      <c r="C205" s="1103"/>
      <c r="D205" s="1103"/>
      <c r="E205" s="1103"/>
      <c r="F205" s="1107">
        <v>0.05</v>
      </c>
    </row>
    <row r="206" spans="1:6" ht="14.25" thickBot="1">
      <c r="A206" s="855" t="s">
        <v>485</v>
      </c>
      <c r="B206" s="856" t="s">
        <v>858</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859</v>
      </c>
      <c r="C210" s="1100">
        <v>0.15</v>
      </c>
      <c r="D210" s="1100">
        <v>0.15</v>
      </c>
      <c r="E210" s="1100">
        <v>0.15</v>
      </c>
      <c r="F210" s="1101">
        <v>0.13800000000000001</v>
      </c>
    </row>
    <row r="211" spans="1:6" ht="14.25" thickBot="1">
      <c r="A211" s="855" t="s">
        <v>485</v>
      </c>
      <c r="B211" s="849" t="s">
        <v>860</v>
      </c>
      <c r="C211" s="1100">
        <v>0.13700000000000001</v>
      </c>
      <c r="D211" s="1100">
        <v>0.13500000000000001</v>
      </c>
      <c r="E211" s="1100">
        <v>0.13600000000000001</v>
      </c>
      <c r="F211" s="1101">
        <v>0.1</v>
      </c>
    </row>
    <row r="212" spans="1:6" ht="14.25" thickBot="1">
      <c r="A212" s="855" t="s">
        <v>485</v>
      </c>
      <c r="B212" s="849" t="s">
        <v>861</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862</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863</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864</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865</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866</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867</v>
      </c>
      <c r="C231" s="1100">
        <v>0.128</v>
      </c>
      <c r="D231" s="1100">
        <v>0.125</v>
      </c>
      <c r="E231" s="1100">
        <v>0.13200000000000001</v>
      </c>
      <c r="F231" s="1105"/>
    </row>
    <row r="232" spans="1:6" ht="14.25" thickBot="1">
      <c r="A232" s="855" t="s">
        <v>485</v>
      </c>
      <c r="B232" s="849" t="s">
        <v>868</v>
      </c>
      <c r="C232" s="1100">
        <v>0.14499999999999999</v>
      </c>
      <c r="D232" s="1100">
        <v>0.14399999999999999</v>
      </c>
      <c r="E232" s="1100">
        <v>0.14599999999999999</v>
      </c>
      <c r="F232" s="1101">
        <v>0.13800000000000001</v>
      </c>
    </row>
    <row r="233" spans="1:6" ht="14.25" thickBot="1">
      <c r="A233" s="855" t="s">
        <v>485</v>
      </c>
      <c r="B233" s="849" t="s">
        <v>869</v>
      </c>
      <c r="C233" s="1100">
        <v>0.14499999999999999</v>
      </c>
      <c r="D233" s="1100">
        <v>0.14299999999999999</v>
      </c>
      <c r="E233" s="1100">
        <v>0.14199999999999999</v>
      </c>
      <c r="F233" s="1105"/>
    </row>
    <row r="234" spans="1:6" ht="14.25" thickBot="1">
      <c r="A234" s="855" t="s">
        <v>485</v>
      </c>
      <c r="B234" s="849" t="s">
        <v>870</v>
      </c>
      <c r="C234" s="1100">
        <v>0.14000000000000001</v>
      </c>
      <c r="D234" s="1100">
        <v>0.14000000000000001</v>
      </c>
      <c r="E234" s="1100">
        <v>0.14399999999999999</v>
      </c>
      <c r="F234" s="1105"/>
    </row>
    <row r="235" spans="1:6" ht="14.25" thickBot="1">
      <c r="A235" s="855" t="s">
        <v>485</v>
      </c>
      <c r="B235" s="849" t="s">
        <v>871</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872</v>
      </c>
      <c r="C237" s="1106"/>
      <c r="D237" s="1106"/>
      <c r="E237" s="1106"/>
      <c r="F237" s="1101">
        <v>0.05</v>
      </c>
    </row>
    <row r="238" spans="1:6" ht="24.75" thickBot="1">
      <c r="A238" s="855" t="s">
        <v>485</v>
      </c>
      <c r="B238" s="849" t="s">
        <v>873</v>
      </c>
      <c r="C238" s="1106"/>
      <c r="D238" s="1106"/>
      <c r="E238" s="1106"/>
      <c r="F238" s="1101">
        <v>0.05</v>
      </c>
    </row>
    <row r="239" spans="1:6" ht="24.75" thickBot="1">
      <c r="A239" s="855" t="s">
        <v>485</v>
      </c>
      <c r="B239" s="849" t="s">
        <v>874</v>
      </c>
      <c r="C239" s="1106"/>
      <c r="D239" s="1106"/>
      <c r="E239" s="1106"/>
      <c r="F239" s="1101">
        <v>0.05</v>
      </c>
    </row>
    <row r="240" spans="1:6" ht="24.75" thickBot="1">
      <c r="A240" s="855" t="s">
        <v>485</v>
      </c>
      <c r="B240" s="849" t="s">
        <v>875</v>
      </c>
      <c r="C240" s="1106"/>
      <c r="D240" s="1106"/>
      <c r="E240" s="1106"/>
      <c r="F240" s="1101">
        <v>0.05</v>
      </c>
    </row>
    <row r="241" spans="1:6" ht="24.75" thickBot="1">
      <c r="A241" s="855" t="s">
        <v>485</v>
      </c>
      <c r="B241" s="849" t="s">
        <v>876</v>
      </c>
      <c r="C241" s="1106"/>
      <c r="D241" s="1106"/>
      <c r="E241" s="1106"/>
      <c r="F241" s="1101">
        <v>0.05</v>
      </c>
    </row>
    <row r="242" spans="1:6" ht="24.75" thickBot="1">
      <c r="A242" s="855" t="s">
        <v>485</v>
      </c>
      <c r="B242" s="849" t="s">
        <v>877</v>
      </c>
      <c r="C242" s="1106"/>
      <c r="D242" s="1106"/>
      <c r="E242" s="1106"/>
      <c r="F242" s="1101">
        <v>0.05</v>
      </c>
    </row>
    <row r="243" spans="1:6" ht="24.75" thickBot="1">
      <c r="A243" s="855" t="s">
        <v>485</v>
      </c>
      <c r="B243" s="849" t="s">
        <v>878</v>
      </c>
      <c r="C243" s="1106"/>
      <c r="D243" s="1106"/>
      <c r="E243" s="1106"/>
      <c r="F243" s="1101">
        <v>0.05</v>
      </c>
    </row>
    <row r="244" spans="1:6" ht="24.75" thickBot="1">
      <c r="A244" s="872" t="s">
        <v>485</v>
      </c>
      <c r="B244" s="865" t="s">
        <v>879</v>
      </c>
      <c r="C244" s="1103"/>
      <c r="D244" s="1103"/>
      <c r="E244" s="1103"/>
      <c r="F244" s="1107">
        <v>0.05</v>
      </c>
    </row>
    <row r="245" spans="1:6" ht="14.25" thickBot="1">
      <c r="A245" s="855" t="s">
        <v>487</v>
      </c>
      <c r="B245" s="856" t="s">
        <v>880</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881</v>
      </c>
      <c r="C247" s="1100">
        <v>0.15</v>
      </c>
      <c r="D247" s="1100">
        <v>0.15</v>
      </c>
      <c r="E247" s="1100">
        <v>0.15</v>
      </c>
      <c r="F247" s="1101">
        <v>0.15</v>
      </c>
    </row>
    <row r="248" spans="1:6" ht="14.25" thickBot="1">
      <c r="A248" s="855" t="s">
        <v>487</v>
      </c>
      <c r="B248" s="849" t="s">
        <v>882</v>
      </c>
      <c r="C248" s="1100">
        <v>0.15</v>
      </c>
      <c r="D248" s="1100">
        <v>0.15</v>
      </c>
      <c r="E248" s="1100">
        <v>0.15</v>
      </c>
      <c r="F248" s="1101">
        <v>0.14000000000000001</v>
      </c>
    </row>
    <row r="249" spans="1:6" ht="14.25" thickBot="1">
      <c r="A249" s="855" t="s">
        <v>487</v>
      </c>
      <c r="B249" s="849" t="s">
        <v>883</v>
      </c>
      <c r="C249" s="1100">
        <v>0.15</v>
      </c>
      <c r="D249" s="1100">
        <v>0.14899999999999999</v>
      </c>
      <c r="E249" s="1100">
        <v>0.15</v>
      </c>
      <c r="F249" s="1101">
        <v>0.1</v>
      </c>
    </row>
    <row r="250" spans="1:6" ht="14.25" thickBot="1">
      <c r="A250" s="855" t="s">
        <v>487</v>
      </c>
      <c r="B250" s="849" t="s">
        <v>884</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885</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886</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887</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888</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889</v>
      </c>
      <c r="C273" s="1100">
        <v>0.14199999999999999</v>
      </c>
      <c r="D273" s="1100">
        <v>0.14299999999999999</v>
      </c>
      <c r="E273" s="1100">
        <v>0.15</v>
      </c>
      <c r="F273" s="1101">
        <v>0.1</v>
      </c>
    </row>
    <row r="274" spans="1:6" ht="14.25" thickBot="1">
      <c r="A274" s="855" t="s">
        <v>487</v>
      </c>
      <c r="B274" s="849" t="s">
        <v>890</v>
      </c>
      <c r="C274" s="1100">
        <v>0.14799999999999999</v>
      </c>
      <c r="D274" s="1100">
        <v>0.14799999999999999</v>
      </c>
      <c r="E274" s="1100">
        <v>0.15</v>
      </c>
      <c r="F274" s="1101">
        <v>6.7000000000000004E-2</v>
      </c>
    </row>
    <row r="275" spans="1:6" ht="14.25" thickBot="1">
      <c r="A275" s="855" t="s">
        <v>487</v>
      </c>
      <c r="B275" s="849" t="s">
        <v>891</v>
      </c>
      <c r="C275" s="1100">
        <v>0.15</v>
      </c>
      <c r="D275" s="1100">
        <v>0.15</v>
      </c>
      <c r="E275" s="1100">
        <v>0.15</v>
      </c>
      <c r="F275" s="1101">
        <v>0.15</v>
      </c>
    </row>
    <row r="276" spans="1:6" ht="14.25" thickBot="1">
      <c r="A276" s="855" t="s">
        <v>487</v>
      </c>
      <c r="B276" s="849" t="s">
        <v>892</v>
      </c>
      <c r="C276" s="1100">
        <v>0.14499999999999999</v>
      </c>
      <c r="D276" s="1100">
        <v>0.14299999999999999</v>
      </c>
      <c r="E276" s="1100">
        <v>0.15</v>
      </c>
      <c r="F276" s="1101">
        <v>5.8999999999999997E-2</v>
      </c>
    </row>
    <row r="277" spans="1:6" ht="14.25" thickBot="1">
      <c r="A277" s="855" t="s">
        <v>487</v>
      </c>
      <c r="B277" s="849" t="s">
        <v>893</v>
      </c>
      <c r="C277" s="1100">
        <v>0.15</v>
      </c>
      <c r="D277" s="1100">
        <v>0.15</v>
      </c>
      <c r="E277" s="1100">
        <v>0.15</v>
      </c>
      <c r="F277" s="1101">
        <v>0.121</v>
      </c>
    </row>
    <row r="278" spans="1:6" ht="14.25" thickBot="1">
      <c r="A278" s="855" t="s">
        <v>487</v>
      </c>
      <c r="B278" s="849" t="s">
        <v>894</v>
      </c>
      <c r="C278" s="1100">
        <v>0.15</v>
      </c>
      <c r="D278" s="1100">
        <v>0.15</v>
      </c>
      <c r="E278" s="1100">
        <v>0.15</v>
      </c>
      <c r="F278" s="1101">
        <v>0.13800000000000001</v>
      </c>
    </row>
    <row r="279" spans="1:6" ht="24.75" thickBot="1">
      <c r="A279" s="855" t="s">
        <v>487</v>
      </c>
      <c r="B279" s="849" t="s">
        <v>895</v>
      </c>
      <c r="C279" s="1106"/>
      <c r="D279" s="1106"/>
      <c r="E279" s="1106"/>
      <c r="F279" s="1101">
        <v>0.05</v>
      </c>
    </row>
    <row r="280" spans="1:6" ht="24.75" thickBot="1">
      <c r="A280" s="855" t="s">
        <v>487</v>
      </c>
      <c r="B280" s="849" t="s">
        <v>896</v>
      </c>
      <c r="C280" s="1106"/>
      <c r="D280" s="1106"/>
      <c r="E280" s="1106"/>
      <c r="F280" s="1101">
        <v>0.05</v>
      </c>
    </row>
    <row r="281" spans="1:6" ht="24.75" thickBot="1">
      <c r="A281" s="855" t="s">
        <v>487</v>
      </c>
      <c r="B281" s="849" t="s">
        <v>897</v>
      </c>
      <c r="C281" s="1106"/>
      <c r="D281" s="1106"/>
      <c r="E281" s="1106"/>
      <c r="F281" s="1101">
        <v>0.05</v>
      </c>
    </row>
    <row r="282" spans="1:6" ht="24.75" thickBot="1">
      <c r="A282" s="855" t="s">
        <v>487</v>
      </c>
      <c r="B282" s="849" t="s">
        <v>898</v>
      </c>
      <c r="C282" s="1106"/>
      <c r="D282" s="1106"/>
      <c r="E282" s="1106"/>
      <c r="F282" s="1101">
        <v>0.05</v>
      </c>
    </row>
    <row r="283" spans="1:6" ht="24.75" thickBot="1">
      <c r="A283" s="855" t="s">
        <v>487</v>
      </c>
      <c r="B283" s="849" t="s">
        <v>899</v>
      </c>
      <c r="C283" s="1106"/>
      <c r="D283" s="1106"/>
      <c r="E283" s="1106"/>
      <c r="F283" s="1101">
        <v>0.05</v>
      </c>
    </row>
    <row r="284" spans="1:6" ht="24.75" thickBot="1">
      <c r="A284" s="855" t="s">
        <v>487</v>
      </c>
      <c r="B284" s="849" t="s">
        <v>900</v>
      </c>
      <c r="C284" s="1106"/>
      <c r="D284" s="1106"/>
      <c r="E284" s="1106"/>
      <c r="F284" s="1101">
        <v>0.05</v>
      </c>
    </row>
    <row r="285" spans="1:6" ht="24.75" thickBot="1">
      <c r="A285" s="855" t="s">
        <v>487</v>
      </c>
      <c r="B285" s="849" t="s">
        <v>901</v>
      </c>
      <c r="C285" s="1106"/>
      <c r="D285" s="1106"/>
      <c r="E285" s="1106"/>
      <c r="F285" s="1101">
        <v>0.05</v>
      </c>
    </row>
    <row r="286" spans="1:6" ht="24.75" thickBot="1">
      <c r="A286" s="855" t="s">
        <v>487</v>
      </c>
      <c r="B286" s="849" t="s">
        <v>902</v>
      </c>
      <c r="C286" s="1106"/>
      <c r="D286" s="1106"/>
      <c r="E286" s="1106"/>
      <c r="F286" s="1101">
        <v>0.05</v>
      </c>
    </row>
    <row r="287" spans="1:6" ht="24.75" thickBot="1">
      <c r="A287" s="855" t="s">
        <v>487</v>
      </c>
      <c r="B287" s="849" t="s">
        <v>903</v>
      </c>
      <c r="C287" s="1106"/>
      <c r="D287" s="1106"/>
      <c r="E287" s="1106"/>
      <c r="F287" s="1101">
        <v>0.05</v>
      </c>
    </row>
    <row r="288" spans="1:6" ht="24.75" thickBot="1">
      <c r="A288" s="855" t="s">
        <v>487</v>
      </c>
      <c r="B288" s="849" t="s">
        <v>904</v>
      </c>
      <c r="C288" s="1106"/>
      <c r="D288" s="1106"/>
      <c r="E288" s="1106"/>
      <c r="F288" s="1101">
        <v>0.05</v>
      </c>
    </row>
    <row r="289" spans="1:6" ht="24.75" thickBot="1">
      <c r="A289" s="872" t="s">
        <v>487</v>
      </c>
      <c r="B289" s="865" t="s">
        <v>905</v>
      </c>
      <c r="C289" s="1103"/>
      <c r="D289" s="1103"/>
      <c r="E289" s="1103"/>
      <c r="F289" s="1107">
        <v>0.05</v>
      </c>
    </row>
    <row r="290" spans="1:6" ht="14.25" thickBot="1">
      <c r="A290" s="855" t="s">
        <v>491</v>
      </c>
      <c r="B290" s="856" t="s">
        <v>906</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907</v>
      </c>
      <c r="C292" s="1100">
        <v>0.15</v>
      </c>
      <c r="D292" s="1100">
        <v>0.15</v>
      </c>
      <c r="E292" s="1100">
        <v>0.15</v>
      </c>
      <c r="F292" s="1101">
        <v>0.14699999999999999</v>
      </c>
    </row>
    <row r="293" spans="1:6" ht="14.25" thickBot="1">
      <c r="A293" s="855" t="s">
        <v>491</v>
      </c>
      <c r="B293" s="849" t="s">
        <v>908</v>
      </c>
      <c r="C293" s="1106"/>
      <c r="D293" s="1106"/>
      <c r="E293" s="1106"/>
      <c r="F293" s="1101">
        <v>0.1</v>
      </c>
    </row>
    <row r="294" spans="1:6" ht="14.25" thickBot="1">
      <c r="A294" s="855" t="s">
        <v>491</v>
      </c>
      <c r="B294" s="849" t="s">
        <v>909</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910</v>
      </c>
      <c r="C296" s="1100">
        <v>0.15</v>
      </c>
      <c r="D296" s="1100">
        <v>0.15</v>
      </c>
      <c r="E296" s="1100">
        <v>0.15</v>
      </c>
      <c r="F296" s="1101">
        <v>0.15</v>
      </c>
    </row>
    <row r="297" spans="1:6" ht="14.25" thickBot="1">
      <c r="A297" s="855" t="s">
        <v>491</v>
      </c>
      <c r="B297" s="849" t="s">
        <v>911</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912</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913</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914</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915</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916</v>
      </c>
      <c r="C310" s="1100">
        <v>0.15</v>
      </c>
      <c r="D310" s="1100">
        <v>0.15</v>
      </c>
      <c r="E310" s="1100">
        <v>0.15</v>
      </c>
      <c r="F310" s="1101">
        <v>0.13700000000000001</v>
      </c>
    </row>
    <row r="311" spans="1:6" ht="14.25" thickBot="1">
      <c r="A311" s="855" t="s">
        <v>491</v>
      </c>
      <c r="B311" s="849" t="s">
        <v>917</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918</v>
      </c>
      <c r="C313" s="1100">
        <v>0.15</v>
      </c>
      <c r="D313" s="1100">
        <v>0.15</v>
      </c>
      <c r="E313" s="1100">
        <v>0.15</v>
      </c>
      <c r="F313" s="1101">
        <v>0.15</v>
      </c>
    </row>
    <row r="314" spans="1:6" ht="24.75" thickBot="1">
      <c r="A314" s="855" t="s">
        <v>491</v>
      </c>
      <c r="B314" s="849" t="s">
        <v>919</v>
      </c>
      <c r="C314" s="1106"/>
      <c r="D314" s="1106"/>
      <c r="E314" s="1106"/>
      <c r="F314" s="1101">
        <v>0.05</v>
      </c>
    </row>
    <row r="315" spans="1:6" ht="24.75" thickBot="1">
      <c r="A315" s="855" t="s">
        <v>491</v>
      </c>
      <c r="B315" s="849" t="s">
        <v>920</v>
      </c>
      <c r="C315" s="1106"/>
      <c r="D315" s="1106"/>
      <c r="E315" s="1106"/>
      <c r="F315" s="1101">
        <v>0.05</v>
      </c>
    </row>
    <row r="316" spans="1:6" ht="24.75" thickBot="1">
      <c r="A316" s="872" t="s">
        <v>491</v>
      </c>
      <c r="B316" s="865" t="s">
        <v>921</v>
      </c>
      <c r="C316" s="1103"/>
      <c r="D316" s="1103"/>
      <c r="E316" s="1103"/>
      <c r="F316" s="1107">
        <v>0.05</v>
      </c>
    </row>
    <row r="317" spans="1:6" ht="14.25" thickBot="1">
      <c r="A317" s="855" t="s">
        <v>922</v>
      </c>
      <c r="B317" s="856" t="s">
        <v>923</v>
      </c>
      <c r="C317" s="1098">
        <v>0.15</v>
      </c>
      <c r="D317" s="1098">
        <v>0.15</v>
      </c>
      <c r="E317" s="1098">
        <v>0.15</v>
      </c>
      <c r="F317" s="1099">
        <v>0.15</v>
      </c>
    </row>
    <row r="318" spans="1:6" ht="14.25" thickBot="1">
      <c r="A318" s="855" t="s">
        <v>922</v>
      </c>
      <c r="B318" s="849" t="s">
        <v>924</v>
      </c>
      <c r="C318" s="1100">
        <v>0.107</v>
      </c>
      <c r="D318" s="1100">
        <v>0.11</v>
      </c>
      <c r="E318" s="1100">
        <v>0.112</v>
      </c>
      <c r="F318" s="1105"/>
    </row>
    <row r="319" spans="1:6" ht="14.25" thickBot="1">
      <c r="A319" s="855" t="s">
        <v>922</v>
      </c>
      <c r="B319" s="849" t="s">
        <v>925</v>
      </c>
      <c r="C319" s="1100">
        <v>0.15</v>
      </c>
      <c r="D319" s="1100">
        <v>0.15</v>
      </c>
      <c r="E319" s="1100">
        <v>0.15</v>
      </c>
      <c r="F319" s="1101">
        <v>0.15</v>
      </c>
    </row>
    <row r="320" spans="1:6" ht="14.25" thickBot="1">
      <c r="A320" s="855" t="s">
        <v>922</v>
      </c>
      <c r="B320" s="849" t="s">
        <v>172</v>
      </c>
      <c r="C320" s="1100">
        <v>0.15</v>
      </c>
      <c r="D320" s="1100">
        <v>0.15</v>
      </c>
      <c r="E320" s="1100">
        <v>0.15</v>
      </c>
      <c r="F320" s="1105"/>
    </row>
    <row r="321" spans="1:6" ht="14.25" thickBot="1">
      <c r="A321" s="855" t="s">
        <v>922</v>
      </c>
      <c r="B321" s="849" t="s">
        <v>926</v>
      </c>
      <c r="C321" s="1100">
        <v>0.15</v>
      </c>
      <c r="D321" s="1100">
        <v>0.15</v>
      </c>
      <c r="E321" s="1100">
        <v>0.15</v>
      </c>
      <c r="F321" s="1105"/>
    </row>
    <row r="322" spans="1:6" ht="14.25" thickBot="1">
      <c r="A322" s="855" t="s">
        <v>922</v>
      </c>
      <c r="B322" s="849" t="s">
        <v>927</v>
      </c>
      <c r="C322" s="1100">
        <v>0.15</v>
      </c>
      <c r="D322" s="1100">
        <v>0.15</v>
      </c>
      <c r="E322" s="1100">
        <v>0.15</v>
      </c>
      <c r="F322" s="1101">
        <v>0.15</v>
      </c>
    </row>
    <row r="323" spans="1:6" ht="14.25" thickBot="1">
      <c r="A323" s="855" t="s">
        <v>922</v>
      </c>
      <c r="B323" s="849" t="s">
        <v>928</v>
      </c>
      <c r="C323" s="1100">
        <v>0.15</v>
      </c>
      <c r="D323" s="1100">
        <v>0.15</v>
      </c>
      <c r="E323" s="1100">
        <v>0.15</v>
      </c>
      <c r="F323" s="1105"/>
    </row>
    <row r="324" spans="1:6" ht="14.25" thickBot="1">
      <c r="A324" s="855" t="s">
        <v>922</v>
      </c>
      <c r="B324" s="849" t="s">
        <v>929</v>
      </c>
      <c r="C324" s="1100">
        <v>0.15</v>
      </c>
      <c r="D324" s="1100">
        <v>0.15</v>
      </c>
      <c r="E324" s="1100">
        <v>0.15</v>
      </c>
      <c r="F324" s="1105"/>
    </row>
    <row r="325" spans="1:6" ht="14.25" thickBot="1">
      <c r="A325" s="855" t="s">
        <v>922</v>
      </c>
      <c r="B325" s="849" t="s">
        <v>930</v>
      </c>
      <c r="C325" s="1100">
        <v>0.15</v>
      </c>
      <c r="D325" s="1100">
        <v>0.15</v>
      </c>
      <c r="E325" s="1100">
        <v>0.15</v>
      </c>
      <c r="F325" s="1101">
        <v>0.14699999999999999</v>
      </c>
    </row>
    <row r="326" spans="1:6" ht="14.25" thickBot="1">
      <c r="A326" s="855" t="s">
        <v>922</v>
      </c>
      <c r="B326" s="849" t="s">
        <v>244</v>
      </c>
      <c r="C326" s="1100">
        <v>0.15</v>
      </c>
      <c r="D326" s="1100">
        <v>0.15</v>
      </c>
      <c r="E326" s="1100">
        <v>0.15</v>
      </c>
      <c r="F326" s="1105"/>
    </row>
    <row r="327" spans="1:6" ht="14.25" thickBot="1">
      <c r="A327" s="855" t="s">
        <v>922</v>
      </c>
      <c r="B327" s="849" t="s">
        <v>931</v>
      </c>
      <c r="C327" s="1100">
        <v>0.15</v>
      </c>
      <c r="D327" s="1100">
        <v>0.15</v>
      </c>
      <c r="E327" s="1100">
        <v>0.15</v>
      </c>
      <c r="F327" s="1101">
        <v>0.15</v>
      </c>
    </row>
    <row r="328" spans="1:6" ht="14.25" thickBot="1">
      <c r="A328" s="855" t="s">
        <v>922</v>
      </c>
      <c r="B328" s="849" t="s">
        <v>266</v>
      </c>
      <c r="C328" s="1100">
        <v>0.15</v>
      </c>
      <c r="D328" s="1100">
        <v>0.15</v>
      </c>
      <c r="E328" s="1100">
        <v>0.15</v>
      </c>
      <c r="F328" s="1101">
        <v>0.14099999999999999</v>
      </c>
    </row>
    <row r="329" spans="1:6" ht="14.25" thickBot="1">
      <c r="A329" s="855" t="s">
        <v>922</v>
      </c>
      <c r="B329" s="849" t="s">
        <v>277</v>
      </c>
      <c r="C329" s="1100">
        <v>0.15</v>
      </c>
      <c r="D329" s="1100">
        <v>0.15</v>
      </c>
      <c r="E329" s="1100">
        <v>0.15</v>
      </c>
      <c r="F329" s="1101">
        <v>0.15</v>
      </c>
    </row>
    <row r="330" spans="1:6" ht="14.25" thickBot="1">
      <c r="A330" s="855" t="s">
        <v>922</v>
      </c>
      <c r="B330" s="849" t="s">
        <v>288</v>
      </c>
      <c r="C330" s="1100">
        <v>0.15</v>
      </c>
      <c r="D330" s="1100">
        <v>0.15</v>
      </c>
      <c r="E330" s="1100">
        <v>0.15</v>
      </c>
      <c r="F330" s="1105"/>
    </row>
    <row r="331" spans="1:6" ht="14.25" thickBot="1">
      <c r="A331" s="855" t="s">
        <v>922</v>
      </c>
      <c r="B331" s="849" t="s">
        <v>932</v>
      </c>
      <c r="C331" s="1100">
        <v>0.15</v>
      </c>
      <c r="D331" s="1100">
        <v>0.15</v>
      </c>
      <c r="E331" s="1100">
        <v>0.15</v>
      </c>
      <c r="F331" s="1101">
        <v>0.15</v>
      </c>
    </row>
    <row r="332" spans="1:6" ht="14.25" thickBot="1">
      <c r="A332" s="855" t="s">
        <v>922</v>
      </c>
      <c r="B332" s="849" t="s">
        <v>309</v>
      </c>
      <c r="C332" s="1100">
        <v>0.15</v>
      </c>
      <c r="D332" s="1100">
        <v>0.15</v>
      </c>
      <c r="E332" s="1100">
        <v>0.15</v>
      </c>
      <c r="F332" s="1101">
        <v>0.15</v>
      </c>
    </row>
    <row r="333" spans="1:6" ht="14.25" thickBot="1">
      <c r="A333" s="855" t="s">
        <v>922</v>
      </c>
      <c r="B333" s="849" t="s">
        <v>933</v>
      </c>
      <c r="C333" s="1100">
        <v>0.15</v>
      </c>
      <c r="D333" s="1100">
        <v>0.15</v>
      </c>
      <c r="E333" s="1100">
        <v>0.15</v>
      </c>
      <c r="F333" s="1101">
        <v>0.14099999999999999</v>
      </c>
    </row>
    <row r="334" spans="1:6" ht="14.25" thickBot="1">
      <c r="A334" s="855" t="s">
        <v>922</v>
      </c>
      <c r="B334" s="849" t="s">
        <v>329</v>
      </c>
      <c r="C334" s="1100">
        <v>0.15</v>
      </c>
      <c r="D334" s="1100">
        <v>0.15</v>
      </c>
      <c r="E334" s="1100">
        <v>0.15</v>
      </c>
      <c r="F334" s="1101">
        <v>0.15</v>
      </c>
    </row>
    <row r="335" spans="1:6" ht="14.25" thickBot="1">
      <c r="A335" s="855" t="s">
        <v>922</v>
      </c>
      <c r="B335" s="849" t="s">
        <v>339</v>
      </c>
      <c r="C335" s="1100">
        <v>0.15</v>
      </c>
      <c r="D335" s="1100">
        <v>0.15</v>
      </c>
      <c r="E335" s="1100">
        <v>0.15</v>
      </c>
      <c r="F335" s="1105"/>
    </row>
    <row r="336" spans="1:6" ht="14.25" thickBot="1">
      <c r="A336" s="855" t="s">
        <v>922</v>
      </c>
      <c r="B336" s="849" t="s">
        <v>934</v>
      </c>
      <c r="C336" s="1100">
        <v>0.15</v>
      </c>
      <c r="D336" s="1100">
        <v>0.15</v>
      </c>
      <c r="E336" s="1100">
        <v>0.15</v>
      </c>
      <c r="F336" s="1101">
        <v>0.11799999999999999</v>
      </c>
    </row>
    <row r="337" spans="1:6" ht="14.25" thickBot="1">
      <c r="A337" s="872" t="s">
        <v>922</v>
      </c>
      <c r="B337" s="865" t="s">
        <v>357</v>
      </c>
      <c r="C337" s="1103"/>
      <c r="D337" s="1103"/>
      <c r="E337" s="1103"/>
      <c r="F337" s="1107">
        <v>0.14299999999999999</v>
      </c>
    </row>
    <row r="338" spans="1:6" ht="14.25" thickBot="1">
      <c r="A338" s="855" t="s">
        <v>935</v>
      </c>
      <c r="B338" s="856" t="s">
        <v>936</v>
      </c>
      <c r="C338" s="1098">
        <v>0.15</v>
      </c>
      <c r="D338" s="1098">
        <v>0.15</v>
      </c>
      <c r="E338" s="1098">
        <v>0.15</v>
      </c>
      <c r="F338" s="1115"/>
    </row>
    <row r="339" spans="1:6" ht="14.25" thickBot="1">
      <c r="A339" s="855" t="s">
        <v>935</v>
      </c>
      <c r="B339" s="849" t="s">
        <v>937</v>
      </c>
      <c r="C339" s="1100">
        <v>0.15</v>
      </c>
      <c r="D339" s="1100">
        <v>0.15</v>
      </c>
      <c r="E339" s="1100">
        <v>0.15</v>
      </c>
      <c r="F339" s="1105"/>
    </row>
    <row r="340" spans="1:6" ht="14.25" thickBot="1">
      <c r="A340" s="855" t="s">
        <v>935</v>
      </c>
      <c r="B340" s="849" t="s">
        <v>938</v>
      </c>
      <c r="C340" s="1100">
        <v>0.15</v>
      </c>
      <c r="D340" s="1100">
        <v>0.15</v>
      </c>
      <c r="E340" s="1100">
        <v>0.15</v>
      </c>
      <c r="F340" s="1105"/>
    </row>
    <row r="341" spans="1:6" ht="14.25" thickBot="1">
      <c r="A341" s="855" t="s">
        <v>935</v>
      </c>
      <c r="B341" s="849" t="s">
        <v>939</v>
      </c>
      <c r="C341" s="1100">
        <v>0.15</v>
      </c>
      <c r="D341" s="1100">
        <v>0.15</v>
      </c>
      <c r="E341" s="1100">
        <v>0.15</v>
      </c>
      <c r="F341" s="1101">
        <v>0.15</v>
      </c>
    </row>
    <row r="342" spans="1:6" ht="14.25" thickBot="1">
      <c r="A342" s="855" t="s">
        <v>935</v>
      </c>
      <c r="B342" s="849" t="s">
        <v>940</v>
      </c>
      <c r="C342" s="1100">
        <v>0.15</v>
      </c>
      <c r="D342" s="1100">
        <v>0.15</v>
      </c>
      <c r="E342" s="1100">
        <v>0.15</v>
      </c>
      <c r="F342" s="1101">
        <v>0.15</v>
      </c>
    </row>
    <row r="343" spans="1:6" ht="14.25" thickBot="1">
      <c r="A343" s="855" t="s">
        <v>935</v>
      </c>
      <c r="B343" s="849" t="s">
        <v>941</v>
      </c>
      <c r="C343" s="1100">
        <v>0.15</v>
      </c>
      <c r="D343" s="1100">
        <v>0.15</v>
      </c>
      <c r="E343" s="1100">
        <v>0.15</v>
      </c>
      <c r="F343" s="1101">
        <v>0.15</v>
      </c>
    </row>
    <row r="344" spans="1:6" ht="14.25" thickBot="1">
      <c r="A344" s="872" t="s">
        <v>935</v>
      </c>
      <c r="B344" s="865" t="s">
        <v>942</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7">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9"/>
      <c r="H5" s="967">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7">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7">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9"/>
      <c r="H8" s="967">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7">
        <v>0.01</v>
      </c>
      <c r="I9" s="805">
        <f t="shared" si="2"/>
        <v>0.02</v>
      </c>
      <c r="J9" s="805">
        <f t="shared" si="3"/>
        <v>0.01</v>
      </c>
      <c r="K9" s="804">
        <v>0</v>
      </c>
      <c r="L9" s="805">
        <f t="shared" si="0"/>
        <v>-0.01</v>
      </c>
      <c r="M9" s="805">
        <f t="shared" si="0"/>
        <v>-0.02</v>
      </c>
    </row>
    <row r="10" spans="1:20" ht="14.25">
      <c r="A10" s="832" t="s">
        <v>719</v>
      </c>
      <c r="B10" s="1204" t="str">
        <f>估价对象房地状况!C7</f>
        <v>估价对象所在区域公共配套设施齐备情况</v>
      </c>
      <c r="C10" s="806" t="s">
        <v>29</v>
      </c>
      <c r="D10" s="826">
        <f t="shared" si="1"/>
        <v>0.04</v>
      </c>
      <c r="E10" s="827">
        <v>0.05</v>
      </c>
      <c r="F10" s="831"/>
      <c r="G10" s="1279"/>
      <c r="H10" s="967">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7">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9"/>
      <c r="H12" s="967">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7">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9"/>
      <c r="H16" s="967">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7">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7">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9"/>
      <c r="H19" s="967">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7">
        <v>0.01</v>
      </c>
      <c r="I20" s="805">
        <f t="shared" si="6"/>
        <v>0.02</v>
      </c>
      <c r="J20" s="805">
        <f t="shared" si="7"/>
        <v>0.01</v>
      </c>
      <c r="K20" s="804">
        <v>0</v>
      </c>
      <c r="L20" s="805">
        <f t="shared" si="5"/>
        <v>-0.01</v>
      </c>
      <c r="M20" s="805">
        <f t="shared" si="5"/>
        <v>-0.02</v>
      </c>
    </row>
    <row r="21" spans="1:20" ht="14.25">
      <c r="A21" s="819" t="s">
        <v>719</v>
      </c>
      <c r="B21" s="1204" t="str">
        <f>估价对象房地状况!C7</f>
        <v>估价对象所在区域公共配套设施齐备情况</v>
      </c>
      <c r="C21" s="806" t="s">
        <v>713</v>
      </c>
      <c r="D21" s="826">
        <f t="shared" si="4"/>
        <v>0.02</v>
      </c>
      <c r="E21" s="827">
        <v>0.06</v>
      </c>
      <c r="F21" s="831"/>
      <c r="G21" s="1279"/>
      <c r="H21" s="967">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7">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9"/>
      <c r="H23" s="967">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7">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1"/>
      <c r="H27" s="967">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7">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1"/>
      <c r="H29" s="967">
        <v>2.5000000000000001E-2</v>
      </c>
      <c r="I29" s="805">
        <f t="shared" si="10"/>
        <v>0.05</v>
      </c>
      <c r="J29" s="805">
        <f t="shared" si="11"/>
        <v>2.5000000000000001E-2</v>
      </c>
      <c r="K29" s="804">
        <v>0</v>
      </c>
      <c r="L29" s="805">
        <f t="shared" si="9"/>
        <v>-2.5000000000000001E-2</v>
      </c>
      <c r="M29" s="805">
        <f t="shared" si="9"/>
        <v>-0.05</v>
      </c>
    </row>
    <row r="30" spans="1:20" s="1277" customFormat="1" ht="14.25">
      <c r="A30" s="819" t="s">
        <v>719</v>
      </c>
      <c r="B30" s="1204" t="str">
        <f>估价对象房地状况!C7</f>
        <v>估价对象所在区域公共配套设施齐备情况</v>
      </c>
      <c r="C30" s="806" t="s">
        <v>713</v>
      </c>
      <c r="D30" s="826">
        <f t="shared" si="8"/>
        <v>0.03</v>
      </c>
      <c r="E30" s="827">
        <v>0.08</v>
      </c>
      <c r="F30" s="839"/>
      <c r="G30" s="1281"/>
      <c r="H30" s="967">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7">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7">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1"/>
      <c r="H33" s="967">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7">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7">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7">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7">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7">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7">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7">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7">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7">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6" t="s">
        <v>105</v>
      </c>
      <c r="B1" s="3106"/>
      <c r="C1" s="3106"/>
      <c r="D1" s="3106"/>
      <c r="E1" s="3106"/>
      <c r="F1" s="3106"/>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7" t="s">
        <v>118</v>
      </c>
      <c r="B2" s="3107"/>
      <c r="C2" s="3107"/>
      <c r="D2" s="3107"/>
      <c r="E2" s="3107"/>
      <c r="F2" s="3107"/>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8"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9"/>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0" t="s">
        <v>741</v>
      </c>
      <c r="D17" s="904"/>
      <c r="E17" s="820" t="s">
        <v>516</v>
      </c>
      <c r="F17" s="905"/>
      <c r="G17" s="905"/>
    </row>
    <row r="18" spans="1:9" s="911" customFormat="1" ht="19.5" customHeight="1">
      <c r="A18" s="3110" t="s">
        <v>132</v>
      </c>
      <c r="B18" s="906" t="s">
        <v>517</v>
      </c>
      <c r="C18" s="907" t="s">
        <v>518</v>
      </c>
      <c r="D18" s="908"/>
      <c r="E18" s="906">
        <v>1</v>
      </c>
      <c r="F18" s="909" t="s">
        <v>519</v>
      </c>
      <c r="G18" s="910"/>
      <c r="H18" s="902"/>
      <c r="I18" s="902"/>
    </row>
    <row r="19" spans="1:9" s="911" customFormat="1" ht="19.5" customHeight="1">
      <c r="A19" s="3110"/>
      <c r="B19" s="3110" t="s">
        <v>520</v>
      </c>
      <c r="C19" s="907" t="s">
        <v>521</v>
      </c>
      <c r="D19" s="908"/>
      <c r="E19" s="906">
        <v>0.9</v>
      </c>
      <c r="F19" s="909" t="s">
        <v>522</v>
      </c>
      <c r="G19" s="910"/>
      <c r="H19" s="902"/>
      <c r="I19" s="902"/>
    </row>
    <row r="20" spans="1:9" s="911" customFormat="1" ht="19.5" customHeight="1">
      <c r="A20" s="3110"/>
      <c r="B20" s="3110"/>
      <c r="C20" s="907" t="s">
        <v>523</v>
      </c>
      <c r="D20" s="908"/>
      <c r="E20" s="906">
        <v>1.1000000000000001</v>
      </c>
      <c r="F20" s="909" t="s">
        <v>524</v>
      </c>
      <c r="G20" s="910"/>
      <c r="H20" s="902"/>
      <c r="I20" s="902"/>
    </row>
    <row r="21" spans="1:9" s="911" customFormat="1" ht="19.5" customHeight="1">
      <c r="A21" s="3110"/>
      <c r="B21" s="3110"/>
      <c r="C21" s="907" t="s">
        <v>525</v>
      </c>
      <c r="D21" s="908"/>
      <c r="E21" s="906">
        <v>0.8</v>
      </c>
      <c r="F21" s="909" t="s">
        <v>526</v>
      </c>
      <c r="G21" s="910"/>
      <c r="H21" s="902"/>
      <c r="I21" s="902"/>
    </row>
    <row r="22" spans="1:9" s="911" customFormat="1" ht="19.5" customHeight="1">
      <c r="A22" s="3110"/>
      <c r="B22" s="3110"/>
      <c r="C22" s="907" t="s">
        <v>527</v>
      </c>
      <c r="D22" s="908"/>
      <c r="E22" s="906">
        <v>0.5</v>
      </c>
      <c r="F22" s="909"/>
      <c r="G22" s="910"/>
      <c r="H22" s="902"/>
      <c r="I22" s="902"/>
    </row>
    <row r="23" spans="1:9" s="911" customFormat="1" ht="19.5" customHeight="1">
      <c r="A23" s="3110" t="s">
        <v>133</v>
      </c>
      <c r="B23" s="906" t="s">
        <v>517</v>
      </c>
      <c r="C23" s="907" t="s">
        <v>528</v>
      </c>
      <c r="D23" s="908"/>
      <c r="E23" s="906">
        <v>1</v>
      </c>
      <c r="F23" s="909" t="s">
        <v>529</v>
      </c>
      <c r="G23" s="910"/>
      <c r="H23" s="902"/>
      <c r="I23" s="902"/>
    </row>
    <row r="24" spans="1:9" s="911" customFormat="1" ht="19.5" customHeight="1">
      <c r="A24" s="3110"/>
      <c r="B24" s="3110" t="s">
        <v>520</v>
      </c>
      <c r="C24" s="907" t="s">
        <v>530</v>
      </c>
      <c r="D24" s="908"/>
      <c r="E24" s="906">
        <v>0.5</v>
      </c>
      <c r="F24" s="909"/>
      <c r="G24" s="910"/>
      <c r="H24" s="902"/>
      <c r="I24" s="902"/>
    </row>
    <row r="25" spans="1:9" s="911" customFormat="1" ht="19.5" customHeight="1">
      <c r="A25" s="3110"/>
      <c r="B25" s="3110"/>
      <c r="C25" s="907" t="s">
        <v>531</v>
      </c>
      <c r="D25" s="908"/>
      <c r="E25" s="906">
        <v>1.1000000000000001</v>
      </c>
      <c r="F25" s="909"/>
      <c r="G25" s="910"/>
      <c r="H25" s="902"/>
      <c r="I25" s="902"/>
    </row>
    <row r="26" spans="1:9" s="911" customFormat="1" ht="19.5" customHeight="1">
      <c r="A26" s="3110"/>
      <c r="B26" s="3110"/>
      <c r="C26" s="907" t="s">
        <v>532</v>
      </c>
      <c r="D26" s="908"/>
      <c r="E26" s="906">
        <v>1.1000000000000001</v>
      </c>
      <c r="F26" s="909"/>
      <c r="G26" s="910"/>
      <c r="H26" s="902"/>
      <c r="I26" s="902"/>
    </row>
    <row r="27" spans="1:9" s="911" customFormat="1" ht="19.5" customHeight="1">
      <c r="A27" s="3110"/>
      <c r="B27" s="3110"/>
      <c r="C27" s="907" t="s">
        <v>533</v>
      </c>
      <c r="D27" s="908"/>
      <c r="E27" s="906">
        <v>0.9</v>
      </c>
      <c r="F27" s="909" t="s">
        <v>534</v>
      </c>
      <c r="G27" s="910"/>
      <c r="H27" s="902"/>
      <c r="I27" s="902"/>
    </row>
    <row r="28" spans="1:9" s="911" customFormat="1" ht="19.5" customHeight="1">
      <c r="A28" s="3110"/>
      <c r="B28" s="3110"/>
      <c r="C28" s="907" t="s">
        <v>535</v>
      </c>
      <c r="D28" s="908"/>
      <c r="E28" s="906">
        <v>0.9</v>
      </c>
      <c r="F28" s="909" t="s">
        <v>536</v>
      </c>
      <c r="G28" s="910"/>
      <c r="H28" s="902"/>
      <c r="I28" s="902"/>
    </row>
    <row r="29" spans="1:9" s="911" customFormat="1" ht="19.5" customHeight="1">
      <c r="A29" s="3110"/>
      <c r="B29" s="3110"/>
      <c r="C29" s="907" t="s">
        <v>537</v>
      </c>
      <c r="D29" s="908"/>
      <c r="E29" s="906">
        <v>0.9</v>
      </c>
      <c r="F29" s="909" t="s">
        <v>538</v>
      </c>
      <c r="G29" s="910"/>
      <c r="H29" s="902"/>
      <c r="I29" s="902"/>
    </row>
    <row r="30" spans="1:9" s="911" customFormat="1" ht="19.5" customHeight="1">
      <c r="A30" s="3110"/>
      <c r="B30" s="3110"/>
      <c r="C30" s="907" t="s">
        <v>539</v>
      </c>
      <c r="D30" s="908"/>
      <c r="E30" s="906">
        <v>0.9</v>
      </c>
      <c r="F30" s="909" t="s">
        <v>540</v>
      </c>
      <c r="G30" s="910"/>
      <c r="H30" s="902"/>
      <c r="I30" s="902"/>
    </row>
    <row r="31" spans="1:9" s="911" customFormat="1" ht="19.5" customHeight="1">
      <c r="A31" s="3110"/>
      <c r="B31" s="3110"/>
      <c r="C31" s="907" t="s">
        <v>541</v>
      </c>
      <c r="D31" s="908"/>
      <c r="E31" s="906">
        <v>0.8</v>
      </c>
      <c r="F31" s="909" t="s">
        <v>542</v>
      </c>
      <c r="G31" s="910"/>
      <c r="H31" s="902"/>
      <c r="I31" s="902"/>
    </row>
    <row r="32" spans="1:9" s="911" customFormat="1" ht="19.5" customHeight="1">
      <c r="A32" s="3110"/>
      <c r="B32" s="3110"/>
      <c r="C32" s="907" t="s">
        <v>543</v>
      </c>
      <c r="D32" s="908"/>
      <c r="E32" s="906">
        <v>0.8</v>
      </c>
      <c r="F32" s="909" t="s">
        <v>544</v>
      </c>
      <c r="G32" s="910"/>
      <c r="H32" s="902"/>
      <c r="I32" s="902"/>
    </row>
    <row r="33" spans="1:9" s="911" customFormat="1" ht="19.5" customHeight="1">
      <c r="A33" s="3110" t="s">
        <v>134</v>
      </c>
      <c r="B33" s="906" t="s">
        <v>517</v>
      </c>
      <c r="C33" s="907" t="s">
        <v>545</v>
      </c>
      <c r="D33" s="908"/>
      <c r="E33" s="906">
        <v>1</v>
      </c>
      <c r="F33" s="909" t="s">
        <v>546</v>
      </c>
      <c r="G33" s="910"/>
      <c r="H33" s="902"/>
      <c r="I33" s="902"/>
    </row>
    <row r="34" spans="1:9" s="911" customFormat="1" ht="19.5" customHeight="1">
      <c r="A34" s="3110"/>
      <c r="B34" s="906" t="s">
        <v>520</v>
      </c>
      <c r="C34" s="907" t="s">
        <v>547</v>
      </c>
      <c r="D34" s="908"/>
      <c r="E34" s="906">
        <v>1.5</v>
      </c>
      <c r="F34" s="909" t="s">
        <v>548</v>
      </c>
      <c r="G34" s="910"/>
      <c r="H34" s="902"/>
      <c r="I34" s="902"/>
    </row>
    <row r="35" spans="1:9" s="911" customFormat="1" ht="19.5" customHeight="1">
      <c r="A35" s="3110" t="s">
        <v>135</v>
      </c>
      <c r="B35" s="906" t="s">
        <v>517</v>
      </c>
      <c r="C35" s="907" t="s">
        <v>549</v>
      </c>
      <c r="D35" s="908"/>
      <c r="E35" s="906">
        <v>1</v>
      </c>
      <c r="F35" s="909" t="s">
        <v>550</v>
      </c>
      <c r="G35" s="910"/>
      <c r="H35" s="902"/>
      <c r="I35" s="902"/>
    </row>
    <row r="36" spans="1:9" s="911" customFormat="1" ht="19.5" customHeight="1">
      <c r="A36" s="3110"/>
      <c r="B36" s="3110" t="s">
        <v>520</v>
      </c>
      <c r="C36" s="907" t="s">
        <v>551</v>
      </c>
      <c r="D36" s="908"/>
      <c r="E36" s="906">
        <v>1</v>
      </c>
      <c r="F36" s="909" t="s">
        <v>552</v>
      </c>
      <c r="G36" s="910"/>
      <c r="H36" s="902"/>
      <c r="I36" s="902"/>
    </row>
    <row r="37" spans="1:9" s="911" customFormat="1" ht="19.5" customHeight="1">
      <c r="A37" s="3110"/>
      <c r="B37" s="3110"/>
      <c r="C37" s="907" t="s">
        <v>553</v>
      </c>
      <c r="D37" s="908"/>
      <c r="E37" s="906">
        <v>1.5</v>
      </c>
      <c r="F37" s="909" t="s">
        <v>554</v>
      </c>
      <c r="G37" s="910"/>
      <c r="H37" s="902"/>
      <c r="I37" s="902"/>
    </row>
    <row r="38" spans="1:9" s="911" customFormat="1" ht="19.5" customHeight="1">
      <c r="A38" s="3110"/>
      <c r="B38" s="3110"/>
      <c r="C38" s="907" t="s">
        <v>555</v>
      </c>
      <c r="D38" s="908"/>
      <c r="E38" s="906">
        <v>1</v>
      </c>
      <c r="F38" s="909" t="s">
        <v>556</v>
      </c>
      <c r="G38" s="910"/>
      <c r="H38" s="902"/>
      <c r="I38" s="902"/>
    </row>
    <row r="39" spans="1:9" s="911" customFormat="1" ht="19.5" customHeight="1">
      <c r="A39" s="3110"/>
      <c r="B39" s="3110"/>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8"/>
      <c r="B60" s="968"/>
      <c r="C60" s="968" t="s">
        <v>702</v>
      </c>
      <c r="D60" s="968"/>
      <c r="E60" s="919" t="s">
        <v>1</v>
      </c>
      <c r="F60" s="968" t="s">
        <v>1</v>
      </c>
    </row>
    <row r="61" spans="1:8" s="902" customFormat="1" ht="24">
      <c r="A61" s="906">
        <v>1</v>
      </c>
      <c r="B61" s="3110" t="s">
        <v>571</v>
      </c>
      <c r="C61" s="820" t="s">
        <v>572</v>
      </c>
      <c r="D61" s="820" t="s">
        <v>573</v>
      </c>
      <c r="E61" s="919">
        <v>0.5</v>
      </c>
      <c r="F61" s="906">
        <v>80</v>
      </c>
    </row>
    <row r="62" spans="1:8" s="902" customFormat="1" ht="24">
      <c r="A62" s="906">
        <v>2</v>
      </c>
      <c r="B62" s="3110"/>
      <c r="C62" s="820" t="s">
        <v>574</v>
      </c>
      <c r="D62" s="820" t="s">
        <v>575</v>
      </c>
      <c r="E62" s="919">
        <v>0.5</v>
      </c>
      <c r="F62" s="906">
        <v>80</v>
      </c>
    </row>
    <row r="63" spans="1:8" s="902" customFormat="1" ht="36">
      <c r="A63" s="906">
        <v>3</v>
      </c>
      <c r="B63" s="3110"/>
      <c r="C63" s="820" t="s">
        <v>576</v>
      </c>
      <c r="D63" s="820" t="s">
        <v>577</v>
      </c>
      <c r="E63" s="919">
        <v>0.5</v>
      </c>
      <c r="F63" s="906">
        <v>80</v>
      </c>
    </row>
    <row r="64" spans="1:8" s="902" customFormat="1" ht="36">
      <c r="A64" s="906">
        <v>4</v>
      </c>
      <c r="B64" s="3110"/>
      <c r="C64" s="820" t="s">
        <v>578</v>
      </c>
      <c r="D64" s="820" t="s">
        <v>579</v>
      </c>
      <c r="E64" s="919">
        <v>0.4</v>
      </c>
      <c r="F64" s="906">
        <v>60</v>
      </c>
    </row>
    <row r="65" spans="1:6" s="902" customFormat="1" ht="36">
      <c r="A65" s="906">
        <v>5</v>
      </c>
      <c r="B65" s="3110"/>
      <c r="C65" s="820" t="s">
        <v>580</v>
      </c>
      <c r="D65" s="820" t="s">
        <v>581</v>
      </c>
      <c r="E65" s="919">
        <v>0.2</v>
      </c>
      <c r="F65" s="906">
        <v>30</v>
      </c>
    </row>
    <row r="66" spans="1:6" s="902" customFormat="1" ht="36">
      <c r="A66" s="906">
        <v>6</v>
      </c>
      <c r="B66" s="3110"/>
      <c r="C66" s="820" t="s">
        <v>582</v>
      </c>
      <c r="D66" s="820" t="s">
        <v>583</v>
      </c>
      <c r="E66" s="919">
        <v>0.3</v>
      </c>
      <c r="F66" s="906">
        <v>50</v>
      </c>
    </row>
    <row r="67" spans="1:6" s="902" customFormat="1" ht="36">
      <c r="A67" s="906">
        <v>7</v>
      </c>
      <c r="B67" s="3110"/>
      <c r="C67" s="820" t="s">
        <v>584</v>
      </c>
      <c r="D67" s="820" t="s">
        <v>585</v>
      </c>
      <c r="E67" s="919">
        <v>0.2</v>
      </c>
      <c r="F67" s="906">
        <v>30</v>
      </c>
    </row>
    <row r="68" spans="1:6" s="902" customFormat="1" ht="36">
      <c r="A68" s="906">
        <v>8</v>
      </c>
      <c r="B68" s="3110"/>
      <c r="C68" s="820" t="s">
        <v>586</v>
      </c>
      <c r="D68" s="820" t="s">
        <v>587</v>
      </c>
      <c r="E68" s="919">
        <v>0.2</v>
      </c>
      <c r="F68" s="906">
        <v>30</v>
      </c>
    </row>
    <row r="69" spans="1:6" s="902" customFormat="1" ht="36">
      <c r="A69" s="906">
        <v>9</v>
      </c>
      <c r="B69" s="3110"/>
      <c r="C69" s="820" t="s">
        <v>588</v>
      </c>
      <c r="D69" s="820" t="s">
        <v>589</v>
      </c>
      <c r="E69" s="919">
        <v>0.2</v>
      </c>
      <c r="F69" s="906">
        <v>30</v>
      </c>
    </row>
    <row r="70" spans="1:6" s="902" customFormat="1" ht="48">
      <c r="A70" s="906">
        <v>10</v>
      </c>
      <c r="B70" s="3110"/>
      <c r="C70" s="820" t="s">
        <v>590</v>
      </c>
      <c r="D70" s="820" t="s">
        <v>591</v>
      </c>
      <c r="E70" s="919">
        <v>0.2</v>
      </c>
      <c r="F70" s="906">
        <v>30</v>
      </c>
    </row>
    <row r="71" spans="1:6" s="902" customFormat="1" ht="48">
      <c r="A71" s="906">
        <v>11</v>
      </c>
      <c r="B71" s="3110"/>
      <c r="C71" s="820" t="s">
        <v>592</v>
      </c>
      <c r="D71" s="820" t="s">
        <v>593</v>
      </c>
      <c r="E71" s="919">
        <v>0.2</v>
      </c>
      <c r="F71" s="906">
        <v>30</v>
      </c>
    </row>
    <row r="72" spans="1:6" s="902" customFormat="1" ht="36">
      <c r="A72" s="906">
        <v>12</v>
      </c>
      <c r="B72" s="3110"/>
      <c r="C72" s="820" t="s">
        <v>594</v>
      </c>
      <c r="D72" s="820" t="s">
        <v>595</v>
      </c>
      <c r="E72" s="919">
        <v>0.5</v>
      </c>
      <c r="F72" s="906">
        <v>80</v>
      </c>
    </row>
    <row r="73" spans="1:6" s="902" customFormat="1" ht="24">
      <c r="A73" s="906">
        <v>13</v>
      </c>
      <c r="B73" s="3110"/>
      <c r="C73" s="820" t="s">
        <v>596</v>
      </c>
      <c r="D73" s="820" t="s">
        <v>597</v>
      </c>
      <c r="E73" s="919">
        <v>0.4</v>
      </c>
      <c r="F73" s="906">
        <v>60</v>
      </c>
    </row>
    <row r="74" spans="1:6" s="902" customFormat="1" ht="24">
      <c r="A74" s="906">
        <v>14</v>
      </c>
      <c r="B74" s="3110"/>
      <c r="C74" s="820" t="s">
        <v>598</v>
      </c>
      <c r="D74" s="820" t="s">
        <v>599</v>
      </c>
      <c r="E74" s="919">
        <v>0.2</v>
      </c>
      <c r="F74" s="906">
        <v>30</v>
      </c>
    </row>
    <row r="75" spans="1:6" s="902" customFormat="1" ht="24">
      <c r="A75" s="906">
        <v>15</v>
      </c>
      <c r="B75" s="3110"/>
      <c r="C75" s="820" t="s">
        <v>600</v>
      </c>
      <c r="D75" s="820" t="s">
        <v>601</v>
      </c>
      <c r="E75" s="919">
        <v>0.2</v>
      </c>
      <c r="F75" s="906">
        <v>30</v>
      </c>
    </row>
    <row r="76" spans="1:6" s="902" customFormat="1" ht="24">
      <c r="A76" s="906">
        <v>16</v>
      </c>
      <c r="B76" s="3110" t="s">
        <v>602</v>
      </c>
      <c r="C76" s="820" t="s">
        <v>603</v>
      </c>
      <c r="D76" s="820" t="s">
        <v>604</v>
      </c>
      <c r="E76" s="919">
        <v>0.5</v>
      </c>
      <c r="F76" s="906">
        <v>80</v>
      </c>
    </row>
    <row r="77" spans="1:6" s="902" customFormat="1" ht="24">
      <c r="A77" s="906">
        <v>17</v>
      </c>
      <c r="B77" s="3110"/>
      <c r="C77" s="820" t="s">
        <v>605</v>
      </c>
      <c r="D77" s="820" t="s">
        <v>606</v>
      </c>
      <c r="E77" s="919">
        <v>0.5</v>
      </c>
      <c r="F77" s="906">
        <v>80</v>
      </c>
    </row>
    <row r="78" spans="1:6" s="902" customFormat="1" ht="24">
      <c r="A78" s="906">
        <v>18</v>
      </c>
      <c r="B78" s="3110"/>
      <c r="C78" s="820" t="s">
        <v>607</v>
      </c>
      <c r="D78" s="820" t="s">
        <v>608</v>
      </c>
      <c r="E78" s="919">
        <v>0.2</v>
      </c>
      <c r="F78" s="906">
        <v>30</v>
      </c>
    </row>
    <row r="79" spans="1:6" s="902" customFormat="1" ht="24">
      <c r="A79" s="906">
        <v>19</v>
      </c>
      <c r="B79" s="3110"/>
      <c r="C79" s="820" t="s">
        <v>609</v>
      </c>
      <c r="D79" s="820" t="s">
        <v>610</v>
      </c>
      <c r="E79" s="919">
        <v>0.5</v>
      </c>
      <c r="F79" s="906">
        <v>80</v>
      </c>
    </row>
    <row r="80" spans="1:6" s="902" customFormat="1" ht="36">
      <c r="A80" s="906">
        <v>20</v>
      </c>
      <c r="B80" s="3110"/>
      <c r="C80" s="820" t="s">
        <v>611</v>
      </c>
      <c r="D80" s="820" t="s">
        <v>612</v>
      </c>
      <c r="E80" s="919">
        <v>0.2</v>
      </c>
      <c r="F80" s="906">
        <v>30</v>
      </c>
    </row>
    <row r="81" spans="1:6" s="902" customFormat="1" ht="36">
      <c r="A81" s="906">
        <v>21</v>
      </c>
      <c r="B81" s="3110"/>
      <c r="C81" s="820" t="s">
        <v>613</v>
      </c>
      <c r="D81" s="820" t="s">
        <v>614</v>
      </c>
      <c r="E81" s="919">
        <v>0.2</v>
      </c>
      <c r="F81" s="906">
        <v>30</v>
      </c>
    </row>
    <row r="82" spans="1:6" s="902" customFormat="1" ht="48">
      <c r="A82" s="906">
        <v>22</v>
      </c>
      <c r="B82" s="3110"/>
      <c r="C82" s="820" t="s">
        <v>615</v>
      </c>
      <c r="D82" s="820" t="s">
        <v>616</v>
      </c>
      <c r="E82" s="919">
        <v>0.2</v>
      </c>
      <c r="F82" s="906">
        <v>30</v>
      </c>
    </row>
    <row r="83" spans="1:6" s="902" customFormat="1" ht="48">
      <c r="A83" s="906">
        <v>23</v>
      </c>
      <c r="B83" s="3110"/>
      <c r="C83" s="820" t="s">
        <v>617</v>
      </c>
      <c r="D83" s="820" t="s">
        <v>618</v>
      </c>
      <c r="E83" s="919">
        <v>0.2</v>
      </c>
      <c r="F83" s="906">
        <v>30</v>
      </c>
    </row>
    <row r="84" spans="1:6" s="902" customFormat="1" ht="36">
      <c r="A84" s="906">
        <v>24</v>
      </c>
      <c r="B84" s="3110"/>
      <c r="C84" s="820" t="s">
        <v>619</v>
      </c>
      <c r="D84" s="820" t="s">
        <v>620</v>
      </c>
      <c r="E84" s="919">
        <v>0.2</v>
      </c>
      <c r="F84" s="906">
        <v>30</v>
      </c>
    </row>
    <row r="85" spans="1:6" s="902" customFormat="1" ht="36">
      <c r="A85" s="906">
        <v>25</v>
      </c>
      <c r="B85" s="3110"/>
      <c r="C85" s="820" t="s">
        <v>621</v>
      </c>
      <c r="D85" s="820" t="s">
        <v>622</v>
      </c>
      <c r="E85" s="919">
        <v>0.5</v>
      </c>
      <c r="F85" s="906">
        <v>80</v>
      </c>
    </row>
    <row r="86" spans="1:6" s="902" customFormat="1" ht="36">
      <c r="A86" s="906">
        <v>26</v>
      </c>
      <c r="B86" s="3110"/>
      <c r="C86" s="820" t="s">
        <v>623</v>
      </c>
      <c r="D86" s="820" t="s">
        <v>624</v>
      </c>
      <c r="E86" s="919">
        <v>0.2</v>
      </c>
      <c r="F86" s="906">
        <v>30</v>
      </c>
    </row>
    <row r="87" spans="1:6" s="902" customFormat="1" ht="36">
      <c r="A87" s="906">
        <v>27</v>
      </c>
      <c r="B87" s="3110"/>
      <c r="C87" s="820" t="s">
        <v>625</v>
      </c>
      <c r="D87" s="820" t="s">
        <v>626</v>
      </c>
      <c r="E87" s="919">
        <v>0.2</v>
      </c>
      <c r="F87" s="906">
        <v>30</v>
      </c>
    </row>
    <row r="88" spans="1:6" s="902" customFormat="1" ht="36">
      <c r="A88" s="906">
        <v>28</v>
      </c>
      <c r="B88" s="3110"/>
      <c r="C88" s="820" t="s">
        <v>627</v>
      </c>
      <c r="D88" s="820" t="s">
        <v>628</v>
      </c>
      <c r="E88" s="919">
        <v>0.2</v>
      </c>
      <c r="F88" s="906">
        <v>30</v>
      </c>
    </row>
    <row r="89" spans="1:6" s="902" customFormat="1" ht="24">
      <c r="A89" s="906">
        <v>29</v>
      </c>
      <c r="B89" s="3110"/>
      <c r="C89" s="820" t="s">
        <v>629</v>
      </c>
      <c r="D89" s="820" t="s">
        <v>630</v>
      </c>
      <c r="E89" s="919">
        <v>0.2</v>
      </c>
      <c r="F89" s="906">
        <v>30</v>
      </c>
    </row>
    <row r="90" spans="1:6" s="902" customFormat="1" ht="24">
      <c r="A90" s="906">
        <v>30</v>
      </c>
      <c r="B90" s="3110"/>
      <c r="C90" s="820" t="s">
        <v>631</v>
      </c>
      <c r="D90" s="820" t="s">
        <v>632</v>
      </c>
      <c r="E90" s="919">
        <v>0.2</v>
      </c>
      <c r="F90" s="906">
        <v>30</v>
      </c>
    </row>
    <row r="91" spans="1:6" s="902" customFormat="1" ht="36">
      <c r="A91" s="906">
        <v>31</v>
      </c>
      <c r="B91" s="3110"/>
      <c r="C91" s="820" t="s">
        <v>633</v>
      </c>
      <c r="D91" s="820" t="s">
        <v>634</v>
      </c>
      <c r="E91" s="919">
        <v>0.2</v>
      </c>
      <c r="F91" s="906">
        <v>30</v>
      </c>
    </row>
    <row r="92" spans="1:6" s="902" customFormat="1" ht="24">
      <c r="A92" s="906">
        <v>32</v>
      </c>
      <c r="B92" s="3110" t="s">
        <v>635</v>
      </c>
      <c r="C92" s="906" t="s">
        <v>636</v>
      </c>
      <c r="D92" s="820" t="s">
        <v>637</v>
      </c>
      <c r="E92" s="919">
        <v>0.2</v>
      </c>
      <c r="F92" s="906">
        <v>30</v>
      </c>
    </row>
    <row r="93" spans="1:6" s="902" customFormat="1" ht="36">
      <c r="A93" s="906">
        <v>33</v>
      </c>
      <c r="B93" s="3110"/>
      <c r="C93" s="906" t="s">
        <v>638</v>
      </c>
      <c r="D93" s="820" t="s">
        <v>639</v>
      </c>
      <c r="E93" s="919">
        <v>0.2</v>
      </c>
      <c r="F93" s="906">
        <v>30</v>
      </c>
    </row>
    <row r="94" spans="1:6" s="902" customFormat="1" ht="48">
      <c r="A94" s="906">
        <v>34</v>
      </c>
      <c r="B94" s="3110"/>
      <c r="C94" s="906" t="s">
        <v>640</v>
      </c>
      <c r="D94" s="820" t="s">
        <v>641</v>
      </c>
      <c r="E94" s="919">
        <v>0.2</v>
      </c>
      <c r="F94" s="906">
        <v>30</v>
      </c>
    </row>
    <row r="95" spans="1:6" s="902" customFormat="1" ht="36">
      <c r="A95" s="906">
        <v>35</v>
      </c>
      <c r="B95" s="3110"/>
      <c r="C95" s="906" t="s">
        <v>642</v>
      </c>
      <c r="D95" s="820" t="s">
        <v>643</v>
      </c>
      <c r="E95" s="919">
        <v>0.2</v>
      </c>
      <c r="F95" s="906">
        <v>30</v>
      </c>
    </row>
    <row r="96" spans="1:6" s="902" customFormat="1" ht="48">
      <c r="A96" s="906">
        <v>36</v>
      </c>
      <c r="B96" s="3110"/>
      <c r="C96" s="820" t="s">
        <v>644</v>
      </c>
      <c r="D96" s="820" t="s">
        <v>645</v>
      </c>
      <c r="E96" s="919">
        <v>0.2</v>
      </c>
      <c r="F96" s="906">
        <v>30</v>
      </c>
    </row>
    <row r="97" spans="1:6" s="902" customFormat="1" ht="36">
      <c r="A97" s="906">
        <v>37</v>
      </c>
      <c r="B97" s="3110"/>
      <c r="C97" s="906" t="s">
        <v>646</v>
      </c>
      <c r="D97" s="820" t="s">
        <v>647</v>
      </c>
      <c r="E97" s="919">
        <v>0.2</v>
      </c>
      <c r="F97" s="906">
        <v>30</v>
      </c>
    </row>
    <row r="98" spans="1:6" s="902" customFormat="1" ht="36">
      <c r="A98" s="906">
        <v>38</v>
      </c>
      <c r="B98" s="3110"/>
      <c r="C98" s="906" t="s">
        <v>648</v>
      </c>
      <c r="D98" s="820" t="s">
        <v>649</v>
      </c>
      <c r="E98" s="919">
        <v>0.2</v>
      </c>
      <c r="F98" s="906">
        <v>30</v>
      </c>
    </row>
    <row r="99" spans="1:6" s="902" customFormat="1" ht="36">
      <c r="A99" s="906">
        <v>39</v>
      </c>
      <c r="B99" s="3110" t="s">
        <v>650</v>
      </c>
      <c r="C99" s="906" t="s">
        <v>651</v>
      </c>
      <c r="D99" s="820" t="s">
        <v>652</v>
      </c>
      <c r="E99" s="919">
        <v>0.3</v>
      </c>
      <c r="F99" s="906">
        <v>50</v>
      </c>
    </row>
    <row r="100" spans="1:6" s="902" customFormat="1" ht="24">
      <c r="A100" s="906">
        <v>40</v>
      </c>
      <c r="B100" s="3110"/>
      <c r="C100" s="906" t="s">
        <v>653</v>
      </c>
      <c r="D100" s="820" t="s">
        <v>654</v>
      </c>
      <c r="E100" s="919">
        <v>0.2</v>
      </c>
      <c r="F100" s="906">
        <v>30</v>
      </c>
    </row>
    <row r="101" spans="1:6" s="902" customFormat="1" ht="36">
      <c r="A101" s="906">
        <v>41</v>
      </c>
      <c r="B101" s="3110"/>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0" t="s">
        <v>665</v>
      </c>
      <c r="C105" s="906" t="s">
        <v>666</v>
      </c>
      <c r="D105" s="820" t="s">
        <v>667</v>
      </c>
      <c r="E105" s="919">
        <v>0.2</v>
      </c>
      <c r="F105" s="906">
        <v>30</v>
      </c>
    </row>
    <row r="106" spans="1:6" s="902" customFormat="1" ht="36">
      <c r="A106" s="906">
        <v>46</v>
      </c>
      <c r="B106" s="3110"/>
      <c r="C106" s="906" t="s">
        <v>668</v>
      </c>
      <c r="D106" s="820" t="s">
        <v>669</v>
      </c>
      <c r="E106" s="919">
        <v>0.2</v>
      </c>
      <c r="F106" s="906">
        <v>30</v>
      </c>
    </row>
    <row r="107" spans="1:6" s="902" customFormat="1" ht="36">
      <c r="A107" s="906">
        <v>47</v>
      </c>
      <c r="B107" s="3110" t="s">
        <v>670</v>
      </c>
      <c r="C107" s="906" t="s">
        <v>671</v>
      </c>
      <c r="D107" s="820" t="s">
        <v>672</v>
      </c>
      <c r="E107" s="919">
        <v>0.3</v>
      </c>
      <c r="F107" s="906">
        <v>50</v>
      </c>
    </row>
    <row r="108" spans="1:6" s="902" customFormat="1" ht="36">
      <c r="A108" s="906">
        <v>48</v>
      </c>
      <c r="B108" s="3110"/>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0" t="s">
        <v>681</v>
      </c>
      <c r="C111" s="906" t="s">
        <v>682</v>
      </c>
      <c r="D111" s="820" t="s">
        <v>683</v>
      </c>
      <c r="E111" s="919">
        <v>0.2</v>
      </c>
      <c r="F111" s="906">
        <v>30</v>
      </c>
    </row>
    <row r="112" spans="1:6" s="902" customFormat="1" ht="24">
      <c r="A112" s="906">
        <v>52</v>
      </c>
      <c r="B112" s="3110"/>
      <c r="C112" s="906" t="s">
        <v>684</v>
      </c>
      <c r="D112" s="820" t="s">
        <v>685</v>
      </c>
      <c r="E112" s="919">
        <v>0.2</v>
      </c>
      <c r="F112" s="906">
        <v>30</v>
      </c>
    </row>
    <row r="113" spans="1:6" s="902" customFormat="1" ht="24">
      <c r="A113" s="906">
        <v>53</v>
      </c>
      <c r="B113" s="3110"/>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0" t="s">
        <v>694</v>
      </c>
      <c r="C116" s="906" t="s">
        <v>695</v>
      </c>
      <c r="D116" s="820" t="s">
        <v>696</v>
      </c>
      <c r="E116" s="919">
        <v>0.2</v>
      </c>
      <c r="F116" s="906">
        <v>30</v>
      </c>
    </row>
    <row r="117" spans="1:6" ht="36">
      <c r="A117" s="906">
        <v>57</v>
      </c>
      <c r="B117" s="3110"/>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6" t="s">
        <v>1030</v>
      </c>
      <c r="C1" s="3116"/>
      <c r="D1" s="3116"/>
      <c r="E1" s="3116"/>
      <c r="F1" s="3116"/>
      <c r="G1" s="3115" t="s">
        <v>1031</v>
      </c>
      <c r="H1" s="3115"/>
      <c r="I1" s="3115"/>
      <c r="J1" s="3115"/>
      <c r="K1" s="3115"/>
      <c r="L1" s="3115"/>
      <c r="N1" s="3115" t="s">
        <v>1032</v>
      </c>
      <c r="O1" s="3115"/>
      <c r="P1" s="3115"/>
      <c r="Q1" s="3115"/>
      <c r="R1" s="1545"/>
      <c r="S1" s="3115" t="s">
        <v>1033</v>
      </c>
      <c r="T1" s="3115"/>
      <c r="U1" s="3115"/>
      <c r="V1" s="3115"/>
      <c r="X1" s="3114" t="s">
        <v>1034</v>
      </c>
      <c r="Y1" s="3115"/>
      <c r="Z1" s="3115"/>
      <c r="AA1" s="3115"/>
      <c r="AB1" s="3115"/>
      <c r="AD1" s="3114" t="s">
        <v>1035</v>
      </c>
      <c r="AE1" s="3115"/>
      <c r="AF1" s="3115"/>
      <c r="AG1" s="3115"/>
      <c r="AH1" s="3115"/>
    </row>
    <row r="2" spans="1:34" s="1546" customFormat="1" ht="14.25" thickBot="1">
      <c r="B2" s="1547" t="s">
        <v>1036</v>
      </c>
      <c r="C2" s="1547" t="s">
        <v>1037</v>
      </c>
      <c r="D2" s="1548" t="s">
        <v>1038</v>
      </c>
      <c r="E2" s="1548" t="s">
        <v>1039</v>
      </c>
      <c r="F2" s="1547" t="s">
        <v>1040</v>
      </c>
      <c r="G2" s="1549"/>
      <c r="H2" s="1550"/>
      <c r="I2" s="1547" t="s">
        <v>1258</v>
      </c>
      <c r="J2" s="1548" t="s">
        <v>1259</v>
      </c>
      <c r="K2" s="1548" t="s">
        <v>1260</v>
      </c>
      <c r="L2" s="1547" t="s">
        <v>1261</v>
      </c>
      <c r="N2" s="1547" t="s">
        <v>1036</v>
      </c>
      <c r="O2" s="1548" t="s">
        <v>1262</v>
      </c>
      <c r="P2" s="1548" t="s">
        <v>728</v>
      </c>
      <c r="Q2" s="1547" t="s">
        <v>1040</v>
      </c>
      <c r="R2" s="1551"/>
      <c r="S2" s="1547" t="s">
        <v>1036</v>
      </c>
      <c r="T2" s="1548" t="s">
        <v>1262</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13" customFormat="1" ht="14.25">
      <c r="A3" s="2724" t="s">
        <v>2806</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2" customFormat="1" ht="14.25">
      <c r="B4" s="1553"/>
      <c r="C4" s="1553"/>
      <c r="D4" s="1554"/>
      <c r="E4" s="1554"/>
      <c r="F4" s="1553"/>
      <c r="G4" s="1555"/>
      <c r="H4" s="1556"/>
      <c r="I4" s="2706"/>
      <c r="J4" s="2706"/>
      <c r="K4" s="2706"/>
      <c r="L4" s="2706"/>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2821</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9">
        <v>2019</v>
      </c>
      <c r="H5" s="1818">
        <v>1</v>
      </c>
      <c r="I5" s="2707">
        <v>0</v>
      </c>
      <c r="J5" s="2707">
        <v>0</v>
      </c>
      <c r="K5" s="2707">
        <v>0</v>
      </c>
      <c r="L5" s="2708">
        <v>0</v>
      </c>
      <c r="N5" s="1567">
        <f>I5/100</f>
        <v>0</v>
      </c>
      <c r="O5" s="1567">
        <f t="shared" ref="O5" si="6">J5/100</f>
        <v>0</v>
      </c>
      <c r="P5" s="1567">
        <f t="shared" ref="P5" si="7">K5/100</f>
        <v>0</v>
      </c>
      <c r="Q5" s="1567">
        <f t="shared" ref="Q5" si="8">L5/100</f>
        <v>0</v>
      </c>
      <c r="R5" s="1820"/>
      <c r="S5" s="1821"/>
      <c r="T5" s="1820"/>
      <c r="U5" s="1820"/>
      <c r="V5" s="1820"/>
      <c r="W5" s="2712" t="s">
        <v>2805</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2822</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112">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5" customHeight="1">
      <c r="A7" s="1560" t="s">
        <v>2814</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112"/>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5" customHeight="1">
      <c r="A8" s="1560" t="s">
        <v>2813</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112"/>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2810</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21"/>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2807</v>
      </c>
      <c r="B10" s="1569">
        <v>439</v>
      </c>
      <c r="C10" s="1569">
        <v>327</v>
      </c>
      <c r="D10" s="1569">
        <f t="shared" si="41"/>
        <v>327</v>
      </c>
      <c r="E10" s="1569">
        <v>627</v>
      </c>
      <c r="F10" s="1570">
        <v>283</v>
      </c>
      <c r="G10" s="3117">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5" customHeight="1">
      <c r="A11" s="1560" t="s">
        <v>2802</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112"/>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5" customHeight="1">
      <c r="A12" s="1560" t="s">
        <v>1257</v>
      </c>
      <c r="B12" s="1577">
        <f t="shared" si="29"/>
        <v>419.31181600000002</v>
      </c>
      <c r="C12" s="1577">
        <f t="shared" ref="C12" si="58">C13*(1+O12)</f>
        <v>313.95436800000004</v>
      </c>
      <c r="D12" s="1577">
        <f t="shared" si="41"/>
        <v>313.95436800000004</v>
      </c>
      <c r="E12" s="1577">
        <f t="shared" si="54"/>
        <v>596.63028431999999</v>
      </c>
      <c r="F12" s="1577">
        <f t="shared" si="54"/>
        <v>274.74220703999998</v>
      </c>
      <c r="G12" s="3112"/>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21"/>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117">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112"/>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112"/>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5"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113"/>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5" thickBot="1">
      <c r="A18" s="1560" t="s">
        <v>101</v>
      </c>
      <c r="B18" s="1569">
        <v>333</v>
      </c>
      <c r="C18" s="1569">
        <v>277</v>
      </c>
      <c r="D18" s="1569">
        <f t="shared" si="66"/>
        <v>277</v>
      </c>
      <c r="E18" s="1569">
        <v>459</v>
      </c>
      <c r="F18" s="1570">
        <v>249</v>
      </c>
      <c r="G18" s="3111">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112"/>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112"/>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113"/>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5" thickBot="1">
      <c r="A22" s="1560" t="s">
        <v>97</v>
      </c>
      <c r="B22" s="1590">
        <v>318</v>
      </c>
      <c r="C22" s="1590">
        <v>268</v>
      </c>
      <c r="D22" s="1590">
        <f t="shared" si="66"/>
        <v>268</v>
      </c>
      <c r="E22" s="1590">
        <v>437</v>
      </c>
      <c r="F22" s="1591">
        <v>237</v>
      </c>
      <c r="G22" s="3111">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112"/>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5"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112"/>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5"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113"/>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5" thickBot="1">
      <c r="A26" s="1560" t="s">
        <v>1048</v>
      </c>
      <c r="B26" s="1569">
        <v>299</v>
      </c>
      <c r="C26" s="1569">
        <v>252</v>
      </c>
      <c r="D26" s="1569">
        <f t="shared" si="66"/>
        <v>252</v>
      </c>
      <c r="E26" s="1569">
        <v>409</v>
      </c>
      <c r="F26" s="1570">
        <v>227</v>
      </c>
      <c r="G26" s="3118">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19"/>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19"/>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20"/>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5" thickBot="1">
      <c r="A30" s="1560" t="s">
        <v>1052</v>
      </c>
      <c r="B30" s="1611">
        <v>278</v>
      </c>
      <c r="C30" s="1611">
        <v>234</v>
      </c>
      <c r="D30" s="1611">
        <f t="shared" si="66"/>
        <v>234</v>
      </c>
      <c r="E30" s="1611">
        <v>379</v>
      </c>
      <c r="F30" s="1612">
        <v>220</v>
      </c>
      <c r="G30" s="3111">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112"/>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112"/>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5" thickBot="1">
      <c r="A33" s="1560" t="s">
        <v>1055</v>
      </c>
      <c r="B33" s="1577">
        <f>B32/(1+N32)</f>
        <v>275.19025476197027</v>
      </c>
      <c r="C33" s="1613">
        <v>232</v>
      </c>
      <c r="D33" s="1613">
        <f t="shared" si="66"/>
        <v>232</v>
      </c>
      <c r="E33" s="1577">
        <f t="shared" si="77"/>
        <v>375.65990977608692</v>
      </c>
      <c r="F33" s="1577">
        <f t="shared" si="77"/>
        <v>214.12518283971252</v>
      </c>
      <c r="G33" s="3113"/>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5" thickBot="1">
      <c r="A34" s="1560" t="s">
        <v>1056</v>
      </c>
      <c r="B34" s="1569">
        <v>275</v>
      </c>
      <c r="C34" s="1569">
        <v>232</v>
      </c>
      <c r="D34" s="1569">
        <f t="shared" si="66"/>
        <v>232</v>
      </c>
      <c r="E34" s="1569">
        <v>376</v>
      </c>
      <c r="F34" s="1570">
        <v>213</v>
      </c>
      <c r="G34" s="3111">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112">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112">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5"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113">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5" thickBot="1">
      <c r="A38" s="1560" t="s">
        <v>1060</v>
      </c>
      <c r="B38" s="1569">
        <v>269</v>
      </c>
      <c r="C38" s="1569">
        <v>221</v>
      </c>
      <c r="D38" s="1569">
        <f t="shared" si="66"/>
        <v>221</v>
      </c>
      <c r="E38" s="1569">
        <v>373</v>
      </c>
      <c r="F38" s="1570">
        <v>196</v>
      </c>
      <c r="G38" s="3111">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112">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112">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5"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113">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5" thickBot="1">
      <c r="A42" s="1560" t="s">
        <v>1064</v>
      </c>
      <c r="B42" s="1569">
        <v>220</v>
      </c>
      <c r="C42" s="1569">
        <v>187</v>
      </c>
      <c r="D42" s="1569">
        <f t="shared" si="66"/>
        <v>187</v>
      </c>
      <c r="E42" s="1569">
        <v>301</v>
      </c>
      <c r="F42" s="1570">
        <v>168</v>
      </c>
      <c r="G42" s="3111">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112">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112">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113">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5" thickBot="1">
      <c r="A46" s="1560" t="s">
        <v>1068</v>
      </c>
      <c r="B46" s="1611">
        <v>214</v>
      </c>
      <c r="C46" s="1611">
        <v>188</v>
      </c>
      <c r="D46" s="1611">
        <f t="shared" si="66"/>
        <v>188</v>
      </c>
      <c r="E46" s="1611">
        <v>289</v>
      </c>
      <c r="F46" s="1612">
        <v>166</v>
      </c>
      <c r="G46" s="3111">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112">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112">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5"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113">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5" thickBot="1">
      <c r="A50" s="1560" t="s">
        <v>1072</v>
      </c>
      <c r="B50" s="1569">
        <v>188</v>
      </c>
      <c r="C50" s="1569">
        <v>165</v>
      </c>
      <c r="D50" s="1569">
        <f t="shared" si="66"/>
        <v>165</v>
      </c>
      <c r="E50" s="1569">
        <v>254</v>
      </c>
      <c r="F50" s="1570">
        <v>148</v>
      </c>
      <c r="G50" s="3111">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112">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112">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113">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5" thickBot="1">
      <c r="A54" s="1560" t="s">
        <v>1076</v>
      </c>
      <c r="B54" s="1590">
        <v>159</v>
      </c>
      <c r="C54" s="1590">
        <v>141</v>
      </c>
      <c r="D54" s="1590">
        <f t="shared" si="66"/>
        <v>141</v>
      </c>
      <c r="E54" s="1590">
        <v>195</v>
      </c>
      <c r="F54" s="1591">
        <v>122</v>
      </c>
      <c r="G54" s="3111">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112">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112">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113">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5" thickBot="1">
      <c r="A58" s="1560" t="s">
        <v>1080</v>
      </c>
      <c r="B58" s="1590">
        <v>138</v>
      </c>
      <c r="C58" s="1590">
        <v>131</v>
      </c>
      <c r="D58" s="1590">
        <f t="shared" si="66"/>
        <v>131</v>
      </c>
      <c r="E58" s="1590">
        <v>155</v>
      </c>
      <c r="F58" s="1591">
        <v>114</v>
      </c>
      <c r="G58" s="3111">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112">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112">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113">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5" thickBot="1">
      <c r="A62" s="1560" t="s">
        <v>1084</v>
      </c>
      <c r="B62" s="1611">
        <v>121</v>
      </c>
      <c r="C62" s="1611">
        <v>122</v>
      </c>
      <c r="D62" s="1611">
        <f t="shared" si="66"/>
        <v>122</v>
      </c>
      <c r="E62" s="1611">
        <v>124</v>
      </c>
      <c r="F62" s="1612">
        <v>107</v>
      </c>
      <c r="G62" s="3111">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112">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112">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5"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113">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5" thickBot="1">
      <c r="A66" s="1560" t="s">
        <v>1088</v>
      </c>
      <c r="B66" s="1632">
        <v>111</v>
      </c>
      <c r="C66" s="1632">
        <v>114</v>
      </c>
      <c r="D66" s="1632">
        <f t="shared" si="66"/>
        <v>114</v>
      </c>
      <c r="E66" s="1632">
        <v>108</v>
      </c>
      <c r="F66" s="1633">
        <v>104</v>
      </c>
      <c r="G66" s="3111">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112">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112">
        <v>2003</v>
      </c>
      <c r="H68" s="1564">
        <v>2</v>
      </c>
      <c r="I68" s="1634"/>
      <c r="J68" s="1634"/>
      <c r="K68" s="1634"/>
      <c r="L68" s="1634"/>
      <c r="X68" s="1626"/>
      <c r="Y68" s="1626"/>
      <c r="Z68" s="1626"/>
    </row>
    <row r="69" spans="1:26" ht="13.5" thickBot="1">
      <c r="A69" s="1560" t="s">
        <v>1091</v>
      </c>
      <c r="B69" s="1636">
        <f t="shared" si="102"/>
        <v>107.25</v>
      </c>
      <c r="C69" s="1636">
        <f t="shared" si="102"/>
        <v>108.75</v>
      </c>
      <c r="D69" s="1636">
        <f t="shared" si="66"/>
        <v>108.75</v>
      </c>
      <c r="E69" s="1636">
        <f t="shared" si="103"/>
        <v>105.75</v>
      </c>
      <c r="F69" s="1636">
        <f t="shared" si="103"/>
        <v>102.5</v>
      </c>
      <c r="G69" s="3113">
        <v>2003</v>
      </c>
      <c r="H69" s="1637">
        <v>1</v>
      </c>
      <c r="I69" s="1634"/>
      <c r="J69" s="1634"/>
      <c r="K69" s="1634"/>
      <c r="L69" s="1634"/>
      <c r="S69" s="1572"/>
      <c r="T69" s="1573"/>
      <c r="U69" s="1573"/>
      <c r="X69" s="1626"/>
      <c r="Y69" s="1626"/>
      <c r="Z69" s="1626"/>
    </row>
    <row r="70" spans="1:26" ht="13.5" thickBot="1">
      <c r="A70" s="1560" t="s">
        <v>1092</v>
      </c>
      <c r="B70" s="1638">
        <v>106</v>
      </c>
      <c r="C70" s="1638">
        <v>107</v>
      </c>
      <c r="D70" s="1638">
        <f t="shared" si="66"/>
        <v>107</v>
      </c>
      <c r="E70" s="1638">
        <v>105</v>
      </c>
      <c r="F70" s="1639">
        <v>102</v>
      </c>
      <c r="G70" s="3111">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112">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112">
        <v>2002</v>
      </c>
      <c r="H72" s="1564">
        <v>2</v>
      </c>
      <c r="I72" s="1634"/>
      <c r="J72" s="1634"/>
      <c r="K72" s="1634"/>
      <c r="L72" s="1634"/>
      <c r="X72" s="1626"/>
      <c r="Y72" s="1626"/>
      <c r="Z72" s="1626"/>
    </row>
    <row r="73" spans="1:26" s="1598" customFormat="1" ht="13.5" thickBot="1">
      <c r="A73" s="1594" t="s">
        <v>1095</v>
      </c>
      <c r="B73" s="1640">
        <f t="shared" si="104"/>
        <v>103</v>
      </c>
      <c r="C73" s="1640">
        <f t="shared" si="104"/>
        <v>104</v>
      </c>
      <c r="D73" s="1640">
        <f t="shared" si="66"/>
        <v>104</v>
      </c>
      <c r="E73" s="1640">
        <f t="shared" si="105"/>
        <v>103.5</v>
      </c>
      <c r="F73" s="1640">
        <f t="shared" si="105"/>
        <v>100.5</v>
      </c>
      <c r="G73" s="3113">
        <v>2002</v>
      </c>
      <c r="H73" s="1641">
        <v>1</v>
      </c>
      <c r="I73" s="1642"/>
      <c r="J73" s="1642"/>
      <c r="K73" s="1642"/>
      <c r="L73" s="1642"/>
      <c r="N73" s="1643"/>
      <c r="S73" s="1643"/>
      <c r="X73" s="1644"/>
      <c r="Y73" s="1644"/>
      <c r="Z73" s="1644"/>
    </row>
    <row r="74" spans="1:26" ht="13.5"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5"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5"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1182</v>
      </c>
      <c r="C1" s="1804">
        <f>项目基本情况!D2</f>
        <v>43465</v>
      </c>
      <c r="D1" s="1799" t="s">
        <v>1183</v>
      </c>
      <c r="E1" s="1805">
        <f>'数据-取费表'!B23</f>
        <v>2</v>
      </c>
      <c r="F1" s="1799" t="s">
        <v>1184</v>
      </c>
      <c r="G1" s="1806">
        <f ca="1">INDIRECT("d"&amp;$K$1)/100</f>
        <v>4.7500000000000001E-2</v>
      </c>
      <c r="H1" s="1799" t="s">
        <v>1214</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8"/>
  <sheetViews>
    <sheetView topLeftCell="B1" workbookViewId="0">
      <selection activeCell="D1" sqref="D1:M49"/>
    </sheetView>
  </sheetViews>
  <sheetFormatPr defaultRowHeight="13.5"/>
  <cols>
    <col min="4" max="4" width="19" customWidth="1"/>
    <col min="6" max="6" width="12.125" customWidth="1"/>
    <col min="7" max="7" width="9.125" customWidth="1"/>
    <col min="8" max="8" width="10.5" customWidth="1"/>
    <col min="9" max="9" width="10.75" customWidth="1"/>
    <col min="10" max="10" width="12.375" customWidth="1"/>
    <col min="11" max="11" width="11.625" customWidth="1"/>
    <col min="12" max="12" width="14.125" customWidth="1"/>
    <col min="13" max="13" width="12.875" customWidth="1"/>
  </cols>
  <sheetData>
    <row r="1" spans="1:2">
      <c r="A1" s="704" t="s">
        <v>2823</v>
      </c>
      <c r="B1" s="705">
        <v>48.03</v>
      </c>
    </row>
    <row r="2" spans="1:2">
      <c r="A2" s="2733" t="s">
        <v>2824</v>
      </c>
      <c r="B2" s="2734">
        <v>48.03</v>
      </c>
    </row>
    <row r="3" spans="1:2">
      <c r="A3" s="2733" t="s">
        <v>2825</v>
      </c>
      <c r="B3" s="2734">
        <v>48.03</v>
      </c>
    </row>
    <row r="4" spans="1:2">
      <c r="A4" s="2733" t="s">
        <v>2826</v>
      </c>
      <c r="B4" s="2734">
        <v>52.63</v>
      </c>
    </row>
    <row r="5" spans="1:2">
      <c r="A5" s="2733" t="s">
        <v>2827</v>
      </c>
      <c r="B5" s="2734">
        <v>52.63</v>
      </c>
    </row>
    <row r="6" spans="1:2">
      <c r="A6" s="2733" t="s">
        <v>2828</v>
      </c>
      <c r="B6" s="2734">
        <v>52.63</v>
      </c>
    </row>
    <row r="7" spans="1:2">
      <c r="A7" s="2733" t="s">
        <v>2829</v>
      </c>
      <c r="B7" s="2734">
        <v>52.83</v>
      </c>
    </row>
    <row r="8" spans="1:2">
      <c r="A8" s="2733" t="s">
        <v>2830</v>
      </c>
      <c r="B8" s="2734">
        <v>52.83</v>
      </c>
    </row>
    <row r="9" spans="1:2">
      <c r="A9" s="2733" t="s">
        <v>2831</v>
      </c>
      <c r="B9" s="2734">
        <v>52.83</v>
      </c>
    </row>
    <row r="10" spans="1:2">
      <c r="A10" s="2733" t="s">
        <v>2832</v>
      </c>
      <c r="B10" s="2734">
        <v>52.83</v>
      </c>
    </row>
    <row r="11" spans="1:2">
      <c r="A11" s="2735" t="s">
        <v>2833</v>
      </c>
      <c r="B11" s="2736">
        <f>100.66/2</f>
        <v>50.33</v>
      </c>
    </row>
    <row r="12" spans="1:2">
      <c r="A12" s="2733" t="s">
        <v>2834</v>
      </c>
      <c r="B12" s="2737">
        <f>B11</f>
        <v>50.33</v>
      </c>
    </row>
    <row r="13" spans="1:2">
      <c r="A13" s="2733" t="s">
        <v>2835</v>
      </c>
      <c r="B13" s="2734">
        <v>49.63</v>
      </c>
    </row>
    <row r="14" spans="1:2">
      <c r="A14" s="2733" t="s">
        <v>2836</v>
      </c>
      <c r="B14" s="2734">
        <v>49.63</v>
      </c>
    </row>
    <row r="15" spans="1:2">
      <c r="A15" s="2735" t="s">
        <v>2837</v>
      </c>
      <c r="B15" s="2734">
        <v>48.03</v>
      </c>
    </row>
    <row r="16" spans="1:2">
      <c r="A16" s="2733" t="s">
        <v>2838</v>
      </c>
      <c r="B16" s="2734">
        <v>48.03</v>
      </c>
    </row>
    <row r="17" spans="1:2">
      <c r="A17" s="2733" t="s">
        <v>2839</v>
      </c>
      <c r="B17" s="2734">
        <v>48.03</v>
      </c>
    </row>
    <row r="18" spans="1:2">
      <c r="A18" s="2733" t="s">
        <v>2840</v>
      </c>
      <c r="B18" s="2734">
        <v>48.03</v>
      </c>
    </row>
    <row r="19" spans="1:2">
      <c r="A19" s="2733" t="s">
        <v>2841</v>
      </c>
      <c r="B19" s="2734">
        <v>48.03</v>
      </c>
    </row>
    <row r="20" spans="1:2">
      <c r="A20" s="2735" t="s">
        <v>2842</v>
      </c>
      <c r="B20" s="2734">
        <v>48.03</v>
      </c>
    </row>
    <row r="21" spans="1:2">
      <c r="A21" s="2733" t="s">
        <v>2843</v>
      </c>
      <c r="B21" s="2734">
        <v>48.03</v>
      </c>
    </row>
    <row r="22" spans="1:2">
      <c r="A22" s="2733" t="s">
        <v>2844</v>
      </c>
      <c r="B22" s="2734">
        <v>48.03</v>
      </c>
    </row>
    <row r="23" spans="1:2">
      <c r="A23" s="2733" t="s">
        <v>2845</v>
      </c>
      <c r="B23" s="2734">
        <v>48.03</v>
      </c>
    </row>
    <row r="24" spans="1:2">
      <c r="A24" s="2733" t="s">
        <v>2846</v>
      </c>
      <c r="B24" s="2734">
        <v>48.03</v>
      </c>
    </row>
    <row r="25" spans="1:2">
      <c r="A25" s="2733" t="s">
        <v>2847</v>
      </c>
      <c r="B25" s="2734">
        <v>48.03</v>
      </c>
    </row>
    <row r="26" spans="1:2">
      <c r="A26" s="2733" t="s">
        <v>2848</v>
      </c>
      <c r="B26" s="2734">
        <v>48.03</v>
      </c>
    </row>
    <row r="27" spans="1:2">
      <c r="A27" s="2733" t="s">
        <v>2849</v>
      </c>
      <c r="B27" s="2734">
        <v>52.63</v>
      </c>
    </row>
    <row r="28" spans="1:2">
      <c r="A28" s="2733" t="s">
        <v>2850</v>
      </c>
      <c r="B28" s="2734">
        <v>52.63</v>
      </c>
    </row>
    <row r="29" spans="1:2">
      <c r="A29" s="2733" t="s">
        <v>2851</v>
      </c>
      <c r="B29" s="2734">
        <v>52.63</v>
      </c>
    </row>
    <row r="30" spans="1:2">
      <c r="A30" s="2733" t="s">
        <v>2852</v>
      </c>
      <c r="B30" s="2734">
        <v>48.03</v>
      </c>
    </row>
    <row r="31" spans="1:2">
      <c r="A31" s="2733" t="s">
        <v>2853</v>
      </c>
      <c r="B31" s="2734">
        <v>48.03</v>
      </c>
    </row>
    <row r="32" spans="1:2">
      <c r="A32" s="2733" t="s">
        <v>2854</v>
      </c>
      <c r="B32" s="2734">
        <v>48.03</v>
      </c>
    </row>
    <row r="33" spans="1:2">
      <c r="A33" s="2735" t="s">
        <v>2855</v>
      </c>
      <c r="B33" s="2738">
        <v>48.03</v>
      </c>
    </row>
    <row r="34" spans="1:2">
      <c r="A34" s="2733" t="s">
        <v>2856</v>
      </c>
      <c r="B34" s="2734">
        <v>48.03</v>
      </c>
    </row>
    <row r="35" spans="1:2">
      <c r="A35" s="2733" t="s">
        <v>2857</v>
      </c>
      <c r="B35" s="2734">
        <v>48.03</v>
      </c>
    </row>
    <row r="36" spans="1:2">
      <c r="A36" s="2733" t="s">
        <v>2858</v>
      </c>
      <c r="B36" s="2734">
        <v>48.03</v>
      </c>
    </row>
    <row r="37" spans="1:2">
      <c r="A37" s="2733" t="s">
        <v>2859</v>
      </c>
      <c r="B37" s="2734">
        <v>44.02</v>
      </c>
    </row>
    <row r="38" spans="1:2">
      <c r="A38" s="2733" t="s">
        <v>2860</v>
      </c>
      <c r="B38" s="2734">
        <v>44.02</v>
      </c>
    </row>
    <row r="39" spans="1:2">
      <c r="A39" s="2733" t="s">
        <v>2861</v>
      </c>
      <c r="B39" s="2736">
        <f>88.96/2</f>
        <v>44.48</v>
      </c>
    </row>
    <row r="40" spans="1:2">
      <c r="A40" s="2733" t="s">
        <v>2862</v>
      </c>
      <c r="B40" s="2737">
        <f>B39</f>
        <v>44.48</v>
      </c>
    </row>
    <row r="41" spans="1:2">
      <c r="A41" s="2733" t="s">
        <v>2863</v>
      </c>
      <c r="B41" s="2734">
        <v>48.03</v>
      </c>
    </row>
    <row r="42" spans="1:2">
      <c r="A42" s="2733" t="s">
        <v>2864</v>
      </c>
      <c r="B42" s="2734">
        <v>48.03</v>
      </c>
    </row>
    <row r="43" spans="1:2">
      <c r="A43" s="2733" t="s">
        <v>2865</v>
      </c>
      <c r="B43" s="2734">
        <v>48.03</v>
      </c>
    </row>
    <row r="44" spans="1:2">
      <c r="A44" s="2733" t="s">
        <v>2866</v>
      </c>
      <c r="B44" s="2734">
        <v>48.03</v>
      </c>
    </row>
    <row r="45" spans="1:2">
      <c r="A45" s="2733" t="s">
        <v>2867</v>
      </c>
      <c r="B45" s="2734">
        <v>48.03</v>
      </c>
    </row>
    <row r="46" spans="1:2">
      <c r="A46" s="2733" t="s">
        <v>2868</v>
      </c>
      <c r="B46" s="2734">
        <v>45.83</v>
      </c>
    </row>
    <row r="47" spans="1:2">
      <c r="A47" s="2739" t="s">
        <v>2869</v>
      </c>
      <c r="B47" s="2740">
        <v>45.83</v>
      </c>
    </row>
    <row r="48" spans="1:2">
      <c r="A48" s="2733" t="s">
        <v>2870</v>
      </c>
      <c r="B48" s="2734">
        <v>45.83</v>
      </c>
    </row>
    <row r="49" spans="1:2">
      <c r="A49" s="2733" t="s">
        <v>2871</v>
      </c>
      <c r="B49" s="2734">
        <v>45.83</v>
      </c>
    </row>
    <row r="50" spans="1:2">
      <c r="A50" s="2733" t="s">
        <v>2872</v>
      </c>
      <c r="B50" s="2736">
        <f>91.18/2</f>
        <v>45.59</v>
      </c>
    </row>
    <row r="51" spans="1:2">
      <c r="A51" s="2733" t="s">
        <v>2873</v>
      </c>
      <c r="B51" s="2737">
        <f>B50</f>
        <v>45.59</v>
      </c>
    </row>
    <row r="52" spans="1:2">
      <c r="A52" s="2733" t="s">
        <v>2874</v>
      </c>
      <c r="B52" s="2734">
        <v>45.83</v>
      </c>
    </row>
    <row r="53" spans="1:2">
      <c r="A53" s="2733" t="s">
        <v>2875</v>
      </c>
      <c r="B53" s="2734">
        <v>45.83</v>
      </c>
    </row>
    <row r="54" spans="1:2">
      <c r="A54" s="2733" t="s">
        <v>2876</v>
      </c>
      <c r="B54" s="2734">
        <v>45.83</v>
      </c>
    </row>
    <row r="55" spans="1:2">
      <c r="A55" s="2733" t="s">
        <v>2877</v>
      </c>
      <c r="B55" s="2734">
        <v>45.83</v>
      </c>
    </row>
    <row r="56" spans="1:2">
      <c r="A56" s="2733" t="s">
        <v>2878</v>
      </c>
      <c r="B56" s="2734">
        <v>46.03</v>
      </c>
    </row>
    <row r="57" spans="1:2">
      <c r="A57" s="2733" t="s">
        <v>2879</v>
      </c>
      <c r="B57" s="2734">
        <v>46.03</v>
      </c>
    </row>
    <row r="58" spans="1:2">
      <c r="A58" s="2733" t="s">
        <v>2880</v>
      </c>
      <c r="B58" s="2734">
        <v>46.03</v>
      </c>
    </row>
    <row r="59" spans="1:2">
      <c r="A59" s="2733" t="s">
        <v>2881</v>
      </c>
      <c r="B59" s="2734">
        <v>46.83</v>
      </c>
    </row>
    <row r="60" spans="1:2">
      <c r="A60" s="2733" t="s">
        <v>2882</v>
      </c>
      <c r="B60" s="2734">
        <v>46.83</v>
      </c>
    </row>
    <row r="61" spans="1:2">
      <c r="A61" s="2733" t="s">
        <v>2883</v>
      </c>
      <c r="B61" s="2734">
        <v>46.83</v>
      </c>
    </row>
    <row r="62" spans="1:2">
      <c r="A62" s="2733" t="s">
        <v>2884</v>
      </c>
      <c r="B62" s="2734">
        <v>46.83</v>
      </c>
    </row>
    <row r="63" spans="1:2">
      <c r="A63" s="2733" t="s">
        <v>2885</v>
      </c>
      <c r="B63" s="2734">
        <v>48.03</v>
      </c>
    </row>
    <row r="64" spans="1:2">
      <c r="A64" s="2733" t="s">
        <v>2886</v>
      </c>
      <c r="B64" s="2734">
        <v>48.03</v>
      </c>
    </row>
    <row r="65" spans="1:2">
      <c r="A65" s="2733" t="s">
        <v>2887</v>
      </c>
      <c r="B65" s="2734">
        <v>48.03</v>
      </c>
    </row>
    <row r="66" spans="1:2">
      <c r="A66" s="2733" t="s">
        <v>2888</v>
      </c>
      <c r="B66" s="2734">
        <v>48.03</v>
      </c>
    </row>
    <row r="67" spans="1:2">
      <c r="A67" s="2733" t="s">
        <v>2889</v>
      </c>
      <c r="B67" s="2734">
        <v>48.03</v>
      </c>
    </row>
    <row r="68" spans="1:2">
      <c r="A68" s="2733" t="s">
        <v>2890</v>
      </c>
      <c r="B68" s="2734">
        <v>45.83</v>
      </c>
    </row>
    <row r="69" spans="1:2">
      <c r="A69" s="2733" t="s">
        <v>2891</v>
      </c>
      <c r="B69" s="2734">
        <v>45.83</v>
      </c>
    </row>
    <row r="70" spans="1:2">
      <c r="A70" s="2733" t="s">
        <v>2892</v>
      </c>
      <c r="B70" s="2734">
        <v>45.83</v>
      </c>
    </row>
    <row r="71" spans="1:2">
      <c r="A71" s="2733" t="s">
        <v>2893</v>
      </c>
      <c r="B71" s="2734">
        <v>45.83</v>
      </c>
    </row>
    <row r="72" spans="1:2">
      <c r="A72" s="2733" t="s">
        <v>2894</v>
      </c>
      <c r="B72" s="2736">
        <f>93.26/2</f>
        <v>46.63</v>
      </c>
    </row>
    <row r="73" spans="1:2">
      <c r="A73" s="2733" t="s">
        <v>2895</v>
      </c>
      <c r="B73" s="2737">
        <f>B72</f>
        <v>46.63</v>
      </c>
    </row>
    <row r="74" spans="1:2">
      <c r="A74" s="2733" t="s">
        <v>2896</v>
      </c>
      <c r="B74" s="2734">
        <v>48.03</v>
      </c>
    </row>
    <row r="75" spans="1:2">
      <c r="A75" s="2733" t="s">
        <v>2897</v>
      </c>
      <c r="B75" s="2734">
        <v>48.03</v>
      </c>
    </row>
    <row r="76" spans="1:2">
      <c r="A76" s="2733" t="s">
        <v>2898</v>
      </c>
      <c r="B76" s="2734">
        <v>48.03</v>
      </c>
    </row>
    <row r="77" spans="1:2">
      <c r="A77" s="2733" t="s">
        <v>2899</v>
      </c>
      <c r="B77" s="2736">
        <f>96.58/2</f>
        <v>48.29</v>
      </c>
    </row>
    <row r="78" spans="1:2">
      <c r="A78" s="2733" t="s">
        <v>2900</v>
      </c>
      <c r="B78" s="2737">
        <f>B77</f>
        <v>48.29</v>
      </c>
    </row>
    <row r="79" spans="1:2">
      <c r="A79" s="2733" t="s">
        <v>2901</v>
      </c>
      <c r="B79" s="2734">
        <v>48.55</v>
      </c>
    </row>
    <row r="80" spans="1:2">
      <c r="A80" s="2733" t="s">
        <v>2902</v>
      </c>
      <c r="B80" s="2734">
        <v>48.55</v>
      </c>
    </row>
    <row r="81" spans="1:2">
      <c r="A81" s="2733" t="s">
        <v>2903</v>
      </c>
      <c r="B81" s="2734">
        <v>52.83</v>
      </c>
    </row>
    <row r="82" spans="1:2">
      <c r="A82" s="2733" t="s">
        <v>2904</v>
      </c>
      <c r="B82" s="2734">
        <v>52.83</v>
      </c>
    </row>
    <row r="83" spans="1:2">
      <c r="A83" s="2733" t="s">
        <v>2905</v>
      </c>
      <c r="B83" s="2734">
        <v>52.83</v>
      </c>
    </row>
    <row r="84" spans="1:2">
      <c r="A84" s="2733" t="s">
        <v>2906</v>
      </c>
      <c r="B84" s="2734">
        <v>52.83</v>
      </c>
    </row>
    <row r="85" spans="1:2">
      <c r="A85" s="2733" t="s">
        <v>2907</v>
      </c>
      <c r="B85" s="2734">
        <v>52.83</v>
      </c>
    </row>
    <row r="86" spans="1:2">
      <c r="A86" s="2733" t="s">
        <v>2908</v>
      </c>
      <c r="B86" s="2734">
        <v>52.83</v>
      </c>
    </row>
    <row r="87" spans="1:2">
      <c r="A87" s="2733" t="s">
        <v>2909</v>
      </c>
      <c r="B87" s="2734">
        <v>52.83</v>
      </c>
    </row>
    <row r="88" spans="1:2">
      <c r="A88" s="2733" t="s">
        <v>2910</v>
      </c>
      <c r="B88" s="2734">
        <v>52.83</v>
      </c>
    </row>
    <row r="89" spans="1:2">
      <c r="A89" s="2733" t="s">
        <v>2911</v>
      </c>
      <c r="B89" s="2734">
        <v>52.83</v>
      </c>
    </row>
    <row r="90" spans="1:2">
      <c r="A90" s="2733" t="s">
        <v>2912</v>
      </c>
      <c r="B90" s="2734">
        <v>48.03</v>
      </c>
    </row>
    <row r="91" spans="1:2">
      <c r="A91" s="2733" t="s">
        <v>2913</v>
      </c>
      <c r="B91" s="2734">
        <v>48.03</v>
      </c>
    </row>
    <row r="92" spans="1:2">
      <c r="A92" s="2733" t="s">
        <v>2914</v>
      </c>
      <c r="B92" s="2734">
        <v>48.03</v>
      </c>
    </row>
    <row r="93" spans="1:2">
      <c r="A93" s="2733" t="s">
        <v>2915</v>
      </c>
      <c r="B93" s="2734">
        <v>48.03</v>
      </c>
    </row>
    <row r="94" spans="1:2">
      <c r="A94" s="2733" t="s">
        <v>2916</v>
      </c>
      <c r="B94" s="2734">
        <v>48.03</v>
      </c>
    </row>
    <row r="95" spans="1:2">
      <c r="A95" s="2733" t="s">
        <v>2917</v>
      </c>
      <c r="B95" s="2734">
        <v>48.03</v>
      </c>
    </row>
    <row r="96" spans="1:2">
      <c r="A96" s="2733" t="s">
        <v>2918</v>
      </c>
      <c r="B96" s="2734">
        <v>52.83</v>
      </c>
    </row>
    <row r="97" spans="1:2">
      <c r="A97" s="2733" t="s">
        <v>2919</v>
      </c>
      <c r="B97" s="2734">
        <v>52.83</v>
      </c>
    </row>
    <row r="98" spans="1:2">
      <c r="A98" s="2733" t="s">
        <v>2920</v>
      </c>
      <c r="B98" s="2734">
        <v>52.83</v>
      </c>
    </row>
    <row r="99" spans="1:2">
      <c r="A99" s="2733" t="s">
        <v>2921</v>
      </c>
      <c r="B99" s="2734">
        <v>52.83</v>
      </c>
    </row>
    <row r="100" spans="1:2">
      <c r="A100" s="2733" t="s">
        <v>2922</v>
      </c>
      <c r="B100" s="2734">
        <v>52.83</v>
      </c>
    </row>
    <row r="101" spans="1:2">
      <c r="A101" s="2733" t="s">
        <v>2923</v>
      </c>
      <c r="B101" s="2734">
        <v>52.83</v>
      </c>
    </row>
    <row r="102" spans="1:2">
      <c r="A102" s="2733" t="s">
        <v>2924</v>
      </c>
      <c r="B102" s="2734">
        <v>52.83</v>
      </c>
    </row>
    <row r="103" spans="1:2">
      <c r="A103" s="2733" t="s">
        <v>2925</v>
      </c>
      <c r="B103" s="2734">
        <v>52.83</v>
      </c>
    </row>
    <row r="104" spans="1:2">
      <c r="A104" s="2733" t="s">
        <v>2926</v>
      </c>
      <c r="B104" s="2734">
        <v>52.83</v>
      </c>
    </row>
    <row r="105" spans="1:2">
      <c r="A105" s="2733" t="s">
        <v>2927</v>
      </c>
      <c r="B105" s="2734">
        <v>52.83</v>
      </c>
    </row>
    <row r="106" spans="1:2">
      <c r="A106" s="2733" t="s">
        <v>2928</v>
      </c>
      <c r="B106" s="2734">
        <v>52.83</v>
      </c>
    </row>
    <row r="107" spans="1:2">
      <c r="A107" s="2733" t="s">
        <v>2929</v>
      </c>
      <c r="B107" s="2734">
        <v>52.83</v>
      </c>
    </row>
    <row r="108" spans="1:2">
      <c r="A108" s="2733" t="s">
        <v>2930</v>
      </c>
      <c r="B108" s="2734">
        <v>52.83</v>
      </c>
    </row>
    <row r="109" spans="1:2">
      <c r="A109" s="2733" t="s">
        <v>2931</v>
      </c>
      <c r="B109" s="2734">
        <v>52.83</v>
      </c>
    </row>
    <row r="110" spans="1:2">
      <c r="A110" s="2733" t="s">
        <v>2932</v>
      </c>
      <c r="B110" s="2734">
        <v>52.23</v>
      </c>
    </row>
    <row r="111" spans="1:2">
      <c r="A111" s="2733" t="s">
        <v>2933</v>
      </c>
      <c r="B111" s="2734">
        <v>52.23</v>
      </c>
    </row>
    <row r="112" spans="1:2">
      <c r="A112" s="2733" t="s">
        <v>2934</v>
      </c>
      <c r="B112" s="2734">
        <v>53.23</v>
      </c>
    </row>
    <row r="113" spans="1:2">
      <c r="A113" s="2733" t="s">
        <v>2935</v>
      </c>
      <c r="B113" s="2734">
        <v>53.23</v>
      </c>
    </row>
    <row r="114" spans="1:2">
      <c r="A114" s="2733" t="s">
        <v>2936</v>
      </c>
      <c r="B114" s="2734">
        <v>53.23</v>
      </c>
    </row>
    <row r="115" spans="1:2">
      <c r="A115" s="2733" t="s">
        <v>2937</v>
      </c>
      <c r="B115" s="2734">
        <v>53.23</v>
      </c>
    </row>
    <row r="116" spans="1:2">
      <c r="A116" s="2733" t="s">
        <v>2938</v>
      </c>
      <c r="B116" s="2734">
        <v>53.23</v>
      </c>
    </row>
    <row r="117" spans="1:2">
      <c r="A117" s="2733" t="s">
        <v>2939</v>
      </c>
      <c r="B117" s="2734">
        <v>53.23</v>
      </c>
    </row>
    <row r="118" spans="1:2">
      <c r="A118" s="2733" t="s">
        <v>2940</v>
      </c>
      <c r="B118" s="2734">
        <v>51.63</v>
      </c>
    </row>
    <row r="119" spans="1:2">
      <c r="A119" s="2733" t="s">
        <v>2941</v>
      </c>
      <c r="B119" s="2734">
        <v>51.63</v>
      </c>
    </row>
    <row r="120" spans="1:2">
      <c r="A120" s="2733" t="s">
        <v>2942</v>
      </c>
      <c r="B120" s="2734">
        <v>46.83</v>
      </c>
    </row>
    <row r="121" spans="1:2">
      <c r="A121" s="2733" t="s">
        <v>2943</v>
      </c>
      <c r="B121" s="2734">
        <v>46.83</v>
      </c>
    </row>
    <row r="122" spans="1:2">
      <c r="A122" s="2733" t="s">
        <v>2944</v>
      </c>
      <c r="B122" s="2734">
        <v>46.83</v>
      </c>
    </row>
    <row r="123" spans="1:2">
      <c r="A123" s="2733" t="s">
        <v>2945</v>
      </c>
      <c r="B123" s="2734">
        <v>46.83</v>
      </c>
    </row>
    <row r="124" spans="1:2">
      <c r="A124" s="2733" t="s">
        <v>2946</v>
      </c>
      <c r="B124" s="2734">
        <v>52.83</v>
      </c>
    </row>
    <row r="125" spans="1:2">
      <c r="A125" s="2733" t="s">
        <v>2947</v>
      </c>
      <c r="B125" s="2734">
        <v>52.83</v>
      </c>
    </row>
    <row r="126" spans="1:2">
      <c r="A126" s="2733" t="s">
        <v>2948</v>
      </c>
      <c r="B126" s="2734">
        <v>45.83</v>
      </c>
    </row>
    <row r="127" spans="1:2">
      <c r="A127" s="2733" t="s">
        <v>2949</v>
      </c>
      <c r="B127" s="2734">
        <v>45.83</v>
      </c>
    </row>
    <row r="128" spans="1:2">
      <c r="A128" s="2733" t="s">
        <v>2950</v>
      </c>
      <c r="B128" s="2734">
        <v>45.83</v>
      </c>
    </row>
    <row r="129" spans="1:2">
      <c r="A129" s="2733" t="s">
        <v>2951</v>
      </c>
      <c r="B129" s="2734">
        <v>45.83</v>
      </c>
    </row>
    <row r="130" spans="1:2">
      <c r="A130" s="2733" t="s">
        <v>2952</v>
      </c>
      <c r="B130" s="2734">
        <v>44.02</v>
      </c>
    </row>
    <row r="131" spans="1:2">
      <c r="A131" s="2733" t="s">
        <v>2953</v>
      </c>
      <c r="B131" s="2734">
        <v>53.71</v>
      </c>
    </row>
    <row r="132" spans="1:2">
      <c r="A132" s="2733" t="s">
        <v>2954</v>
      </c>
      <c r="B132" s="2734">
        <v>53.71</v>
      </c>
    </row>
    <row r="133" spans="1:2">
      <c r="A133" s="2733" t="s">
        <v>2955</v>
      </c>
      <c r="B133" s="2734">
        <v>53.71</v>
      </c>
    </row>
    <row r="134" spans="1:2">
      <c r="A134" s="2733" t="s">
        <v>2956</v>
      </c>
      <c r="B134" s="2734">
        <v>53.71</v>
      </c>
    </row>
    <row r="135" spans="1:2">
      <c r="A135" s="2733" t="s">
        <v>2957</v>
      </c>
      <c r="B135" s="2734">
        <v>53.71</v>
      </c>
    </row>
    <row r="136" spans="1:2">
      <c r="A136" s="2733" t="s">
        <v>2958</v>
      </c>
      <c r="B136" s="2734">
        <v>53.71</v>
      </c>
    </row>
    <row r="137" spans="1:2">
      <c r="A137" s="2735" t="s">
        <v>2959</v>
      </c>
      <c r="B137" s="2734">
        <v>53.71</v>
      </c>
    </row>
    <row r="138" spans="1:2">
      <c r="A138" s="2735" t="s">
        <v>2960</v>
      </c>
      <c r="B138" s="2734">
        <v>53.71</v>
      </c>
    </row>
    <row r="139" spans="1:2">
      <c r="A139" s="2733" t="s">
        <v>2961</v>
      </c>
      <c r="B139" s="2734">
        <v>48.03</v>
      </c>
    </row>
    <row r="140" spans="1:2">
      <c r="A140" s="2733" t="s">
        <v>2962</v>
      </c>
      <c r="B140" s="2734">
        <v>48.03</v>
      </c>
    </row>
    <row r="141" spans="1:2">
      <c r="A141" s="2733" t="s">
        <v>2963</v>
      </c>
      <c r="B141" s="2734">
        <v>48.03</v>
      </c>
    </row>
    <row r="142" spans="1:2">
      <c r="A142" s="2733" t="s">
        <v>2964</v>
      </c>
      <c r="B142" s="2734">
        <v>52.63</v>
      </c>
    </row>
    <row r="143" spans="1:2">
      <c r="A143" s="2733" t="s">
        <v>2965</v>
      </c>
      <c r="B143" s="2734">
        <v>52.63</v>
      </c>
    </row>
    <row r="144" spans="1:2">
      <c r="A144" s="2733" t="s">
        <v>2966</v>
      </c>
      <c r="B144" s="2734">
        <v>52.63</v>
      </c>
    </row>
    <row r="145" spans="1:2">
      <c r="A145" s="2733" t="s">
        <v>2967</v>
      </c>
      <c r="B145" s="2734">
        <v>51.11</v>
      </c>
    </row>
    <row r="146" spans="1:2">
      <c r="A146" s="2733" t="s">
        <v>2968</v>
      </c>
      <c r="B146" s="2734">
        <v>51.11</v>
      </c>
    </row>
    <row r="147" spans="1:2">
      <c r="A147" s="2733" t="s">
        <v>2969</v>
      </c>
      <c r="B147" s="2734">
        <v>48.03</v>
      </c>
    </row>
    <row r="148" spans="1:2">
      <c r="A148" s="2733" t="s">
        <v>2970</v>
      </c>
      <c r="B148" s="2734">
        <v>48.03</v>
      </c>
    </row>
    <row r="149" spans="1:2">
      <c r="A149" s="2733" t="s">
        <v>2971</v>
      </c>
      <c r="B149" s="2734">
        <v>48.03</v>
      </c>
    </row>
    <row r="150" spans="1:2">
      <c r="A150" s="2733" t="s">
        <v>2972</v>
      </c>
      <c r="B150" s="2734">
        <v>48.03</v>
      </c>
    </row>
    <row r="151" spans="1:2">
      <c r="A151" s="2733" t="s">
        <v>2973</v>
      </c>
      <c r="B151" s="2734">
        <v>48.03</v>
      </c>
    </row>
    <row r="152" spans="1:2">
      <c r="A152" s="2735" t="s">
        <v>2974</v>
      </c>
      <c r="B152" s="2738">
        <v>48.03</v>
      </c>
    </row>
    <row r="153" spans="1:2">
      <c r="A153" s="2733" t="s">
        <v>2975</v>
      </c>
      <c r="B153" s="2734">
        <v>51.11</v>
      </c>
    </row>
    <row r="154" spans="1:2">
      <c r="A154" s="2733" t="s">
        <v>2976</v>
      </c>
      <c r="B154" s="2734">
        <v>51.11</v>
      </c>
    </row>
    <row r="155" spans="1:2">
      <c r="A155" s="2735" t="s">
        <v>2977</v>
      </c>
      <c r="B155" s="2741">
        <f>102.22/2</f>
        <v>51.11</v>
      </c>
    </row>
    <row r="156" spans="1:2">
      <c r="A156" s="2735" t="s">
        <v>2978</v>
      </c>
      <c r="B156" s="2742">
        <f>B155</f>
        <v>51.11</v>
      </c>
    </row>
    <row r="157" spans="1:2">
      <c r="A157" s="2733" t="s">
        <v>2979</v>
      </c>
      <c r="B157" s="2734">
        <v>48.03</v>
      </c>
    </row>
    <row r="158" spans="1:2">
      <c r="A158" s="2735" t="s">
        <v>2980</v>
      </c>
      <c r="B158" s="2738">
        <v>48.03</v>
      </c>
    </row>
    <row r="159" spans="1:2">
      <c r="A159" s="2735" t="s">
        <v>2981</v>
      </c>
      <c r="B159" s="2738">
        <v>48.03</v>
      </c>
    </row>
    <row r="160" spans="1:2">
      <c r="A160" s="2733" t="s">
        <v>2982</v>
      </c>
      <c r="B160" s="2734">
        <v>48.03</v>
      </c>
    </row>
    <row r="161" spans="1:2">
      <c r="A161" s="2733" t="s">
        <v>2983</v>
      </c>
      <c r="B161" s="2734">
        <v>48.03</v>
      </c>
    </row>
    <row r="162" spans="1:2">
      <c r="A162" s="2733" t="s">
        <v>2984</v>
      </c>
      <c r="B162" s="2734">
        <v>46.23</v>
      </c>
    </row>
    <row r="163" spans="1:2">
      <c r="A163" s="2733" t="s">
        <v>2985</v>
      </c>
      <c r="B163" s="2734">
        <v>46.23</v>
      </c>
    </row>
    <row r="164" spans="1:2">
      <c r="A164" s="2733" t="s">
        <v>2986</v>
      </c>
      <c r="B164" s="2734">
        <v>46.23</v>
      </c>
    </row>
    <row r="165" spans="1:2">
      <c r="A165" s="2733" t="s">
        <v>2987</v>
      </c>
      <c r="B165" s="2734">
        <v>52.63</v>
      </c>
    </row>
    <row r="166" spans="1:2">
      <c r="A166" s="2735" t="s">
        <v>2988</v>
      </c>
      <c r="B166" s="2738">
        <v>52.63</v>
      </c>
    </row>
    <row r="167" spans="1:2">
      <c r="A167" s="2733" t="s">
        <v>2989</v>
      </c>
      <c r="B167" s="2734">
        <v>52.63</v>
      </c>
    </row>
    <row r="168" spans="1:2">
      <c r="A168" s="2733" t="s">
        <v>2990</v>
      </c>
      <c r="B168" s="2734">
        <v>48.03</v>
      </c>
    </row>
    <row r="169" spans="1:2">
      <c r="A169" s="2733" t="s">
        <v>2991</v>
      </c>
      <c r="B169" s="2734">
        <v>48.03</v>
      </c>
    </row>
    <row r="170" spans="1:2">
      <c r="A170" s="2733" t="s">
        <v>2992</v>
      </c>
      <c r="B170" s="2734">
        <v>48.03</v>
      </c>
    </row>
    <row r="171" spans="1:2">
      <c r="A171" s="2733" t="s">
        <v>2993</v>
      </c>
      <c r="B171" s="2734">
        <v>48.03</v>
      </c>
    </row>
    <row r="172" spans="1:2">
      <c r="A172" s="2733" t="s">
        <v>2994</v>
      </c>
      <c r="B172" s="2734">
        <v>48.03</v>
      </c>
    </row>
    <row r="173" spans="1:2">
      <c r="A173" s="2733" t="s">
        <v>2995</v>
      </c>
      <c r="B173" s="2734">
        <v>48.03</v>
      </c>
    </row>
    <row r="174" spans="1:2">
      <c r="A174" s="2733" t="s">
        <v>2996</v>
      </c>
      <c r="B174" s="2734">
        <v>48.03</v>
      </c>
    </row>
    <row r="175" spans="1:2">
      <c r="A175" s="2733" t="s">
        <v>2997</v>
      </c>
      <c r="B175" s="2734">
        <v>48.03</v>
      </c>
    </row>
    <row r="176" spans="1:2">
      <c r="A176" s="2733" t="s">
        <v>2998</v>
      </c>
      <c r="B176" s="2734">
        <v>48.03</v>
      </c>
    </row>
    <row r="177" spans="1:2">
      <c r="A177" s="2733" t="s">
        <v>2999</v>
      </c>
      <c r="B177" s="2734">
        <v>47.27</v>
      </c>
    </row>
    <row r="178" spans="1:2">
      <c r="A178" s="2733" t="s">
        <v>3000</v>
      </c>
      <c r="B178" s="2734">
        <v>47.27</v>
      </c>
    </row>
    <row r="179" spans="1:2">
      <c r="A179" s="2733" t="s">
        <v>3001</v>
      </c>
      <c r="B179" s="2734">
        <v>47.27</v>
      </c>
    </row>
    <row r="180" spans="1:2">
      <c r="A180" s="2733" t="s">
        <v>3002</v>
      </c>
      <c r="B180" s="2734">
        <v>47.27</v>
      </c>
    </row>
    <row r="181" spans="1:2">
      <c r="A181" s="2733" t="s">
        <v>3003</v>
      </c>
      <c r="B181" s="2734">
        <v>44.02</v>
      </c>
    </row>
    <row r="182" spans="1:2">
      <c r="A182" s="2733" t="s">
        <v>3004</v>
      </c>
      <c r="B182" s="2734">
        <v>44.02</v>
      </c>
    </row>
    <row r="183" spans="1:2">
      <c r="A183" s="2733" t="s">
        <v>3005</v>
      </c>
      <c r="B183" s="2736">
        <f>88.04/2</f>
        <v>44.02</v>
      </c>
    </row>
    <row r="184" spans="1:2">
      <c r="A184" s="2733" t="s">
        <v>3006</v>
      </c>
      <c r="B184" s="2737">
        <f>B183</f>
        <v>44.02</v>
      </c>
    </row>
    <row r="185" spans="1:2">
      <c r="A185" s="2733" t="s">
        <v>3007</v>
      </c>
      <c r="B185" s="2734">
        <v>47.31</v>
      </c>
    </row>
    <row r="186" spans="1:2">
      <c r="A186" s="2733" t="s">
        <v>3008</v>
      </c>
      <c r="B186" s="2734">
        <v>47.31</v>
      </c>
    </row>
    <row r="187" spans="1:2">
      <c r="A187" s="2733" t="s">
        <v>3009</v>
      </c>
      <c r="B187" s="2734">
        <v>50.43</v>
      </c>
    </row>
    <row r="188" spans="1:2">
      <c r="A188" s="2733" t="s">
        <v>3010</v>
      </c>
      <c r="B188" s="2734">
        <v>50.43</v>
      </c>
    </row>
    <row r="189" spans="1:2">
      <c r="A189" s="2733" t="s">
        <v>3011</v>
      </c>
      <c r="B189" s="2734">
        <v>50.43</v>
      </c>
    </row>
    <row r="190" spans="1:2">
      <c r="A190" s="2735" t="s">
        <v>3012</v>
      </c>
      <c r="B190" s="2738">
        <v>50.43</v>
      </c>
    </row>
    <row r="191" spans="1:2">
      <c r="A191" s="2733" t="s">
        <v>3013</v>
      </c>
      <c r="B191" s="2734">
        <v>50.43</v>
      </c>
    </row>
    <row r="192" spans="1:2">
      <c r="A192" s="2735" t="s">
        <v>3014</v>
      </c>
      <c r="B192" s="2738">
        <v>47.63</v>
      </c>
    </row>
    <row r="193" spans="1:2">
      <c r="A193" s="2733" t="s">
        <v>3015</v>
      </c>
      <c r="B193" s="2734">
        <v>47.63</v>
      </c>
    </row>
    <row r="194" spans="1:2">
      <c r="A194" s="2733" t="s">
        <v>3016</v>
      </c>
      <c r="B194" s="2734">
        <v>45.63</v>
      </c>
    </row>
    <row r="195" spans="1:2">
      <c r="A195" s="2735" t="s">
        <v>3017</v>
      </c>
      <c r="B195" s="2738">
        <v>45.63</v>
      </c>
    </row>
    <row r="196" spans="1:2">
      <c r="A196" s="2733" t="s">
        <v>3018</v>
      </c>
      <c r="B196" s="2736">
        <f>94.29/2</f>
        <v>47.145000000000003</v>
      </c>
    </row>
    <row r="197" spans="1:2">
      <c r="A197" s="2733" t="s">
        <v>3019</v>
      </c>
      <c r="B197" s="2737">
        <f>B196</f>
        <v>47.145000000000003</v>
      </c>
    </row>
    <row r="198" spans="1:2">
      <c r="A198" s="2733" t="s">
        <v>3020</v>
      </c>
      <c r="B198" s="2734">
        <v>44.22</v>
      </c>
    </row>
    <row r="199" spans="1:2">
      <c r="A199" s="2733" t="s">
        <v>3021</v>
      </c>
      <c r="B199" s="2734">
        <v>44.22</v>
      </c>
    </row>
    <row r="200" spans="1:2">
      <c r="A200" s="2733" t="s">
        <v>3022</v>
      </c>
      <c r="B200" s="2734">
        <v>46.67</v>
      </c>
    </row>
    <row r="201" spans="1:2">
      <c r="A201" s="2733" t="s">
        <v>3023</v>
      </c>
      <c r="B201" s="2734">
        <v>46.67</v>
      </c>
    </row>
    <row r="202" spans="1:2">
      <c r="A202" s="2733" t="s">
        <v>3024</v>
      </c>
      <c r="B202" s="2734">
        <v>48.71</v>
      </c>
    </row>
    <row r="203" spans="1:2">
      <c r="A203" s="2733" t="s">
        <v>3025</v>
      </c>
      <c r="B203" s="2734">
        <v>48.71</v>
      </c>
    </row>
    <row r="204" spans="1:2">
      <c r="A204" s="2735" t="s">
        <v>3026</v>
      </c>
      <c r="B204" s="2738">
        <v>48.71</v>
      </c>
    </row>
    <row r="205" spans="1:2">
      <c r="A205" s="2733" t="s">
        <v>3027</v>
      </c>
      <c r="B205" s="2734">
        <v>46.67</v>
      </c>
    </row>
    <row r="206" spans="1:2">
      <c r="A206" s="2733" t="s">
        <v>3028</v>
      </c>
      <c r="B206" s="2734">
        <v>46.67</v>
      </c>
    </row>
    <row r="207" spans="1:2">
      <c r="A207" s="2733" t="s">
        <v>3029</v>
      </c>
      <c r="B207" s="2734">
        <v>46.67</v>
      </c>
    </row>
    <row r="208" spans="1:2">
      <c r="A208" s="2733" t="s">
        <v>3030</v>
      </c>
      <c r="B208" s="2734">
        <v>46.67</v>
      </c>
    </row>
    <row r="209" spans="1:2">
      <c r="A209" s="2735" t="s">
        <v>3031</v>
      </c>
      <c r="B209" s="2741">
        <f>104.06/2</f>
        <v>52.03</v>
      </c>
    </row>
    <row r="210" spans="1:2">
      <c r="A210" s="2735" t="s">
        <v>3032</v>
      </c>
      <c r="B210" s="2742">
        <f>B209</f>
        <v>52.03</v>
      </c>
    </row>
    <row r="211" spans="1:2">
      <c r="A211" s="2733" t="s">
        <v>3033</v>
      </c>
      <c r="B211" s="2734">
        <v>46.27</v>
      </c>
    </row>
    <row r="212" spans="1:2">
      <c r="A212" s="2733" t="s">
        <v>3034</v>
      </c>
      <c r="B212" s="2734">
        <v>46.27</v>
      </c>
    </row>
    <row r="213" spans="1:2">
      <c r="A213" s="2733" t="s">
        <v>3035</v>
      </c>
      <c r="B213" s="2734">
        <v>46.27</v>
      </c>
    </row>
    <row r="214" spans="1:2">
      <c r="A214" s="2733" t="s">
        <v>3036</v>
      </c>
      <c r="B214" s="2734">
        <v>46.27</v>
      </c>
    </row>
    <row r="215" spans="1:2">
      <c r="A215" s="2733" t="s">
        <v>3037</v>
      </c>
      <c r="B215" s="2734">
        <v>48.03</v>
      </c>
    </row>
    <row r="216" spans="1:2">
      <c r="A216" s="2733" t="s">
        <v>3038</v>
      </c>
      <c r="B216" s="2734">
        <v>48.03</v>
      </c>
    </row>
    <row r="217" spans="1:2">
      <c r="A217" s="2733" t="s">
        <v>3039</v>
      </c>
      <c r="B217" s="2734">
        <v>48.03</v>
      </c>
    </row>
    <row r="218" spans="1:2">
      <c r="A218" s="2733" t="s">
        <v>3040</v>
      </c>
      <c r="B218" s="2734">
        <v>47.03</v>
      </c>
    </row>
    <row r="219" spans="1:2">
      <c r="A219" s="2733" t="s">
        <v>3041</v>
      </c>
      <c r="B219" s="2734">
        <v>47.03</v>
      </c>
    </row>
    <row r="220" spans="1:2">
      <c r="A220" s="2733" t="s">
        <v>3042</v>
      </c>
      <c r="B220" s="2734">
        <v>47.03</v>
      </c>
    </row>
    <row r="221" spans="1:2">
      <c r="A221" s="2733" t="s">
        <v>3043</v>
      </c>
      <c r="B221" s="2734">
        <v>47.03</v>
      </c>
    </row>
    <row r="222" spans="1:2">
      <c r="A222" s="2733" t="s">
        <v>3044</v>
      </c>
      <c r="B222" s="2734">
        <v>46.67</v>
      </c>
    </row>
    <row r="223" spans="1:2">
      <c r="A223" s="2733" t="s">
        <v>3045</v>
      </c>
      <c r="B223" s="2734">
        <v>46.67</v>
      </c>
    </row>
    <row r="224" spans="1:2">
      <c r="A224" s="2733" t="s">
        <v>3046</v>
      </c>
      <c r="B224" s="2734">
        <v>47.91</v>
      </c>
    </row>
    <row r="225" spans="1:2">
      <c r="A225" s="2733" t="s">
        <v>3047</v>
      </c>
      <c r="B225" s="2734">
        <v>47.91</v>
      </c>
    </row>
    <row r="226" spans="1:2">
      <c r="A226" s="2733" t="s">
        <v>3048</v>
      </c>
      <c r="B226" s="2734">
        <v>47.91</v>
      </c>
    </row>
    <row r="227" spans="1:2">
      <c r="A227" s="2733" t="s">
        <v>3049</v>
      </c>
      <c r="B227" s="2734">
        <v>46.67</v>
      </c>
    </row>
    <row r="228" spans="1:2">
      <c r="A228" s="2733" t="s">
        <v>3050</v>
      </c>
      <c r="B228" s="2734">
        <v>46.67</v>
      </c>
    </row>
    <row r="229" spans="1:2">
      <c r="A229" s="2733" t="s">
        <v>3051</v>
      </c>
      <c r="B229" s="2734">
        <v>46.67</v>
      </c>
    </row>
    <row r="230" spans="1:2">
      <c r="A230" s="2733" t="s">
        <v>3052</v>
      </c>
      <c r="B230" s="2734">
        <v>46.67</v>
      </c>
    </row>
    <row r="231" spans="1:2">
      <c r="A231" s="2733" t="s">
        <v>3053</v>
      </c>
      <c r="B231" s="2734">
        <v>48.03</v>
      </c>
    </row>
    <row r="232" spans="1:2">
      <c r="A232" s="2733" t="s">
        <v>3054</v>
      </c>
      <c r="B232" s="2734">
        <v>48.03</v>
      </c>
    </row>
    <row r="233" spans="1:2">
      <c r="A233" s="2733" t="s">
        <v>3055</v>
      </c>
      <c r="B233" s="2734">
        <v>48.03</v>
      </c>
    </row>
    <row r="234" spans="1:2">
      <c r="A234" s="2733" t="s">
        <v>3056</v>
      </c>
      <c r="B234" s="2734">
        <v>46.23</v>
      </c>
    </row>
    <row r="235" spans="1:2">
      <c r="A235" s="2733" t="s">
        <v>3057</v>
      </c>
      <c r="B235" s="2734">
        <v>46.23</v>
      </c>
    </row>
    <row r="236" spans="1:2">
      <c r="A236" s="2733" t="s">
        <v>3058</v>
      </c>
      <c r="B236" s="2734">
        <v>46.23</v>
      </c>
    </row>
    <row r="237" spans="1:2">
      <c r="A237" s="2735" t="s">
        <v>3059</v>
      </c>
      <c r="B237" s="2734">
        <v>46.23</v>
      </c>
    </row>
    <row r="238" spans="1:2">
      <c r="A238" s="2735" t="s">
        <v>3060</v>
      </c>
      <c r="B238" s="2738">
        <v>52.43</v>
      </c>
    </row>
    <row r="239" spans="1:2">
      <c r="A239" s="2733" t="s">
        <v>3061</v>
      </c>
      <c r="B239" s="2734">
        <v>54.47</v>
      </c>
    </row>
    <row r="240" spans="1:2">
      <c r="A240" s="2735" t="s">
        <v>3062</v>
      </c>
      <c r="B240" s="2734">
        <v>54.47</v>
      </c>
    </row>
    <row r="241" spans="1:2">
      <c r="A241" s="2733" t="s">
        <v>3063</v>
      </c>
      <c r="B241" s="2734">
        <v>54.47</v>
      </c>
    </row>
    <row r="242" spans="1:2">
      <c r="A242" s="2733" t="s">
        <v>3064</v>
      </c>
      <c r="B242" s="2734">
        <v>54.47</v>
      </c>
    </row>
    <row r="243" spans="1:2">
      <c r="A243" s="2733" t="s">
        <v>3065</v>
      </c>
      <c r="B243" s="2734">
        <v>54.47</v>
      </c>
    </row>
    <row r="244" spans="1:2">
      <c r="A244" s="2733" t="s">
        <v>3066</v>
      </c>
      <c r="B244" s="2734">
        <v>54.47</v>
      </c>
    </row>
    <row r="245" spans="1:2">
      <c r="A245" s="2733" t="s">
        <v>3067</v>
      </c>
      <c r="B245" s="2734">
        <v>54.47</v>
      </c>
    </row>
    <row r="246" spans="1:2">
      <c r="A246" s="2733" t="s">
        <v>3068</v>
      </c>
      <c r="B246" s="2734">
        <v>54.47</v>
      </c>
    </row>
    <row r="247" spans="1:2">
      <c r="A247" s="2733" t="s">
        <v>3069</v>
      </c>
      <c r="B247" s="2734">
        <v>54.47</v>
      </c>
    </row>
    <row r="248" spans="1:2">
      <c r="A248" s="2733" t="s">
        <v>3070</v>
      </c>
      <c r="B248" s="2734">
        <v>52.43</v>
      </c>
    </row>
    <row r="249" spans="1:2">
      <c r="A249" s="2733" t="s">
        <v>3071</v>
      </c>
      <c r="B249" s="2734">
        <v>52.43</v>
      </c>
    </row>
    <row r="250" spans="1:2">
      <c r="A250" s="2733" t="s">
        <v>3072</v>
      </c>
      <c r="B250" s="2734">
        <v>48.03</v>
      </c>
    </row>
    <row r="251" spans="1:2">
      <c r="A251" s="2733" t="s">
        <v>3073</v>
      </c>
      <c r="B251" s="2734">
        <v>48.03</v>
      </c>
    </row>
    <row r="252" spans="1:2">
      <c r="A252" s="2733" t="s">
        <v>3074</v>
      </c>
      <c r="B252" s="2734">
        <v>48.03</v>
      </c>
    </row>
    <row r="253" spans="1:2">
      <c r="A253" s="2743" t="s">
        <v>3075</v>
      </c>
      <c r="B253" s="2734">
        <v>48.03</v>
      </c>
    </row>
    <row r="254" spans="1:2">
      <c r="A254" s="2733" t="s">
        <v>3076</v>
      </c>
      <c r="B254" s="2734">
        <v>48.03</v>
      </c>
    </row>
    <row r="255" spans="1:2">
      <c r="A255" s="2733" t="s">
        <v>3077</v>
      </c>
      <c r="B255" s="2734">
        <v>48.03</v>
      </c>
    </row>
    <row r="256" spans="1:2">
      <c r="A256" s="2733" t="s">
        <v>3078</v>
      </c>
      <c r="B256" s="2734">
        <v>55.47</v>
      </c>
    </row>
    <row r="257" spans="1:2">
      <c r="A257" s="2733" t="s">
        <v>3079</v>
      </c>
      <c r="B257" s="2734">
        <v>54.47</v>
      </c>
    </row>
    <row r="258" spans="1:2">
      <c r="A258" s="2733" t="s">
        <v>3080</v>
      </c>
      <c r="B258" s="2734">
        <v>54.47</v>
      </c>
    </row>
    <row r="259" spans="1:2">
      <c r="A259" s="2733" t="s">
        <v>3081</v>
      </c>
      <c r="B259" s="2734">
        <v>54.47</v>
      </c>
    </row>
    <row r="260" spans="1:2">
      <c r="A260" s="2733" t="s">
        <v>3082</v>
      </c>
      <c r="B260" s="2734">
        <v>54.47</v>
      </c>
    </row>
    <row r="261" spans="1:2">
      <c r="A261" s="2733" t="s">
        <v>3083</v>
      </c>
      <c r="B261" s="2734">
        <v>54.47</v>
      </c>
    </row>
    <row r="262" spans="1:2">
      <c r="A262" s="2733" t="s">
        <v>3084</v>
      </c>
      <c r="B262" s="2734">
        <v>54.47</v>
      </c>
    </row>
    <row r="263" spans="1:2">
      <c r="A263" s="2733" t="s">
        <v>3085</v>
      </c>
      <c r="B263" s="2734">
        <v>54.47</v>
      </c>
    </row>
    <row r="264" spans="1:2">
      <c r="A264" s="2733" t="s">
        <v>3086</v>
      </c>
      <c r="B264" s="2734">
        <v>54.47</v>
      </c>
    </row>
    <row r="265" spans="1:2">
      <c r="A265" s="2735" t="s">
        <v>3087</v>
      </c>
      <c r="B265" s="2734">
        <v>54.47</v>
      </c>
    </row>
    <row r="266" spans="1:2">
      <c r="A266" s="2733" t="s">
        <v>3088</v>
      </c>
      <c r="B266" s="2734">
        <v>54.47</v>
      </c>
    </row>
    <row r="267" spans="1:2">
      <c r="A267" s="2733" t="s">
        <v>3089</v>
      </c>
      <c r="B267" s="2734">
        <v>54.47</v>
      </c>
    </row>
    <row r="268" spans="1:2">
      <c r="A268" s="2735" t="s">
        <v>3090</v>
      </c>
      <c r="B268" s="2734">
        <v>54.47</v>
      </c>
    </row>
    <row r="269" spans="1:2">
      <c r="A269" s="2735" t="s">
        <v>3091</v>
      </c>
      <c r="B269" s="2738">
        <v>55.47</v>
      </c>
    </row>
    <row r="270" spans="1:2">
      <c r="A270" s="2733" t="s">
        <v>3092</v>
      </c>
      <c r="B270" s="2736">
        <f>97.98/2</f>
        <v>48.99</v>
      </c>
    </row>
    <row r="271" spans="1:2">
      <c r="A271" s="2733" t="s">
        <v>3093</v>
      </c>
      <c r="B271" s="2737">
        <f>B270</f>
        <v>48.99</v>
      </c>
    </row>
    <row r="272" spans="1:2">
      <c r="A272" s="2733" t="s">
        <v>3094</v>
      </c>
      <c r="B272" s="2734">
        <v>53.55</v>
      </c>
    </row>
    <row r="273" spans="1:2">
      <c r="A273" s="2733" t="s">
        <v>3095</v>
      </c>
      <c r="B273" s="2734">
        <v>53.55</v>
      </c>
    </row>
    <row r="274" spans="1:2">
      <c r="A274" s="2733" t="s">
        <v>3096</v>
      </c>
      <c r="B274" s="2734">
        <v>56.03</v>
      </c>
    </row>
    <row r="275" spans="1:2">
      <c r="A275" s="2733" t="s">
        <v>3097</v>
      </c>
      <c r="B275" s="2734">
        <v>56.03</v>
      </c>
    </row>
    <row r="276" spans="1:2">
      <c r="A276" s="2733" t="s">
        <v>3098</v>
      </c>
      <c r="B276" s="2734">
        <v>56.03</v>
      </c>
    </row>
    <row r="277" spans="1:2">
      <c r="A277" s="2733" t="s">
        <v>3099</v>
      </c>
      <c r="B277" s="2734">
        <v>56.03</v>
      </c>
    </row>
    <row r="278" spans="1:2">
      <c r="A278" s="2733" t="s">
        <v>3100</v>
      </c>
      <c r="B278" s="2734">
        <v>56.03</v>
      </c>
    </row>
    <row r="279" spans="1:2">
      <c r="A279" s="2733" t="s">
        <v>3101</v>
      </c>
      <c r="B279" s="2734">
        <v>56.03</v>
      </c>
    </row>
    <row r="280" spans="1:2">
      <c r="A280" s="2733" t="s">
        <v>3102</v>
      </c>
      <c r="B280" s="2734">
        <v>55.55</v>
      </c>
    </row>
    <row r="281" spans="1:2">
      <c r="A281" s="2733" t="s">
        <v>3103</v>
      </c>
      <c r="B281" s="2734">
        <v>55.55</v>
      </c>
    </row>
    <row r="282" spans="1:2">
      <c r="A282" s="2733" t="s">
        <v>3104</v>
      </c>
      <c r="B282" s="2734">
        <v>47.03</v>
      </c>
    </row>
    <row r="283" spans="1:2">
      <c r="A283" s="2735" t="s">
        <v>3105</v>
      </c>
      <c r="B283" s="2734">
        <v>47.03</v>
      </c>
    </row>
    <row r="284" spans="1:2">
      <c r="A284" s="2735" t="s">
        <v>3106</v>
      </c>
      <c r="B284" s="2734">
        <v>47.03</v>
      </c>
    </row>
    <row r="285" spans="1:2">
      <c r="A285" s="2735" t="s">
        <v>3107</v>
      </c>
      <c r="B285" s="2734">
        <v>47.03</v>
      </c>
    </row>
    <row r="286" spans="1:2">
      <c r="A286" s="2733" t="s">
        <v>3108</v>
      </c>
      <c r="B286" s="2734">
        <v>62.71</v>
      </c>
    </row>
    <row r="287" spans="1:2">
      <c r="A287" s="2735" t="s">
        <v>3109</v>
      </c>
      <c r="B287" s="2738">
        <v>59.55</v>
      </c>
    </row>
    <row r="288" spans="1:2">
      <c r="A288" s="2733" t="s">
        <v>3110</v>
      </c>
      <c r="B288" s="2734">
        <v>46.27</v>
      </c>
    </row>
    <row r="289" spans="1:2">
      <c r="A289" s="2733" t="s">
        <v>3111</v>
      </c>
      <c r="B289" s="2734">
        <v>46.27</v>
      </c>
    </row>
    <row r="290" spans="1:2">
      <c r="A290" s="2733" t="s">
        <v>3112</v>
      </c>
      <c r="B290" s="2734">
        <v>46.27</v>
      </c>
    </row>
    <row r="291" spans="1:2">
      <c r="A291" s="2733" t="s">
        <v>3113</v>
      </c>
      <c r="B291" s="2734">
        <v>46.27</v>
      </c>
    </row>
    <row r="292" spans="1:2">
      <c r="A292" s="2733" t="s">
        <v>3114</v>
      </c>
      <c r="B292" s="2734">
        <v>51.55</v>
      </c>
    </row>
    <row r="293" spans="1:2">
      <c r="A293" s="2733" t="s">
        <v>3115</v>
      </c>
      <c r="B293" s="2734">
        <v>56.19</v>
      </c>
    </row>
    <row r="294" spans="1:2">
      <c r="A294" s="2735" t="s">
        <v>3116</v>
      </c>
      <c r="B294" s="2734">
        <v>56.19</v>
      </c>
    </row>
    <row r="295" spans="1:2">
      <c r="A295" s="2735" t="s">
        <v>3117</v>
      </c>
      <c r="B295" s="2734">
        <v>56.19</v>
      </c>
    </row>
    <row r="296" spans="1:2">
      <c r="A296" s="2733" t="s">
        <v>3118</v>
      </c>
      <c r="B296" s="2734">
        <v>56.19</v>
      </c>
    </row>
    <row r="297" spans="1:2">
      <c r="A297" s="2735" t="s">
        <v>3119</v>
      </c>
      <c r="B297" s="2734">
        <v>56.19</v>
      </c>
    </row>
    <row r="298" spans="1:2">
      <c r="A298" s="2735" t="s">
        <v>3120</v>
      </c>
      <c r="B298" s="2734">
        <v>56.19</v>
      </c>
    </row>
  </sheetData>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opLeftCell="A7" workbookViewId="0">
      <selection activeCell="A34" sqref="A34"/>
    </sheetView>
  </sheetViews>
  <sheetFormatPr defaultRowHeight="13.5"/>
  <cols>
    <col min="1" max="1" width="21.75" customWidth="1"/>
    <col min="3" max="3" width="14.25" customWidth="1"/>
    <col min="4" max="4" width="9.375" customWidth="1"/>
    <col min="5" max="5" width="12.125" customWidth="1"/>
    <col min="6" max="6" width="11.5" customWidth="1"/>
    <col min="7" max="7" width="13.5" customWidth="1"/>
    <col min="8" max="8" width="11.75" customWidth="1"/>
    <col min="9" max="9" width="14" customWidth="1"/>
    <col min="10" max="10" width="13.375" customWidth="1"/>
  </cols>
  <sheetData>
    <row r="1" spans="1:11">
      <c r="A1" s="2749" t="s">
        <v>3143</v>
      </c>
      <c r="B1" s="2749" t="s">
        <v>3144</v>
      </c>
      <c r="C1" s="2749" t="s">
        <v>3145</v>
      </c>
      <c r="D1" s="2749" t="s">
        <v>3146</v>
      </c>
      <c r="E1" s="2749" t="s">
        <v>3147</v>
      </c>
      <c r="F1" s="2749" t="s">
        <v>3148</v>
      </c>
      <c r="G1" s="2749" t="s">
        <v>3149</v>
      </c>
      <c r="H1" s="2749" t="s">
        <v>3150</v>
      </c>
      <c r="I1" s="2749" t="s">
        <v>3151</v>
      </c>
      <c r="J1" s="2749" t="s">
        <v>3152</v>
      </c>
    </row>
    <row r="2" spans="1:11">
      <c r="A2" s="2749" t="s">
        <v>3153</v>
      </c>
      <c r="B2" s="2749" t="s">
        <v>3154</v>
      </c>
      <c r="C2" s="2749" t="s">
        <v>3155</v>
      </c>
      <c r="D2" s="2749" t="s">
        <v>3156</v>
      </c>
      <c r="E2" s="2749">
        <v>190</v>
      </c>
      <c r="F2" s="2749">
        <v>7323</v>
      </c>
      <c r="G2" s="2749">
        <v>13336</v>
      </c>
      <c r="H2" s="2749">
        <v>9766</v>
      </c>
      <c r="I2" s="2749">
        <v>51.4</v>
      </c>
      <c r="J2" s="2749">
        <v>39</v>
      </c>
    </row>
    <row r="3" spans="1:11">
      <c r="A3" s="2749" t="s">
        <v>3157</v>
      </c>
      <c r="B3" s="2749" t="s">
        <v>3158</v>
      </c>
      <c r="C3" s="2749" t="s">
        <v>3159</v>
      </c>
      <c r="D3" s="2749" t="s">
        <v>3160</v>
      </c>
      <c r="E3" s="2749">
        <v>76</v>
      </c>
      <c r="F3" s="2749">
        <v>2875</v>
      </c>
      <c r="G3" s="2749">
        <v>9809</v>
      </c>
      <c r="H3" s="2749">
        <v>2820</v>
      </c>
      <c r="I3" s="2749">
        <v>37.11</v>
      </c>
      <c r="J3" s="2749">
        <v>38</v>
      </c>
    </row>
    <row r="4" spans="1:11">
      <c r="A4" s="2749" t="s">
        <v>3161</v>
      </c>
      <c r="B4" s="2749" t="s">
        <v>3154</v>
      </c>
      <c r="C4" s="2749" t="s">
        <v>3162</v>
      </c>
      <c r="D4" s="2749" t="s">
        <v>3163</v>
      </c>
      <c r="E4" s="2749">
        <v>55</v>
      </c>
      <c r="F4" s="2749">
        <v>2317</v>
      </c>
      <c r="G4" s="2749">
        <v>10186</v>
      </c>
      <c r="H4" s="2749">
        <v>2360</v>
      </c>
      <c r="I4" s="2749">
        <v>42.91</v>
      </c>
      <c r="J4" s="2749">
        <v>42</v>
      </c>
    </row>
    <row r="5" spans="1:11">
      <c r="A5" s="2749" t="s">
        <v>3164</v>
      </c>
      <c r="B5" s="2749" t="s">
        <v>3154</v>
      </c>
      <c r="C5" s="2749" t="s">
        <v>3162</v>
      </c>
      <c r="D5" s="2749" t="s">
        <v>3165</v>
      </c>
      <c r="E5" s="2749">
        <v>31</v>
      </c>
      <c r="F5" s="2749">
        <v>1119</v>
      </c>
      <c r="G5" s="2749">
        <v>9141</v>
      </c>
      <c r="H5" s="2749">
        <v>1023</v>
      </c>
      <c r="I5" s="2749">
        <v>33</v>
      </c>
      <c r="J5" s="2749">
        <v>36</v>
      </c>
    </row>
    <row r="6" spans="1:11" s="2751" customFormat="1">
      <c r="A6" s="2750" t="s">
        <v>3166</v>
      </c>
      <c r="B6" s="2750" t="s">
        <v>3158</v>
      </c>
      <c r="C6" s="2750" t="s">
        <v>3159</v>
      </c>
      <c r="D6" s="2750" t="s">
        <v>3167</v>
      </c>
      <c r="E6" s="2750">
        <v>23</v>
      </c>
      <c r="F6" s="2750">
        <v>387</v>
      </c>
      <c r="G6" s="2750">
        <v>16561</v>
      </c>
      <c r="H6" s="2750">
        <v>641.29999999999995</v>
      </c>
      <c r="I6" s="2750">
        <v>27.88</v>
      </c>
      <c r="J6" s="2750">
        <v>17</v>
      </c>
      <c r="K6" s="2755" t="s">
        <v>3236</v>
      </c>
    </row>
    <row r="7" spans="1:11">
      <c r="A7" s="2749" t="s">
        <v>3168</v>
      </c>
      <c r="B7" s="2749" t="s">
        <v>3154</v>
      </c>
      <c r="C7" s="2749" t="s">
        <v>3169</v>
      </c>
      <c r="D7" s="2749" t="s">
        <v>3163</v>
      </c>
      <c r="E7" s="2749">
        <v>16</v>
      </c>
      <c r="F7" s="2749">
        <v>1115</v>
      </c>
      <c r="G7" s="2749">
        <v>3588</v>
      </c>
      <c r="H7" s="2749">
        <v>400</v>
      </c>
      <c r="I7" s="2749">
        <v>25</v>
      </c>
      <c r="J7" s="2749">
        <v>70</v>
      </c>
    </row>
    <row r="8" spans="1:11">
      <c r="A8" s="2749" t="s">
        <v>3170</v>
      </c>
      <c r="B8" s="2749" t="s">
        <v>3154</v>
      </c>
      <c r="C8" s="2749" t="s">
        <v>3162</v>
      </c>
      <c r="D8" s="2749" t="s">
        <v>3171</v>
      </c>
      <c r="E8" s="2749">
        <v>14</v>
      </c>
      <c r="F8" s="2749">
        <v>420</v>
      </c>
      <c r="G8" s="2749">
        <v>14324</v>
      </c>
      <c r="H8" s="2749">
        <v>602</v>
      </c>
      <c r="I8" s="2749">
        <v>43</v>
      </c>
      <c r="J8" s="2749">
        <v>30</v>
      </c>
    </row>
    <row r="9" spans="1:11">
      <c r="A9" s="2749" t="s">
        <v>3172</v>
      </c>
      <c r="B9" s="2749" t="s">
        <v>3154</v>
      </c>
      <c r="C9" s="2749" t="s">
        <v>3173</v>
      </c>
      <c r="D9" s="2749" t="s">
        <v>3160</v>
      </c>
      <c r="E9" s="2749">
        <v>12</v>
      </c>
      <c r="F9" s="2749">
        <v>605</v>
      </c>
      <c r="G9" s="2749">
        <v>9649</v>
      </c>
      <c r="H9" s="2749">
        <v>584.20000000000005</v>
      </c>
      <c r="I9" s="2749">
        <v>48.68</v>
      </c>
      <c r="J9" s="2749">
        <v>50</v>
      </c>
    </row>
    <row r="10" spans="1:11">
      <c r="A10" s="2749" t="s">
        <v>3174</v>
      </c>
      <c r="B10" s="2749" t="s">
        <v>3154</v>
      </c>
      <c r="C10" s="2749" t="s">
        <v>3169</v>
      </c>
      <c r="D10" s="2749" t="s">
        <v>3175</v>
      </c>
      <c r="E10" s="2749">
        <v>11</v>
      </c>
      <c r="F10" s="2749">
        <v>342</v>
      </c>
      <c r="G10" s="2749">
        <v>6430</v>
      </c>
      <c r="H10" s="2749">
        <v>220</v>
      </c>
      <c r="I10" s="2749">
        <v>20</v>
      </c>
      <c r="J10" s="2749">
        <v>31</v>
      </c>
    </row>
    <row r="11" spans="1:11">
      <c r="A11" s="2749" t="s">
        <v>3176</v>
      </c>
      <c r="B11" s="2749" t="s">
        <v>3154</v>
      </c>
      <c r="C11" s="2749" t="s">
        <v>3177</v>
      </c>
      <c r="D11" s="2749" t="s">
        <v>3178</v>
      </c>
      <c r="E11" s="2749">
        <v>11</v>
      </c>
      <c r="F11" s="2749">
        <v>320</v>
      </c>
      <c r="G11" s="2749">
        <v>8071</v>
      </c>
      <c r="H11" s="2749">
        <v>258.12</v>
      </c>
      <c r="I11" s="2749">
        <v>23.46</v>
      </c>
      <c r="J11" s="2749">
        <v>29</v>
      </c>
    </row>
    <row r="12" spans="1:11">
      <c r="A12" s="2749" t="s">
        <v>3179</v>
      </c>
      <c r="B12" s="2749" t="s">
        <v>3154</v>
      </c>
      <c r="C12" s="2749" t="s">
        <v>3180</v>
      </c>
      <c r="D12" s="2749" t="s">
        <v>3178</v>
      </c>
      <c r="E12" s="2749">
        <v>10</v>
      </c>
      <c r="F12" s="2749">
        <v>296</v>
      </c>
      <c r="G12" s="2749">
        <v>5307</v>
      </c>
      <c r="H12" s="2749">
        <v>157.09</v>
      </c>
      <c r="I12" s="2749">
        <v>15.71</v>
      </c>
      <c r="J12" s="2749">
        <v>30</v>
      </c>
    </row>
    <row r="13" spans="1:11">
      <c r="A13" s="2749" t="s">
        <v>3181</v>
      </c>
      <c r="B13" s="2749" t="s">
        <v>3154</v>
      </c>
      <c r="C13" s="2749" t="s">
        <v>3182</v>
      </c>
      <c r="D13" s="2749" t="s">
        <v>3183</v>
      </c>
      <c r="E13" s="2749">
        <v>10</v>
      </c>
      <c r="F13" s="2749">
        <v>351</v>
      </c>
      <c r="G13" s="2749">
        <v>11298</v>
      </c>
      <c r="H13" s="2749">
        <v>396.56</v>
      </c>
      <c r="I13" s="2749">
        <v>39.659999999999997</v>
      </c>
      <c r="J13" s="2749">
        <v>35</v>
      </c>
    </row>
    <row r="14" spans="1:11">
      <c r="A14" s="2749" t="s">
        <v>3184</v>
      </c>
      <c r="B14" s="2749" t="s">
        <v>3154</v>
      </c>
      <c r="C14" s="2749" t="s">
        <v>3162</v>
      </c>
      <c r="D14" s="2749" t="s">
        <v>3185</v>
      </c>
      <c r="E14" s="2749">
        <v>8</v>
      </c>
      <c r="F14" s="2749">
        <v>343</v>
      </c>
      <c r="G14" s="2749">
        <v>9507</v>
      </c>
      <c r="H14" s="2749">
        <v>326</v>
      </c>
      <c r="I14" s="2749">
        <v>40.75</v>
      </c>
      <c r="J14" s="2749">
        <v>43</v>
      </c>
    </row>
    <row r="15" spans="1:11" s="2751" customFormat="1" ht="14.25" customHeight="1">
      <c r="A15" s="2753" t="s">
        <v>3253</v>
      </c>
      <c r="B15" s="2750" t="s">
        <v>3154</v>
      </c>
      <c r="C15" s="2750" t="s">
        <v>3173</v>
      </c>
      <c r="D15" s="2750" t="s">
        <v>3160</v>
      </c>
      <c r="E15" s="2750">
        <v>7</v>
      </c>
      <c r="F15" s="2750">
        <v>368</v>
      </c>
      <c r="G15" s="2750">
        <v>5706</v>
      </c>
      <c r="H15" s="2750">
        <v>210</v>
      </c>
      <c r="I15" s="2750">
        <v>30</v>
      </c>
      <c r="J15" s="2750">
        <v>53</v>
      </c>
      <c r="K15" s="2755" t="s">
        <v>3255</v>
      </c>
    </row>
    <row r="16" spans="1:11">
      <c r="A16" s="2749" t="s">
        <v>3186</v>
      </c>
      <c r="B16" s="2749" t="s">
        <v>3154</v>
      </c>
      <c r="C16" s="2749" t="s">
        <v>3187</v>
      </c>
      <c r="D16" s="2749" t="s">
        <v>3188</v>
      </c>
      <c r="E16" s="2749">
        <v>6</v>
      </c>
      <c r="F16" s="2749">
        <v>234</v>
      </c>
      <c r="G16" s="2749">
        <v>3422</v>
      </c>
      <c r="H16" s="2749">
        <v>80</v>
      </c>
      <c r="I16" s="2749">
        <v>13.33</v>
      </c>
      <c r="J16" s="2749">
        <v>39</v>
      </c>
    </row>
    <row r="17" spans="1:11" s="2744" customFormat="1">
      <c r="A17" s="2766" t="s">
        <v>3232</v>
      </c>
      <c r="B17" s="2754" t="s">
        <v>3154</v>
      </c>
      <c r="C17" s="2754" t="s">
        <v>3180</v>
      </c>
      <c r="D17" s="2754" t="s">
        <v>3189</v>
      </c>
      <c r="E17" s="2754">
        <v>6</v>
      </c>
      <c r="F17" s="2754">
        <v>222</v>
      </c>
      <c r="G17" s="2754">
        <v>9187</v>
      </c>
      <c r="H17" s="2754">
        <v>203.6</v>
      </c>
      <c r="I17" s="2754">
        <v>33.93</v>
      </c>
      <c r="J17" s="2754">
        <v>37</v>
      </c>
      <c r="K17" s="2765" t="s">
        <v>3238</v>
      </c>
    </row>
    <row r="18" spans="1:11" s="2744" customFormat="1">
      <c r="A18" s="2754" t="s">
        <v>3190</v>
      </c>
      <c r="B18" s="2754" t="s">
        <v>3154</v>
      </c>
      <c r="C18" s="2754" t="s">
        <v>3187</v>
      </c>
      <c r="D18" s="2754" t="s">
        <v>3191</v>
      </c>
      <c r="E18" s="2754">
        <v>6</v>
      </c>
      <c r="F18" s="2754">
        <v>308</v>
      </c>
      <c r="G18" s="2754">
        <v>7137</v>
      </c>
      <c r="H18" s="2754">
        <v>220</v>
      </c>
      <c r="I18" s="2754">
        <v>36.67</v>
      </c>
      <c r="J18" s="2754">
        <v>51</v>
      </c>
    </row>
    <row r="19" spans="1:11">
      <c r="A19" s="2749" t="s">
        <v>3192</v>
      </c>
      <c r="B19" s="2749" t="s">
        <v>3154</v>
      </c>
      <c r="C19" s="2749" t="s">
        <v>3162</v>
      </c>
      <c r="D19" s="2749" t="s">
        <v>3193</v>
      </c>
      <c r="E19" s="2749">
        <v>6</v>
      </c>
      <c r="F19" s="2749">
        <v>352</v>
      </c>
      <c r="G19" s="2749">
        <v>1704</v>
      </c>
      <c r="H19" s="2749">
        <v>60</v>
      </c>
      <c r="I19" s="2749">
        <v>10</v>
      </c>
      <c r="J19" s="2749">
        <v>59</v>
      </c>
    </row>
    <row r="20" spans="1:11">
      <c r="A20" s="2749" t="s">
        <v>3194</v>
      </c>
      <c r="B20" s="2749" t="s">
        <v>3154</v>
      </c>
      <c r="C20" s="2749" t="s">
        <v>3177</v>
      </c>
      <c r="D20" s="2749" t="s">
        <v>3195</v>
      </c>
      <c r="E20" s="2749">
        <v>5</v>
      </c>
      <c r="F20" s="2749">
        <v>181</v>
      </c>
      <c r="G20" s="2749">
        <v>10590</v>
      </c>
      <c r="H20" s="2749">
        <v>192</v>
      </c>
      <c r="I20" s="2749">
        <v>38.4</v>
      </c>
      <c r="J20" s="2749">
        <v>36</v>
      </c>
    </row>
    <row r="21" spans="1:11">
      <c r="A21" s="2749" t="s">
        <v>3234</v>
      </c>
      <c r="B21" s="2749" t="s">
        <v>3154</v>
      </c>
      <c r="C21" s="2749" t="s">
        <v>3162</v>
      </c>
      <c r="D21" s="2749" t="s">
        <v>3196</v>
      </c>
      <c r="E21" s="2749">
        <v>4</v>
      </c>
      <c r="F21" s="2749">
        <v>121</v>
      </c>
      <c r="G21" s="2749">
        <v>12363</v>
      </c>
      <c r="H21" s="2749">
        <v>149</v>
      </c>
      <c r="I21" s="2749">
        <v>37.25</v>
      </c>
      <c r="J21" s="2749">
        <v>30</v>
      </c>
    </row>
    <row r="22" spans="1:11">
      <c r="A22" s="2749" t="s">
        <v>3197</v>
      </c>
      <c r="B22" s="2749" t="s">
        <v>3154</v>
      </c>
      <c r="C22" s="2749" t="s">
        <v>3198</v>
      </c>
      <c r="D22" s="2749" t="s">
        <v>3199</v>
      </c>
      <c r="E22" s="2749">
        <v>4</v>
      </c>
      <c r="F22" s="2749">
        <v>154</v>
      </c>
      <c r="G22" s="2749">
        <v>11920</v>
      </c>
      <c r="H22" s="2749">
        <v>184</v>
      </c>
      <c r="I22" s="2749">
        <v>46</v>
      </c>
      <c r="J22" s="2749">
        <v>39</v>
      </c>
    </row>
    <row r="23" spans="1:11">
      <c r="A23" s="2749" t="s">
        <v>3200</v>
      </c>
      <c r="B23" s="2749" t="s">
        <v>3154</v>
      </c>
      <c r="C23" s="2749" t="s">
        <v>3187</v>
      </c>
      <c r="D23" s="2749" t="s">
        <v>3201</v>
      </c>
      <c r="E23" s="2749">
        <v>4</v>
      </c>
      <c r="F23" s="2749">
        <v>140</v>
      </c>
      <c r="G23" s="2749">
        <v>5084</v>
      </c>
      <c r="H23" s="2749">
        <v>70.95</v>
      </c>
      <c r="I23" s="2749">
        <v>17.739999999999998</v>
      </c>
      <c r="J23" s="2749">
        <v>35</v>
      </c>
    </row>
    <row r="24" spans="1:11">
      <c r="A24" s="2749" t="s">
        <v>3202</v>
      </c>
      <c r="B24" s="2749" t="s">
        <v>3154</v>
      </c>
      <c r="C24" s="2749" t="s">
        <v>3203</v>
      </c>
      <c r="D24" s="2749" t="s">
        <v>3204</v>
      </c>
      <c r="E24" s="2749">
        <v>3</v>
      </c>
      <c r="F24" s="2749">
        <v>56</v>
      </c>
      <c r="G24" s="2749">
        <v>9307</v>
      </c>
      <c r="H24" s="2749">
        <v>52</v>
      </c>
      <c r="I24" s="2749">
        <v>17.329999999999998</v>
      </c>
      <c r="J24" s="2749">
        <v>19</v>
      </c>
    </row>
    <row r="25" spans="1:11">
      <c r="A25" s="2749" t="s">
        <v>3205</v>
      </c>
      <c r="B25" s="2749" t="s">
        <v>3158</v>
      </c>
      <c r="C25" s="2749" t="s">
        <v>3159</v>
      </c>
      <c r="D25" s="2749" t="s">
        <v>3160</v>
      </c>
      <c r="E25" s="2749">
        <v>3</v>
      </c>
      <c r="F25" s="2749">
        <v>233</v>
      </c>
      <c r="G25" s="2749">
        <v>6069</v>
      </c>
      <c r="H25" s="2749">
        <v>141.38</v>
      </c>
      <c r="I25" s="2749">
        <v>47.13</v>
      </c>
      <c r="J25" s="2749">
        <v>78</v>
      </c>
    </row>
    <row r="26" spans="1:11">
      <c r="A26" s="2749" t="s">
        <v>3206</v>
      </c>
      <c r="B26" s="2749" t="s">
        <v>3154</v>
      </c>
      <c r="C26" s="2749" t="s">
        <v>3203</v>
      </c>
      <c r="D26" s="2749" t="s">
        <v>3160</v>
      </c>
      <c r="E26" s="2749">
        <v>2</v>
      </c>
      <c r="F26" s="2749">
        <v>104</v>
      </c>
      <c r="G26" s="2749">
        <v>3650</v>
      </c>
      <c r="H26" s="2749">
        <v>38</v>
      </c>
      <c r="I26" s="2749">
        <v>19</v>
      </c>
      <c r="J26" s="2749">
        <v>52</v>
      </c>
    </row>
    <row r="27" spans="1:11">
      <c r="A27" s="2749" t="s">
        <v>3207</v>
      </c>
      <c r="B27" s="2749" t="s">
        <v>3158</v>
      </c>
      <c r="C27" s="2749" t="s">
        <v>3159</v>
      </c>
      <c r="D27" s="2749" t="s">
        <v>3208</v>
      </c>
      <c r="E27" s="2749">
        <v>2</v>
      </c>
      <c r="F27" s="2749">
        <v>106</v>
      </c>
      <c r="G27" s="2749">
        <v>10878</v>
      </c>
      <c r="H27" s="2749">
        <v>115.01</v>
      </c>
      <c r="I27" s="2749">
        <v>57.51</v>
      </c>
      <c r="J27" s="2749">
        <v>53</v>
      </c>
    </row>
    <row r="28" spans="1:11">
      <c r="A28" s="2749" t="s">
        <v>3209</v>
      </c>
      <c r="B28" s="2749" t="s">
        <v>3154</v>
      </c>
      <c r="C28" s="2749" t="s">
        <v>3162</v>
      </c>
      <c r="D28" s="2749" t="s">
        <v>3201</v>
      </c>
      <c r="E28" s="2749">
        <v>2</v>
      </c>
      <c r="F28" s="2749">
        <v>69</v>
      </c>
      <c r="G28" s="2749">
        <v>6983</v>
      </c>
      <c r="H28" s="2749">
        <v>48</v>
      </c>
      <c r="I28" s="2749">
        <v>24</v>
      </c>
      <c r="J28" s="2749">
        <v>34</v>
      </c>
    </row>
    <row r="29" spans="1:11">
      <c r="A29" s="2749" t="s">
        <v>3210</v>
      </c>
      <c r="B29" s="2749" t="s">
        <v>3154</v>
      </c>
      <c r="C29" s="2749" t="s">
        <v>3169</v>
      </c>
      <c r="D29" s="2749" t="s">
        <v>3160</v>
      </c>
      <c r="E29" s="2749">
        <v>2</v>
      </c>
      <c r="F29" s="2749">
        <v>42</v>
      </c>
      <c r="G29" s="2749">
        <v>16607</v>
      </c>
      <c r="H29" s="2749">
        <v>70</v>
      </c>
      <c r="I29" s="2749">
        <v>35</v>
      </c>
      <c r="J29" s="2749">
        <v>21</v>
      </c>
    </row>
    <row r="30" spans="1:11" s="2744" customFormat="1">
      <c r="A30" s="2754" t="s">
        <v>3235</v>
      </c>
      <c r="B30" s="2754" t="s">
        <v>3154</v>
      </c>
      <c r="C30" s="2754" t="s">
        <v>3187</v>
      </c>
      <c r="D30" s="2754" t="s">
        <v>3160</v>
      </c>
      <c r="E30" s="2754">
        <v>2</v>
      </c>
      <c r="F30" s="2754">
        <v>86</v>
      </c>
      <c r="G30" s="2754">
        <v>8216</v>
      </c>
      <c r="H30" s="2754">
        <v>71</v>
      </c>
      <c r="I30" s="2754">
        <v>35.5</v>
      </c>
      <c r="J30" s="2754">
        <v>43</v>
      </c>
      <c r="K30" s="2765" t="s">
        <v>3237</v>
      </c>
    </row>
    <row r="31" spans="1:11">
      <c r="A31" s="2752" t="s">
        <v>3250</v>
      </c>
      <c r="B31" s="2749" t="s">
        <v>3154</v>
      </c>
      <c r="C31" s="2749" t="s">
        <v>3162</v>
      </c>
      <c r="D31" s="2749" t="s">
        <v>3201</v>
      </c>
      <c r="E31" s="2749">
        <v>2</v>
      </c>
      <c r="F31" s="2749">
        <v>65</v>
      </c>
      <c r="G31" s="2749">
        <v>10060</v>
      </c>
      <c r="H31" s="2749">
        <v>65</v>
      </c>
      <c r="I31" s="2749">
        <v>32.5</v>
      </c>
      <c r="J31" s="2749">
        <v>32</v>
      </c>
    </row>
    <row r="32" spans="1:11">
      <c r="A32" s="2749" t="s">
        <v>3211</v>
      </c>
      <c r="B32" s="2749" t="s">
        <v>3158</v>
      </c>
      <c r="C32" s="2749" t="s">
        <v>3159</v>
      </c>
      <c r="D32" s="2749" t="s">
        <v>3212</v>
      </c>
      <c r="E32" s="2749">
        <v>2</v>
      </c>
      <c r="F32" s="2749">
        <v>61</v>
      </c>
      <c r="G32" s="2749">
        <v>26118</v>
      </c>
      <c r="H32" s="2749">
        <v>160</v>
      </c>
      <c r="I32" s="2749">
        <v>80</v>
      </c>
      <c r="J32" s="2749">
        <v>31</v>
      </c>
    </row>
    <row r="33" spans="1:11" s="2751" customFormat="1">
      <c r="A33" s="2753" t="s">
        <v>3252</v>
      </c>
      <c r="B33" s="2750" t="s">
        <v>3154</v>
      </c>
      <c r="C33" s="2750" t="s">
        <v>3169</v>
      </c>
      <c r="D33" s="2750" t="s">
        <v>3213</v>
      </c>
      <c r="E33" s="2750">
        <v>2</v>
      </c>
      <c r="F33" s="2750">
        <v>72</v>
      </c>
      <c r="G33" s="2750">
        <v>7525</v>
      </c>
      <c r="H33" s="2750">
        <v>54</v>
      </c>
      <c r="I33" s="2750">
        <v>27</v>
      </c>
      <c r="J33" s="2750">
        <v>36</v>
      </c>
      <c r="K33" s="2755" t="s">
        <v>3254</v>
      </c>
    </row>
    <row r="34" spans="1:11">
      <c r="A34" s="2749" t="s">
        <v>3214</v>
      </c>
      <c r="B34" s="2749" t="s">
        <v>3154</v>
      </c>
      <c r="C34" s="2749" t="s">
        <v>3173</v>
      </c>
      <c r="D34" s="2749" t="s">
        <v>3160</v>
      </c>
      <c r="E34" s="2749">
        <v>2</v>
      </c>
      <c r="F34" s="2749">
        <v>62</v>
      </c>
      <c r="G34" s="2749">
        <v>5674</v>
      </c>
      <c r="H34" s="2749">
        <v>35</v>
      </c>
      <c r="I34" s="2749">
        <v>17.5</v>
      </c>
      <c r="J34" s="2749">
        <v>31</v>
      </c>
    </row>
    <row r="35" spans="1:11">
      <c r="A35" s="2749" t="s">
        <v>3215</v>
      </c>
      <c r="B35" s="2749" t="s">
        <v>3154</v>
      </c>
      <c r="C35" s="2749" t="s">
        <v>3187</v>
      </c>
      <c r="D35" s="2749" t="s">
        <v>3185</v>
      </c>
      <c r="E35" s="2749">
        <v>2</v>
      </c>
      <c r="F35" s="2749">
        <v>89</v>
      </c>
      <c r="G35" s="2749">
        <v>3370</v>
      </c>
      <c r="H35" s="2749">
        <v>30</v>
      </c>
      <c r="I35" s="2749">
        <v>15</v>
      </c>
      <c r="J35" s="2749">
        <v>45</v>
      </c>
    </row>
    <row r="36" spans="1:11">
      <c r="A36" s="2749" t="s">
        <v>3216</v>
      </c>
      <c r="B36" s="2749" t="s">
        <v>3154</v>
      </c>
      <c r="C36" s="2749" t="s">
        <v>3162</v>
      </c>
      <c r="D36" s="2749" t="s">
        <v>3212</v>
      </c>
      <c r="E36" s="2749">
        <v>2</v>
      </c>
      <c r="F36" s="2749">
        <v>73</v>
      </c>
      <c r="G36" s="2749">
        <v>2906</v>
      </c>
      <c r="H36" s="2749">
        <v>21.2</v>
      </c>
      <c r="I36" s="2749">
        <v>10.6</v>
      </c>
      <c r="J36" s="2749">
        <v>36</v>
      </c>
    </row>
    <row r="37" spans="1:11">
      <c r="A37" s="2749" t="s">
        <v>3251</v>
      </c>
      <c r="B37" s="2749" t="s">
        <v>3154</v>
      </c>
      <c r="C37" s="2749" t="s">
        <v>3173</v>
      </c>
      <c r="D37" s="2749" t="s">
        <v>3201</v>
      </c>
      <c r="E37" s="2749">
        <v>1</v>
      </c>
      <c r="F37" s="2749">
        <v>24</v>
      </c>
      <c r="G37" s="2749">
        <v>12242</v>
      </c>
      <c r="H37" s="2749">
        <v>29.54</v>
      </c>
      <c r="I37" s="2749">
        <v>29.54</v>
      </c>
      <c r="J37" s="2749">
        <v>24</v>
      </c>
    </row>
    <row r="38" spans="1:11">
      <c r="A38" s="2749" t="s">
        <v>3217</v>
      </c>
      <c r="B38" s="2749" t="s">
        <v>3154</v>
      </c>
      <c r="C38" s="2749" t="s">
        <v>3198</v>
      </c>
      <c r="D38" s="2749" t="s">
        <v>3218</v>
      </c>
      <c r="E38" s="2749">
        <v>1</v>
      </c>
      <c r="F38" s="2749">
        <v>40</v>
      </c>
      <c r="G38" s="2749">
        <v>11225</v>
      </c>
      <c r="H38" s="2749">
        <v>45</v>
      </c>
      <c r="I38" s="2749">
        <v>45</v>
      </c>
      <c r="J38" s="2749">
        <v>40</v>
      </c>
    </row>
    <row r="39" spans="1:11">
      <c r="A39" s="2749" t="s">
        <v>3219</v>
      </c>
      <c r="B39" s="2749" t="s">
        <v>3154</v>
      </c>
      <c r="C39" s="2749" t="s">
        <v>3169</v>
      </c>
      <c r="D39" s="2749" t="s">
        <v>3160</v>
      </c>
      <c r="E39" s="2749">
        <v>1</v>
      </c>
      <c r="F39" s="2749">
        <v>14</v>
      </c>
      <c r="G39" s="2749">
        <v>7241</v>
      </c>
      <c r="H39" s="2749">
        <v>10</v>
      </c>
      <c r="I39" s="2749">
        <v>10</v>
      </c>
      <c r="J39" s="2749">
        <v>14</v>
      </c>
    </row>
    <row r="40" spans="1:11">
      <c r="A40" s="2749" t="s">
        <v>3220</v>
      </c>
      <c r="B40" s="2749" t="s">
        <v>3154</v>
      </c>
      <c r="C40" s="2749" t="s">
        <v>3173</v>
      </c>
      <c r="D40" s="2749" t="s">
        <v>3160</v>
      </c>
      <c r="E40" s="2749">
        <v>1</v>
      </c>
      <c r="F40" s="2749">
        <v>31</v>
      </c>
      <c r="G40" s="2749">
        <v>14493</v>
      </c>
      <c r="H40" s="2749">
        <v>45</v>
      </c>
      <c r="I40" s="2749">
        <v>45</v>
      </c>
      <c r="J40" s="2749">
        <v>31</v>
      </c>
    </row>
    <row r="41" spans="1:11">
      <c r="A41" s="2749" t="s">
        <v>3221</v>
      </c>
      <c r="B41" s="2749" t="s">
        <v>3154</v>
      </c>
      <c r="C41" s="2749" t="s">
        <v>3187</v>
      </c>
      <c r="D41" s="2749" t="s">
        <v>3160</v>
      </c>
      <c r="E41" s="2749">
        <v>1</v>
      </c>
      <c r="F41" s="2749">
        <v>33</v>
      </c>
      <c r="G41" s="2749">
        <v>10730</v>
      </c>
      <c r="H41" s="2749">
        <v>35</v>
      </c>
      <c r="I41" s="2749">
        <v>35</v>
      </c>
      <c r="J41" s="2749">
        <v>33</v>
      </c>
    </row>
    <row r="42" spans="1:11">
      <c r="A42" s="2749" t="s">
        <v>3222</v>
      </c>
      <c r="B42" s="2749" t="s">
        <v>3158</v>
      </c>
      <c r="C42" s="2749" t="s">
        <v>3159</v>
      </c>
      <c r="D42" s="2749" t="s">
        <v>3160</v>
      </c>
      <c r="E42" s="2749">
        <v>1</v>
      </c>
      <c r="F42" s="2749">
        <v>12</v>
      </c>
      <c r="G42" s="2749">
        <v>36036</v>
      </c>
      <c r="H42" s="2749">
        <v>44</v>
      </c>
      <c r="I42" s="2749">
        <v>44</v>
      </c>
      <c r="J42" s="2749">
        <v>12</v>
      </c>
    </row>
    <row r="43" spans="1:11">
      <c r="A43" s="2749" t="s">
        <v>3223</v>
      </c>
      <c r="B43" s="2749" t="s">
        <v>3154</v>
      </c>
      <c r="C43" s="2749" t="s">
        <v>3162</v>
      </c>
      <c r="D43" s="2749" t="s">
        <v>3165</v>
      </c>
      <c r="E43" s="2749">
        <v>1</v>
      </c>
      <c r="F43" s="2749">
        <v>37</v>
      </c>
      <c r="G43" s="2749">
        <v>5616</v>
      </c>
      <c r="H43" s="2749">
        <v>21</v>
      </c>
      <c r="I43" s="2749">
        <v>21</v>
      </c>
      <c r="J43" s="2749">
        <v>37</v>
      </c>
    </row>
    <row r="44" spans="1:11">
      <c r="A44" s="2749" t="s">
        <v>3224</v>
      </c>
      <c r="B44" s="2749" t="s">
        <v>3154</v>
      </c>
      <c r="C44" s="2749" t="s">
        <v>3203</v>
      </c>
      <c r="D44" s="2749" t="s">
        <v>3193</v>
      </c>
      <c r="E44" s="2749">
        <v>1</v>
      </c>
      <c r="F44" s="2749">
        <v>33</v>
      </c>
      <c r="G44" s="2749">
        <v>4902</v>
      </c>
      <c r="H44" s="2749">
        <v>16</v>
      </c>
      <c r="I44" s="2749">
        <v>16</v>
      </c>
      <c r="J44" s="2749">
        <v>33</v>
      </c>
    </row>
    <row r="45" spans="1:11">
      <c r="A45" s="2749" t="s">
        <v>3225</v>
      </c>
      <c r="B45" s="2749" t="s">
        <v>3154</v>
      </c>
      <c r="C45" s="2749" t="s">
        <v>3198</v>
      </c>
      <c r="D45" s="2749" t="s">
        <v>3185</v>
      </c>
      <c r="E45" s="2749">
        <v>1</v>
      </c>
      <c r="F45" s="2749">
        <v>43</v>
      </c>
      <c r="G45" s="2749">
        <v>3968</v>
      </c>
      <c r="H45" s="2749">
        <v>17</v>
      </c>
      <c r="I45" s="2749">
        <v>17</v>
      </c>
      <c r="J45" s="2749">
        <v>43</v>
      </c>
    </row>
    <row r="46" spans="1:11">
      <c r="A46" s="2749" t="s">
        <v>3226</v>
      </c>
      <c r="B46" s="2749" t="s">
        <v>3154</v>
      </c>
      <c r="C46" s="2749" t="s">
        <v>3177</v>
      </c>
      <c r="D46" s="2749" t="s">
        <v>3227</v>
      </c>
      <c r="E46" s="2749">
        <v>1</v>
      </c>
      <c r="F46" s="2749">
        <v>12</v>
      </c>
      <c r="G46" s="2749">
        <v>8013</v>
      </c>
      <c r="H46" s="2749">
        <v>10</v>
      </c>
      <c r="I46" s="2749">
        <v>10</v>
      </c>
      <c r="J46" s="2749">
        <v>12</v>
      </c>
    </row>
    <row r="47" spans="1:11">
      <c r="A47" s="2749" t="s">
        <v>3228</v>
      </c>
      <c r="B47" s="2749" t="s">
        <v>3154</v>
      </c>
      <c r="C47" s="2749" t="s">
        <v>3169</v>
      </c>
      <c r="D47" s="2749" t="s">
        <v>3229</v>
      </c>
      <c r="E47" s="2749">
        <v>1</v>
      </c>
      <c r="F47" s="2749">
        <v>33</v>
      </c>
      <c r="G47" s="2749">
        <v>6030</v>
      </c>
      <c r="H47" s="2749">
        <v>20</v>
      </c>
      <c r="I47" s="2749">
        <v>20</v>
      </c>
      <c r="J47" s="2749">
        <v>33</v>
      </c>
    </row>
    <row r="48" spans="1:11">
      <c r="A48" s="2749" t="s">
        <v>3230</v>
      </c>
      <c r="B48" s="2749" t="s">
        <v>3154</v>
      </c>
      <c r="C48" s="2749" t="s">
        <v>3155</v>
      </c>
      <c r="D48" s="2749" t="s">
        <v>3208</v>
      </c>
      <c r="E48" s="2749">
        <v>1</v>
      </c>
      <c r="F48" s="2749">
        <v>58</v>
      </c>
      <c r="G48" s="2749">
        <v>9359</v>
      </c>
      <c r="H48" s="2749">
        <v>54</v>
      </c>
      <c r="I48" s="2749">
        <v>54</v>
      </c>
      <c r="J48" s="2749">
        <v>58</v>
      </c>
    </row>
    <row r="49" spans="1:10">
      <c r="A49" s="2749" t="s">
        <v>3231</v>
      </c>
      <c r="B49" s="2749" t="s">
        <v>3160</v>
      </c>
      <c r="C49" s="2749" t="s">
        <v>3160</v>
      </c>
      <c r="D49" s="2749" t="s">
        <v>3160</v>
      </c>
      <c r="E49" s="2749">
        <v>555</v>
      </c>
      <c r="F49" s="2749">
        <v>21381</v>
      </c>
      <c r="G49" s="2749">
        <v>10370</v>
      </c>
      <c r="H49" s="2749">
        <v>22170.94</v>
      </c>
      <c r="I49" s="2749">
        <v>39.950000000000003</v>
      </c>
      <c r="J49" s="2749">
        <v>39</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780</v>
      </c>
      <c r="B1" s="1923"/>
      <c r="C1" s="1923"/>
      <c r="D1" s="1923"/>
      <c r="E1" s="1923"/>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9"/>
      <c r="C2" s="2769"/>
      <c r="D2" s="2769"/>
      <c r="E2" s="2769"/>
    </row>
    <row r="3" spans="1:5" ht="13.5" customHeight="1">
      <c r="A3" s="1926"/>
      <c r="B3" s="1926"/>
      <c r="C3" s="1926"/>
      <c r="D3" s="1926"/>
      <c r="E3" s="1926"/>
    </row>
    <row r="4" spans="1:5" ht="19.5" thickBot="1">
      <c r="A4" s="2770" t="str">
        <f>IF(项目基本情况!D5="房地产市场价值","估价结果一览表（市场价值不需本页表格)","估价结果一览表")</f>
        <v>估价结果一览表（市场价值不需本页表格)</v>
      </c>
      <c r="B4" s="2770"/>
      <c r="C4" s="2770"/>
      <c r="D4" s="2770"/>
      <c r="E4" s="2770"/>
    </row>
    <row r="5" spans="1:5" ht="14.25" customHeight="1" thickTop="1">
      <c r="A5" s="1923"/>
      <c r="B5" s="1927" t="s">
        <v>742</v>
      </c>
      <c r="C5" s="2771" t="s">
        <v>781</v>
      </c>
      <c r="D5" s="2772"/>
      <c r="E5" s="1923"/>
    </row>
    <row r="6" spans="1:5" ht="14.25">
      <c r="A6" s="1923"/>
      <c r="B6" s="1928" t="str">
        <f>项目基本情况!I1</f>
        <v>北京市房地产</v>
      </c>
      <c r="C6" s="2773">
        <f>项目基本情况!C12</f>
        <v>14802.98</v>
      </c>
      <c r="D6" s="2773"/>
      <c r="E6" s="1923"/>
    </row>
    <row r="7" spans="1:5" ht="14.25">
      <c r="A7" s="1923"/>
      <c r="B7" s="2767" t="s">
        <v>782</v>
      </c>
      <c r="C7" s="1929" t="str">
        <f>IF('数据-取费表'!B3="万元","总价（万元）","总价（元）")</f>
        <v>总价（万元）</v>
      </c>
      <c r="D7" s="1930">
        <f ca="1">IF('数据-取费表'!E3="否",结果表!I102,'结果表 (1修多)'!I103)</f>
        <v>7809</v>
      </c>
      <c r="E7" s="1923"/>
    </row>
    <row r="8" spans="1:5" ht="14.25">
      <c r="A8" s="1923"/>
      <c r="B8" s="2767"/>
      <c r="C8" s="1931" t="s">
        <v>1172</v>
      </c>
      <c r="D8" s="1932" t="str">
        <f ca="1">IF('数据-取费表'!B3="万元",NUMBERSTRING(INT(D7*10000),2)&amp;"元整",NUMBERSTRING(INT(D7),2)&amp;"元整")</f>
        <v>柒仟捌佰零玖万元整</v>
      </c>
      <c r="E8" s="1923"/>
    </row>
    <row r="9" spans="1:5" ht="14.25">
      <c r="A9" s="1923"/>
      <c r="B9" s="2767"/>
      <c r="C9" s="1933" t="s">
        <v>1271</v>
      </c>
      <c r="D9" s="1930">
        <f ca="1">IF('数据-取费表'!E3="否",结果表!I103,'结果表 (1修多)'!I104)</f>
        <v>5275</v>
      </c>
      <c r="E9" s="1923"/>
    </row>
    <row r="10" spans="1:5" ht="14.25">
      <c r="A10" s="1923"/>
      <c r="B10" s="2774"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74"/>
      <c r="C11" s="1931" t="s">
        <v>1172</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74" t="str">
        <f>IF('数据-取费表'!E3="否",结果表!F110,'结果表 (1修多)'!F111)</f>
        <v>3.房地产抵押价值</v>
      </c>
      <c r="C15" s="1924" t="str">
        <f>C7</f>
        <v>总价（万元）</v>
      </c>
      <c r="D15" s="1930">
        <f ca="1">IF('数据-取费表'!E3="否",结果表!I110,'结果表 (1修多)'!I111)</f>
        <v>7809</v>
      </c>
      <c r="E15" s="1923"/>
    </row>
    <row r="16" spans="1:5" ht="14.25">
      <c r="A16" s="1923"/>
      <c r="B16" s="2774"/>
      <c r="C16" s="1931" t="s">
        <v>1172</v>
      </c>
      <c r="D16" s="1930" t="str">
        <f ca="1">IF('数据-取费表'!B3="万元",NUMBERSTRING(INT(D15*10000),2)&amp;"元整",NUMBERSTRING(INT(D15),2)&amp;"元整")</f>
        <v>柒仟捌佰零玖万元整</v>
      </c>
      <c r="E16" s="1923"/>
    </row>
    <row r="17" spans="1:5" ht="14.25">
      <c r="A17" s="1923"/>
      <c r="B17" s="2774"/>
      <c r="C17" s="1933" t="s">
        <v>1271</v>
      </c>
      <c r="D17" s="1930">
        <f ca="1">IF('数据-取费表'!E3="否",结果表!I111,'结果表 (1修多)'!I112)</f>
        <v>5275</v>
      </c>
      <c r="E17" s="1923"/>
    </row>
    <row r="18" spans="1:5" ht="14.25">
      <c r="A18" s="1923"/>
      <c r="B18" s="2774" t="str">
        <f>IF('数据-取费表'!E3="否",结果表!F112,'结果表 (1修多)'!F113)</f>
        <v>——</v>
      </c>
      <c r="C18" s="1924" t="str">
        <f>C7</f>
        <v>总价（万元）</v>
      </c>
      <c r="D18" s="1930" t="str">
        <f>IF('数据-取费表'!E3="否",结果表!I112,'结果表 (1修多)'!I113)</f>
        <v>——</v>
      </c>
      <c r="E18" s="1923"/>
    </row>
    <row r="19" spans="1:5" ht="14.25">
      <c r="A19" s="1923"/>
      <c r="B19" s="2774"/>
      <c r="C19" s="1931" t="s">
        <v>1172</v>
      </c>
      <c r="D19" s="1930" t="e">
        <f>IF('数据-取费表'!B3="万元",NUMBERSTRING(INT(D18*10000),2)&amp;"元整",NUMBERSTRING(INT(D18),2)&amp;"元整")</f>
        <v>#VALUE!</v>
      </c>
      <c r="E19" s="1923"/>
    </row>
    <row r="20" spans="1:5" ht="14.25">
      <c r="A20" s="1923"/>
      <c r="B20" s="2774"/>
      <c r="C20" s="1933" t="s">
        <v>1271</v>
      </c>
      <c r="D20" s="1930" t="str">
        <f>IF('数据-取费表'!E3="否",结果表!I113,'结果表 (1修多)'!I114)</f>
        <v>——</v>
      </c>
      <c r="E20" s="1923"/>
    </row>
    <row r="21" spans="1:5" ht="14.25">
      <c r="A21" s="1923"/>
      <c r="B21" s="2767" t="str">
        <f>IF('数据-取费表'!E3="否",结果表!F114,'结果表 (1修多)'!F115)</f>
        <v>——</v>
      </c>
      <c r="C21" s="1929" t="str">
        <f>C7</f>
        <v>总价（万元）</v>
      </c>
      <c r="D21" s="1930" t="str">
        <f>IF('数据-取费表'!E3="否",结果表!I114,'结果表 (1修多)'!I115)</f>
        <v>——</v>
      </c>
      <c r="E21" s="1923"/>
    </row>
    <row r="22" spans="1:5" ht="14.25">
      <c r="A22" s="1923"/>
      <c r="B22" s="2767"/>
      <c r="C22" s="1931" t="s">
        <v>1172</v>
      </c>
      <c r="D22" s="1932" t="e">
        <f>IF('数据-取费表'!B3="万元",NUMBERSTRING(INT(D21*10000),2)&amp;"元整",NUMBERSTRING(INT(D21),2)&amp;"元整")</f>
        <v>#VALUE!</v>
      </c>
      <c r="E22" s="1923"/>
    </row>
    <row r="23" spans="1:5" ht="15" thickBot="1">
      <c r="A23" s="1923"/>
      <c r="B23" s="2768"/>
      <c r="C23" s="1938" t="s">
        <v>1271</v>
      </c>
      <c r="D23" s="1939" t="str">
        <f ca="1">IF('数据-取费表'!E3="否",结果表!I115,'结果表 (1修多)'!I116)</f>
        <v>——</v>
      </c>
      <c r="E23" s="1923"/>
    </row>
    <row r="24" spans="1:5" ht="14.25" thickTop="1">
      <c r="A24" s="1923"/>
      <c r="B24" s="1923"/>
      <c r="C24" s="1923"/>
      <c r="D24" s="1923"/>
      <c r="E24" s="1923"/>
    </row>
    <row r="25" spans="1:5" ht="18.75" customHeight="1" thickBot="1">
      <c r="A25" s="1923"/>
      <c r="B25" s="2782" t="s">
        <v>1272</v>
      </c>
      <c r="C25" s="2782"/>
      <c r="D25" s="2782"/>
      <c r="E25" s="1923"/>
    </row>
    <row r="26" spans="1:5" ht="18.75" customHeight="1" thickTop="1">
      <c r="A26" s="1923"/>
      <c r="B26" s="2785" t="s">
        <v>1171</v>
      </c>
      <c r="C26" s="2786"/>
      <c r="D26" s="2783" t="s">
        <v>1170</v>
      </c>
      <c r="E26" s="1923"/>
    </row>
    <row r="27" spans="1:5" ht="18.75" customHeight="1">
      <c r="A27" s="1923"/>
      <c r="B27" s="2787"/>
      <c r="C27" s="2788"/>
      <c r="D27" s="2784"/>
      <c r="E27" s="1923"/>
    </row>
    <row r="28" spans="1:5" ht="14.25">
      <c r="A28" s="1923"/>
      <c r="B28" s="2775" t="s">
        <v>782</v>
      </c>
      <c r="C28" s="1940" t="s">
        <v>1173</v>
      </c>
      <c r="D28" s="1941">
        <f ca="1">IF('数据-取费表'!E3="否",结果表!I102,'结果表 (1修多)'!I103)</f>
        <v>7809</v>
      </c>
      <c r="E28" s="1923"/>
    </row>
    <row r="29" spans="1:5" ht="14.25">
      <c r="A29" s="1923"/>
      <c r="B29" s="2776"/>
      <c r="C29" s="1942" t="s">
        <v>1172</v>
      </c>
      <c r="D29" s="1943" t="str">
        <f ca="1">IF('数据-取费表'!B3="万元",NUMBERSTRING(INT(D28*10000),2)&amp;"元整",NUMBERSTRING(INT(D28),2)&amp;"元整")</f>
        <v>柒仟捌佰零玖万元整</v>
      </c>
      <c r="E29" s="1923"/>
    </row>
    <row r="30" spans="1:5" ht="14.25">
      <c r="A30" s="1923"/>
      <c r="B30" s="2777"/>
      <c r="C30" s="1933" t="s">
        <v>1175</v>
      </c>
      <c r="D30" s="1944">
        <f ca="1">IF('数据-取费表'!E3="否",结果表!I103,'结果表 (1修多)'!I104)</f>
        <v>5275</v>
      </c>
      <c r="E30" s="1923"/>
    </row>
    <row r="31" spans="1:5" ht="14.25">
      <c r="A31" s="1923"/>
      <c r="B31" s="2780" t="str">
        <f>B10</f>
        <v>2.估价师所知悉的法定优先受偿款</v>
      </c>
      <c r="C31" s="1945" t="s">
        <v>1174</v>
      </c>
      <c r="D31" s="1946">
        <f>IF('数据-取费表'!E3="否",结果表!I105,'结果表 (1修多)'!I106)</f>
        <v>0</v>
      </c>
      <c r="E31" s="1923"/>
    </row>
    <row r="32" spans="1:5" ht="14.25">
      <c r="A32" s="1923"/>
      <c r="B32" s="2789"/>
      <c r="C32" s="1942" t="s">
        <v>1172</v>
      </c>
      <c r="D32" s="1947" t="str">
        <f>IF('数据-取费表'!B3="万元",NUMBERSTRING(INT(D31*10000),2)&amp;"元整",NUMBERSTRING(INT(D31),2)&amp;"元整")</f>
        <v>零元整</v>
      </c>
      <c r="E32" s="1923"/>
    </row>
    <row r="33" spans="1:5" ht="14.25">
      <c r="A33" s="1923"/>
      <c r="B33" s="1931" t="s">
        <v>1155</v>
      </c>
      <c r="C33" s="1931" t="str">
        <f>C31</f>
        <v>总额</v>
      </c>
      <c r="D33" s="1944">
        <f>IF('数据-取费表'!E3="否",结果表!I106,'结果表 (1修多)'!I107)</f>
        <v>0</v>
      </c>
      <c r="E33" s="1923"/>
    </row>
    <row r="34" spans="1:5" ht="14.25">
      <c r="A34" s="1923"/>
      <c r="B34" s="1931" t="s">
        <v>1156</v>
      </c>
      <c r="C34" s="1931" t="str">
        <f>C31</f>
        <v>总额</v>
      </c>
      <c r="D34" s="1944">
        <f>IF('数据-取费表'!E3="否",结果表!I107,'结果表 (1修多)'!I108)</f>
        <v>0</v>
      </c>
      <c r="E34" s="1923"/>
    </row>
    <row r="35" spans="1:5" ht="14.25">
      <c r="A35" s="1923"/>
      <c r="B35" s="1931" t="s">
        <v>1157</v>
      </c>
      <c r="C35" s="1931" t="str">
        <f>C31</f>
        <v>总额</v>
      </c>
      <c r="D35" s="1944">
        <f>IF('数据-取费表'!E3="否",结果表!I108,'结果表 (1修多)'!I109)</f>
        <v>0</v>
      </c>
      <c r="E35" s="1923"/>
    </row>
    <row r="36" spans="1:5" ht="14.25">
      <c r="A36" s="1923"/>
      <c r="B36" s="2778" t="str">
        <f>B15</f>
        <v>3.房地产抵押价值</v>
      </c>
      <c r="C36" s="1945" t="str">
        <f>C28</f>
        <v>总价</v>
      </c>
      <c r="D36" s="1946">
        <f ca="1">IF('数据-取费表'!E3="否",结果表!I110,'结果表 (1修多)'!I111)</f>
        <v>7809</v>
      </c>
      <c r="E36" s="1923"/>
    </row>
    <row r="37" spans="1:5" ht="14.25">
      <c r="A37" s="1923"/>
      <c r="B37" s="2778"/>
      <c r="C37" s="1942" t="s">
        <v>1172</v>
      </c>
      <c r="D37" s="1947" t="str">
        <f ca="1">IF('数据-取费表'!B3="万元",NUMBERSTRING(INT(D36*10000),2)&amp;"元整",NUMBERSTRING(INT(D36),2)&amp;"元整")</f>
        <v>柒仟捌佰零玖万元整</v>
      </c>
      <c r="E37" s="1923"/>
    </row>
    <row r="38" spans="1:5" ht="14.25">
      <c r="A38" s="1923"/>
      <c r="B38" s="2778"/>
      <c r="C38" s="1933" t="s">
        <v>1176</v>
      </c>
      <c r="D38" s="1944">
        <f ca="1">IF('数据-取费表'!E3="否",结果表!D113,'结果表 (1修多)'!D116)</f>
        <v>5275</v>
      </c>
      <c r="E38" s="1923"/>
    </row>
    <row r="39" spans="1:5" ht="14.25">
      <c r="A39" s="1923"/>
      <c r="B39" s="2779" t="str">
        <f>B18</f>
        <v>——</v>
      </c>
      <c r="C39" s="1945" t="str">
        <f>C28</f>
        <v>总价</v>
      </c>
      <c r="D39" s="1946" t="str">
        <f>IF('数据-取费表'!E3="否",结果表!I112,'结果表 (1修多)'!I113)</f>
        <v>——</v>
      </c>
      <c r="E39" s="1923"/>
    </row>
    <row r="40" spans="1:5" ht="14.25">
      <c r="A40" s="1923"/>
      <c r="B40" s="2779"/>
      <c r="C40" s="1942" t="s">
        <v>1172</v>
      </c>
      <c r="D40" s="1947" t="e">
        <f>IF('数据-取费表'!B3="万元",NUMBERSTRING(INT(D39*10000),2)&amp;"元整",NUMBERSTRING(INT(D39),2)&amp;"元整")</f>
        <v>#VALUE!</v>
      </c>
      <c r="E40" s="1923"/>
    </row>
    <row r="41" spans="1:5" ht="14.25">
      <c r="A41" s="1923"/>
      <c r="B41" s="2779"/>
      <c r="C41" s="1933" t="s">
        <v>1176</v>
      </c>
      <c r="D41" s="1944" t="str">
        <f>IF('数据-取费表'!E3="否",结果表!D115,'结果表 (1修多)'!D118)</f>
        <v>——</v>
      </c>
      <c r="E41" s="1923"/>
    </row>
    <row r="42" spans="1:5" ht="14.25">
      <c r="A42" s="1923"/>
      <c r="B42" s="2778" t="str">
        <f>B21</f>
        <v>——</v>
      </c>
      <c r="C42" s="1945" t="str">
        <f>C28</f>
        <v>总价</v>
      </c>
      <c r="D42" s="1946" t="str">
        <f>IF('数据-取费表'!E3="否",结果表!I114,'结果表 (1修多)'!I115)</f>
        <v>——</v>
      </c>
      <c r="E42" s="1923"/>
    </row>
    <row r="43" spans="1:5" ht="14.25">
      <c r="A43" s="1923"/>
      <c r="B43" s="2780"/>
      <c r="C43" s="1942" t="s">
        <v>1172</v>
      </c>
      <c r="D43" s="1948" t="e">
        <f>IF('数据-取费表'!B3="万元",NUMBERSTRING(INT(D42*10000),2)&amp;"元整",NUMBERSTRING(INT(D42),2)&amp;"元整")</f>
        <v>#VALUE!</v>
      </c>
      <c r="E43" s="1923"/>
    </row>
    <row r="44" spans="1:5" ht="15" thickBot="1">
      <c r="A44" s="1923"/>
      <c r="B44" s="2781"/>
      <c r="C44" s="1938" t="s">
        <v>1176</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8" customWidth="1"/>
    <col min="2" max="9" width="12.25" style="1908" customWidth="1"/>
    <col min="10" max="16384" width="9" style="1908"/>
  </cols>
  <sheetData>
    <row r="1" spans="1:9" ht="16.5" thickBot="1">
      <c r="A1" s="2796" t="str">
        <f>IF(项目基本情况!D5="房地产市场价值","估价结果一览表","结果表-2")</f>
        <v>估价结果一览表</v>
      </c>
      <c r="B1" s="2796"/>
      <c r="C1" s="2796"/>
      <c r="D1" s="2796"/>
      <c r="E1" s="2796"/>
      <c r="F1" s="2796"/>
      <c r="G1" s="2796"/>
      <c r="H1" s="2796"/>
      <c r="I1" s="2796"/>
    </row>
    <row r="2" spans="1:9" ht="30" customHeight="1" thickTop="1">
      <c r="A2" s="2797" t="s">
        <v>1273</v>
      </c>
      <c r="B2" s="2797" t="s">
        <v>1274</v>
      </c>
      <c r="C2" s="2797" t="s">
        <v>1275</v>
      </c>
      <c r="D2" s="2797" t="str">
        <f>IF('数据-取费表'!E3="否",结果表!D119,'结果表 (1修多)'!D122)</f>
        <v>出让国有建设用地使用权价值</v>
      </c>
      <c r="E2" s="2797"/>
      <c r="F2" s="2797" t="s">
        <v>1276</v>
      </c>
      <c r="G2" s="2797"/>
      <c r="H2" s="2797" t="s">
        <v>1277</v>
      </c>
      <c r="I2" s="2797"/>
    </row>
    <row r="3" spans="1:9" ht="15">
      <c r="A3" s="2792"/>
      <c r="B3" s="2792"/>
      <c r="C3" s="2792"/>
      <c r="D3" s="1046" t="s">
        <v>1278</v>
      </c>
      <c r="E3" s="1046" t="s">
        <v>1279</v>
      </c>
      <c r="F3" s="1046" t="s">
        <v>1278</v>
      </c>
      <c r="G3" s="1046" t="s">
        <v>1280</v>
      </c>
      <c r="H3" s="1046" t="s">
        <v>1278</v>
      </c>
      <c r="I3" s="1046" t="s">
        <v>1280</v>
      </c>
    </row>
    <row r="4" spans="1:9" ht="46.5" customHeight="1">
      <c r="A4" s="1046" t="str">
        <f>项目基本情况!I1</f>
        <v>北京市房地产</v>
      </c>
      <c r="B4" s="1046">
        <f>结果表!B121</f>
        <v>14802.98</v>
      </c>
      <c r="C4" s="1046">
        <f>结果表!C121</f>
        <v>1050.7</v>
      </c>
      <c r="D4" s="1046">
        <f>IF('数据-取费表'!E3="否",结果表!D121,'结果表 (1修多)'!D124)</f>
        <v>0</v>
      </c>
      <c r="E4" s="1046">
        <f>IF('数据-取费表'!E3="否",结果表!E121,'结果表 (1修多)'!E124)</f>
        <v>0</v>
      </c>
      <c r="F4" s="1046">
        <f>IF('数据-取费表'!E3="否",结果表!F121,'结果表 (1修多)'!F124)</f>
        <v>0</v>
      </c>
      <c r="G4" s="1046">
        <f>IF('数据-取费表'!E3="否",结果表!G121,'结果表 (1修多)'!G124)</f>
        <v>0</v>
      </c>
      <c r="H4" s="1046">
        <f ca="1">IF('数据-取费表'!E3="否",结果表!H121,'结果表 (1修多)'!H124)</f>
        <v>7809</v>
      </c>
      <c r="I4" s="1046">
        <f ca="1">IF('数据-取费表'!E3="否",结果表!I121,'结果表 (1修多)'!I124)</f>
        <v>5275</v>
      </c>
    </row>
    <row r="5" spans="1:9" ht="15">
      <c r="A5" s="2792" t="s">
        <v>1281</v>
      </c>
      <c r="B5" s="2792"/>
      <c r="C5" s="2792"/>
      <c r="D5" s="2790" t="str">
        <f>IF('数据-取费表'!E3="否",结果表!D122,'结果表 (1修多)'!D125)</f>
        <v>零元整</v>
      </c>
      <c r="E5" s="2790"/>
      <c r="F5" s="2790" t="str">
        <f>IF('数据-取费表'!E3="否",结果表!F122,'结果表 (1修多)'!F125)</f>
        <v>零元整</v>
      </c>
      <c r="G5" s="2790"/>
      <c r="H5" s="2790" t="str">
        <f ca="1">IF('数据-取费表'!E3="否",结果表!H122,'结果表 (1修多)'!H125)</f>
        <v>柒仟捌佰零玖万元整</v>
      </c>
      <c r="I5" s="2790"/>
    </row>
    <row r="6" spans="1:9" ht="15.75">
      <c r="A6" s="2791" t="str">
        <f>IF('数据-取费表'!E3="否",结果表!A123,'结果表 (1修多)'!A126)</f>
        <v>——</v>
      </c>
      <c r="B6" s="2791"/>
      <c r="C6" s="2791"/>
      <c r="D6" s="2791">
        <f>IF('数据-取费表'!E3="否",结果表!D123,'结果表 (1修多)'!D126)</f>
        <v>0</v>
      </c>
      <c r="E6" s="2791"/>
      <c r="F6" s="2791"/>
      <c r="G6" s="2791"/>
      <c r="H6" s="2791"/>
      <c r="I6" s="2791"/>
    </row>
    <row r="7" spans="1:9" ht="15">
      <c r="A7" s="2792" t="s">
        <v>1281</v>
      </c>
      <c r="B7" s="2792"/>
      <c r="C7" s="2792"/>
      <c r="D7" s="2793">
        <f>IF('数据-取费表'!E3="否",结果表!D124,'结果表 (1修多)'!D127)</f>
        <v>0</v>
      </c>
      <c r="E7" s="2794"/>
      <c r="F7" s="2794"/>
      <c r="G7" s="2794"/>
      <c r="H7" s="2794"/>
      <c r="I7" s="2795"/>
    </row>
    <row r="8" spans="1:9" ht="15.75">
      <c r="A8" s="2791" t="str">
        <f>IF('数据-取费表'!E3="否",结果表!A125,'结果表 (1修多)'!A128)</f>
        <v>——</v>
      </c>
      <c r="B8" s="2791"/>
      <c r="C8" s="2791"/>
      <c r="D8" s="2791">
        <f ca="1">IF('数据-取费表'!E3="否",结果表!D125,'结果表 (1修多)'!D128)</f>
        <v>7809</v>
      </c>
      <c r="E8" s="2791"/>
      <c r="F8" s="2791"/>
      <c r="G8" s="2791"/>
      <c r="H8" s="2791"/>
      <c r="I8" s="2791"/>
    </row>
    <row r="9" spans="1:9" ht="15">
      <c r="A9" s="2792" t="s">
        <v>1281</v>
      </c>
      <c r="B9" s="2792"/>
      <c r="C9" s="2792"/>
      <c r="D9" s="2790">
        <f ca="1">IF('数据-取费表'!E3="否",结果表!D126,'结果表 (1修多)'!D129)</f>
        <v>5275</v>
      </c>
      <c r="E9" s="2790"/>
      <c r="F9" s="2790"/>
      <c r="G9" s="2790"/>
      <c r="H9" s="2790"/>
      <c r="I9" s="2790"/>
    </row>
    <row r="10" spans="1:9" ht="15.75">
      <c r="A10" s="2791" t="str">
        <f>IF('数据-取费表'!E3="否",结果表!A127,'结果表 (1修多)'!A130)</f>
        <v>——</v>
      </c>
      <c r="B10" s="2791"/>
      <c r="C10" s="2791"/>
      <c r="D10" s="2791">
        <f ca="1">IF('数据-取费表'!E3="否",结果表!D127,'结果表 (1修多)'!D129)</f>
        <v>5275</v>
      </c>
      <c r="E10" s="2791"/>
      <c r="F10" s="2791"/>
      <c r="G10" s="2791"/>
      <c r="H10" s="2791"/>
      <c r="I10" s="2791"/>
    </row>
    <row r="11" spans="1:9" ht="15">
      <c r="A11" s="2792" t="s">
        <v>1281</v>
      </c>
      <c r="B11" s="2792"/>
      <c r="C11" s="2792"/>
      <c r="D11" s="2790" t="str">
        <f>IF('数据-取费表'!E3="否",结果表!D128,'结果表 (1修多)'!D131)</f>
        <v>——</v>
      </c>
      <c r="E11" s="2790"/>
      <c r="F11" s="2790"/>
      <c r="G11" s="2790"/>
      <c r="H11" s="2790"/>
      <c r="I11" s="2790"/>
    </row>
    <row r="12" spans="1:9" ht="15.75">
      <c r="A12" s="2791" t="str">
        <f>IF('数据-取费表'!E3="否",结果表!A129,'结果表 (1修多)'!A132)</f>
        <v>——</v>
      </c>
      <c r="B12" s="2791"/>
      <c r="C12" s="2791"/>
      <c r="D12" s="2791" t="str">
        <f>IF('数据-取费表'!E3="否",结果表!D129,'结果表 (1修多)'!D132)</f>
        <v>——</v>
      </c>
      <c r="E12" s="2791"/>
      <c r="F12" s="2791"/>
      <c r="G12" s="2791"/>
      <c r="H12" s="2791"/>
      <c r="I12" s="2791"/>
    </row>
    <row r="13" spans="1:9" ht="15.75" thickBot="1">
      <c r="A13" s="2798" t="s">
        <v>1281</v>
      </c>
      <c r="B13" s="2798"/>
      <c r="C13" s="2798"/>
      <c r="D13" s="2799">
        <f>IF('数据-取费表'!E3="否",结果表!D130,'结果表 (1修多)'!D133)</f>
        <v>0</v>
      </c>
      <c r="E13" s="2799"/>
      <c r="F13" s="2799"/>
      <c r="G13" s="2799"/>
      <c r="H13" s="2799"/>
      <c r="I13" s="2799"/>
    </row>
    <row r="14" spans="1:9" ht="15" thickTop="1">
      <c r="A14" s="2800" t="str">
        <f>IF('数据-取费表'!E3="否",结果表!A131,'结果表 (1修多)'!A134)</f>
        <v>单位：平方米、万元、元/平方米（币种：人民币）</v>
      </c>
      <c r="B14" s="2800"/>
      <c r="C14" s="2800"/>
      <c r="D14" s="2800"/>
      <c r="E14" s="2800"/>
      <c r="F14" s="2800"/>
      <c r="G14" s="2800"/>
      <c r="H14" s="2800"/>
      <c r="I14" s="2800"/>
    </row>
    <row r="15" spans="1:9">
      <c r="A15" s="714"/>
      <c r="B15" s="714"/>
      <c r="C15" s="714"/>
      <c r="D15" s="714"/>
      <c r="E15" s="714"/>
      <c r="F15" s="714"/>
      <c r="G15" s="714"/>
      <c r="H15" s="714"/>
      <c r="I15" s="714"/>
    </row>
    <row r="16" spans="1:9" ht="18.75">
      <c r="A16" s="1951"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05" t="s">
        <v>1295</v>
      </c>
      <c r="B1" s="2805"/>
      <c r="C1" s="2805"/>
      <c r="D1" s="2805"/>
    </row>
    <row r="2" spans="1:4" ht="18">
      <c r="A2" s="2804" t="s">
        <v>1283</v>
      </c>
      <c r="B2" s="2804"/>
      <c r="C2" s="2804"/>
      <c r="D2" s="2804"/>
    </row>
    <row r="3" spans="1:4" ht="18.75">
      <c r="A3" s="1952" t="s">
        <v>1284</v>
      </c>
      <c r="B3" s="1952" t="s">
        <v>1285</v>
      </c>
      <c r="C3" s="1952" t="s">
        <v>1286</v>
      </c>
      <c r="D3" s="1952" t="s">
        <v>1287</v>
      </c>
    </row>
    <row r="4" spans="1:4" ht="56.25" customHeight="1">
      <c r="A4" s="1953" t="str">
        <f>项目基本情况!B3</f>
        <v>注册房地产估价师</v>
      </c>
      <c r="B4" s="1954">
        <f>项目基本情况!C3</f>
        <v>0</v>
      </c>
      <c r="C4" s="1955"/>
      <c r="D4" s="1956" t="s">
        <v>1296</v>
      </c>
    </row>
    <row r="5" spans="1:4" ht="56.25" customHeight="1">
      <c r="A5" s="1953" t="str">
        <f>项目基本情况!D3</f>
        <v>注册房地产估价师</v>
      </c>
      <c r="B5" s="1954">
        <f>项目基本情况!E3</f>
        <v>0</v>
      </c>
      <c r="C5" s="1957"/>
      <c r="D5" s="1956" t="s">
        <v>1296</v>
      </c>
    </row>
    <row r="6" spans="1:4" ht="12" customHeight="1">
      <c r="A6" s="1953"/>
      <c r="B6" s="1954"/>
      <c r="C6" s="1958"/>
      <c r="D6" s="1956"/>
    </row>
    <row r="7" spans="1:4" ht="18">
      <c r="A7" s="2804" t="s">
        <v>1288</v>
      </c>
      <c r="B7" s="2804"/>
      <c r="C7" s="2804"/>
      <c r="D7" s="2804"/>
    </row>
    <row r="8" spans="1:4" ht="18.75">
      <c r="A8" s="1952" t="s">
        <v>1284</v>
      </c>
      <c r="B8" s="1954" t="s">
        <v>1289</v>
      </c>
      <c r="C8" s="1952" t="s">
        <v>1286</v>
      </c>
      <c r="D8" s="1952" t="s">
        <v>1287</v>
      </c>
    </row>
    <row r="9" spans="1:4" ht="56.25" customHeight="1">
      <c r="A9" s="1959" t="s">
        <v>783</v>
      </c>
      <c r="B9" s="1959" t="s">
        <v>784</v>
      </c>
      <c r="C9" s="1955"/>
      <c r="D9" s="1956" t="s">
        <v>1296</v>
      </c>
    </row>
    <row r="11" spans="1:4" ht="18.75">
      <c r="A11" s="1960" t="s">
        <v>1290</v>
      </c>
    </row>
    <row r="12" spans="1:4" ht="30" customHeight="1">
      <c r="A12" s="2801" t="s">
        <v>1297</v>
      </c>
      <c r="B12" s="2803"/>
      <c r="C12" s="2803"/>
      <c r="D12" s="2803"/>
    </row>
    <row r="13" spans="1:4" ht="15.75">
      <c r="A13" s="28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3"/>
      <c r="C13" s="2803"/>
      <c r="D13" s="2803"/>
    </row>
    <row r="14" spans="1:4" ht="30" customHeight="1">
      <c r="A14" s="2801" t="str">
        <f>IF(项目基本情况!D4="抵押","3.抵押双方在办理抵押登记手续时，应使用本公司出具的正式《房地产评估报告》，特提醒报告使用者注意。","——")</f>
        <v>——</v>
      </c>
      <c r="B14" s="2803"/>
      <c r="C14" s="2803"/>
      <c r="D14" s="2803"/>
    </row>
    <row r="15" spans="1:4" ht="15.75" customHeight="1">
      <c r="A15" s="2801" t="str">
        <f>IF(项目基本情况!D4="抵押","4.本次评估估价师所知悉的法定优先受偿款情况说明如下：","——")</f>
        <v>——</v>
      </c>
      <c r="B15" s="2803"/>
      <c r="C15" s="2803"/>
      <c r="D15" s="2803"/>
    </row>
    <row r="16" spans="1:4" ht="75" customHeight="1">
      <c r="A16" s="2801" t="str">
        <f>IF(项目基本情况!D4="抵押",CONCATENATE(项目基本情况!J13,项目基本情况!J14,项目基本情况!J15),"——")</f>
        <v>——</v>
      </c>
      <c r="B16" s="2801"/>
      <c r="C16" s="2801"/>
      <c r="D16" s="2801"/>
    </row>
    <row r="17" spans="1:4" ht="63.75" customHeight="1">
      <c r="A17" s="2802" t="s">
        <v>1298</v>
      </c>
      <c r="B17" s="2802"/>
      <c r="C17" s="2802"/>
      <c r="D17" s="2802"/>
    </row>
    <row r="18" spans="1:4" ht="15.75" customHeight="1">
      <c r="A18" s="2801" t="str">
        <f>IF(项目基本情况!D4="抵押",结果表!K106,"——")</f>
        <v>——</v>
      </c>
      <c r="B18" s="2801"/>
      <c r="C18" s="2801"/>
      <c r="D18" s="2801"/>
    </row>
    <row r="19" spans="1:4" ht="46.5" customHeight="1">
      <c r="A19" s="28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1"/>
      <c r="C19" s="2801"/>
      <c r="D19" s="2801"/>
    </row>
    <row r="20" spans="1:4" ht="15">
      <c r="A20" s="2802" t="s">
        <v>1291</v>
      </c>
      <c r="B20" s="2802"/>
      <c r="C20" s="2802"/>
      <c r="D20" s="2802"/>
    </row>
    <row r="21" spans="1:4">
      <c r="A21" s="1961"/>
      <c r="B21" s="1287"/>
      <c r="C21" s="1287"/>
      <c r="D21" s="1287"/>
    </row>
    <row r="22" spans="1:4">
      <c r="A22" s="1961"/>
      <c r="B22" s="1287"/>
      <c r="C22" s="1287"/>
      <c r="D22" s="1287"/>
    </row>
    <row r="23" spans="1:4" ht="18.75">
      <c r="A23" s="1922" t="s">
        <v>1292</v>
      </c>
    </row>
    <row r="24" spans="1:4" ht="18">
      <c r="A24" s="1922"/>
    </row>
    <row r="25" spans="1:4" ht="18.75">
      <c r="A25" s="1922" t="s">
        <v>1293</v>
      </c>
    </row>
    <row r="28" spans="1:4" ht="21" customHeight="1">
      <c r="D28" s="1962" t="s">
        <v>1294</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4"/>
  </cols>
  <sheetData>
    <row r="1" spans="1:7" s="1951" customFormat="1" ht="18.75">
      <c r="A1" s="712" t="s">
        <v>1365</v>
      </c>
    </row>
    <row r="3" spans="1:7" ht="14.25">
      <c r="A3" s="1968" t="s">
        <v>1366</v>
      </c>
      <c r="B3" s="714" t="s">
        <v>1367</v>
      </c>
      <c r="G3" s="1969"/>
    </row>
    <row r="4" spans="1:7">
      <c r="G4" s="1969"/>
    </row>
    <row r="5" spans="1:7" ht="14.25">
      <c r="A5" s="1971" t="s">
        <v>1368</v>
      </c>
      <c r="B5" s="714" t="s">
        <v>1369</v>
      </c>
      <c r="G5" s="1969"/>
    </row>
    <row r="6" spans="1:7">
      <c r="G6" s="1969"/>
    </row>
    <row r="7" spans="1:7" ht="14.25">
      <c r="A7" s="1972" t="s">
        <v>1370</v>
      </c>
      <c r="B7" s="714" t="s">
        <v>1371</v>
      </c>
      <c r="G7" s="1969"/>
    </row>
    <row r="8" spans="1:7">
      <c r="G8" s="1969"/>
    </row>
    <row r="9" spans="1:7">
      <c r="A9" s="1973" t="s">
        <v>1372</v>
      </c>
      <c r="B9" s="714" t="s">
        <v>1373</v>
      </c>
    </row>
    <row r="11" spans="1:7">
      <c r="A11" s="1974" t="s">
        <v>1374</v>
      </c>
      <c r="B11" s="1975" t="s">
        <v>1375</v>
      </c>
    </row>
    <row r="13" spans="1:7">
      <c r="A13" s="1678" t="s">
        <v>1376</v>
      </c>
    </row>
    <row r="15" spans="1:7" ht="14.25">
      <c r="A15" s="2811" t="s">
        <v>1377</v>
      </c>
      <c r="B15" s="2806" t="s">
        <v>1378</v>
      </c>
      <c r="C15" s="2807"/>
    </row>
    <row r="16" spans="1:7" ht="14.25">
      <c r="A16" s="2812"/>
      <c r="B16" s="2806" t="s">
        <v>1379</v>
      </c>
      <c r="C16" s="2807"/>
    </row>
    <row r="17" spans="1:3" ht="14.25">
      <c r="A17" s="2812"/>
      <c r="B17" s="2806" t="s">
        <v>1380</v>
      </c>
      <c r="C17" s="2807"/>
    </row>
    <row r="18" spans="1:3" ht="14.25">
      <c r="A18" s="2813"/>
      <c r="B18" s="2808" t="s">
        <v>1381</v>
      </c>
      <c r="C18" s="2807"/>
    </row>
    <row r="19" spans="1:3" ht="14.25">
      <c r="A19" s="1976" t="s">
        <v>1382</v>
      </c>
      <c r="B19" s="1977"/>
      <c r="C19" s="1978"/>
    </row>
    <row r="20" spans="1:3" ht="14.25">
      <c r="A20" s="2809" t="s">
        <v>1383</v>
      </c>
      <c r="B20" s="2808" t="s">
        <v>1384</v>
      </c>
      <c r="C20" s="2807"/>
    </row>
    <row r="21" spans="1:3" ht="14.25">
      <c r="A21" s="2809"/>
      <c r="B21" s="2808" t="s">
        <v>1385</v>
      </c>
      <c r="C21" s="2807"/>
    </row>
    <row r="22" spans="1:3" ht="14.25">
      <c r="A22" s="2809"/>
      <c r="B22" s="2808" t="s">
        <v>1386</v>
      </c>
      <c r="C22" s="2807"/>
    </row>
    <row r="23" spans="1:3" ht="14.25">
      <c r="A23" s="2809"/>
      <c r="B23" s="2810" t="s">
        <v>1387</v>
      </c>
      <c r="C23" s="1979" t="s">
        <v>1388</v>
      </c>
    </row>
    <row r="24" spans="1:3" ht="14.25">
      <c r="A24" s="2809"/>
      <c r="B24" s="2810"/>
      <c r="C24" s="1979" t="s">
        <v>1389</v>
      </c>
    </row>
    <row r="25" spans="1:3" ht="14.25">
      <c r="A25" s="2809"/>
      <c r="B25" s="2810"/>
      <c r="C25" s="1979" t="s">
        <v>1390</v>
      </c>
    </row>
    <row r="26" spans="1:3" ht="14.25">
      <c r="A26" s="2809"/>
      <c r="B26" s="2810"/>
      <c r="C26" s="1979" t="s">
        <v>1391</v>
      </c>
    </row>
    <row r="27" spans="1:3" ht="14.25">
      <c r="A27" s="2809"/>
      <c r="B27" s="2810"/>
      <c r="C27" s="1979" t="s">
        <v>1392</v>
      </c>
    </row>
    <row r="28" spans="1:3" ht="14.25">
      <c r="A28" s="2809"/>
      <c r="B28" s="2810"/>
      <c r="C28" s="1979" t="s">
        <v>1393</v>
      </c>
    </row>
    <row r="29" spans="1:3" ht="14.25">
      <c r="A29" s="2809"/>
      <c r="B29" s="2810"/>
      <c r="C29" s="1979" t="s">
        <v>1394</v>
      </c>
    </row>
    <row r="30" spans="1:3" ht="14.25">
      <c r="A30" s="2809"/>
      <c r="B30" s="2810"/>
      <c r="C30" s="1979" t="s">
        <v>1395</v>
      </c>
    </row>
    <row r="31" spans="1:3" ht="14.25">
      <c r="A31" s="2809"/>
      <c r="B31" s="2810"/>
      <c r="C31" s="1979" t="s">
        <v>1396</v>
      </c>
    </row>
    <row r="32" spans="1:3">
      <c r="A32" s="1980"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43518</v>
      </c>
      <c r="C2" s="1023" t="s">
        <v>747</v>
      </c>
      <c r="D2" s="1023"/>
      <c r="E2" s="1023"/>
    </row>
    <row r="3" spans="1:8" ht="24" customHeight="1">
      <c r="A3" s="1025" t="s">
        <v>748</v>
      </c>
      <c r="B3" s="1026" t="s">
        <v>749</v>
      </c>
      <c r="C3" s="1026" t="s">
        <v>750</v>
      </c>
      <c r="D3" s="1045" t="s">
        <v>778</v>
      </c>
      <c r="E3" s="1027" t="s">
        <v>751</v>
      </c>
      <c r="F3" s="1028" t="s">
        <v>752</v>
      </c>
      <c r="G3" s="1026" t="s">
        <v>750</v>
      </c>
      <c r="H3" s="1045" t="s">
        <v>779</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t="str">
        <f ca="1">IF(C10&lt;B2,"已过期",1120060040)</f>
        <v>已过期</v>
      </c>
      <c r="C10" s="1808">
        <v>43483</v>
      </c>
      <c r="D10" s="1809" t="str">
        <f t="shared" ca="1" si="0"/>
        <v>陈颖（注册号：已过期）</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c r="B12" s="1028"/>
      <c r="C12" s="1808"/>
      <c r="D12" s="1809"/>
      <c r="E12" s="1807"/>
      <c r="F12" s="1028"/>
      <c r="G12" s="1036"/>
      <c r="H12" s="1810"/>
    </row>
    <row r="13" spans="1:8" ht="24" customHeight="1">
      <c r="A13" s="1807" t="s">
        <v>761</v>
      </c>
      <c r="B13" s="1028">
        <f ca="1">IF(C13&lt;B2,"已过期",1120070131)</f>
        <v>1120070131</v>
      </c>
      <c r="C13" s="1808">
        <v>43814</v>
      </c>
      <c r="D13" s="1809" t="str">
        <f t="shared" ca="1" si="0"/>
        <v>郑燚（注册号：1120070131）</v>
      </c>
      <c r="E13" s="1807" t="s">
        <v>761</v>
      </c>
      <c r="F13" s="1028">
        <f ca="1">IF(G13&lt;B2,"已过期",2014110011)</f>
        <v>2014110011</v>
      </c>
      <c r="G13" s="1036">
        <v>49302</v>
      </c>
      <c r="H13" s="1810" t="str">
        <f t="shared" ca="1" si="1"/>
        <v>郑燚（注册号：2014110011）</v>
      </c>
    </row>
    <row r="14" spans="1:8" ht="24" customHeight="1">
      <c r="A14" s="1807" t="s">
        <v>2815</v>
      </c>
      <c r="B14" s="1028">
        <f ca="1">IF(C14&lt;B2,"已过期",1120040230)</f>
        <v>1120040230</v>
      </c>
      <c r="C14" s="2726">
        <v>43835</v>
      </c>
      <c r="D14" s="1809" t="str">
        <f t="shared" ca="1" si="0"/>
        <v>苏海（注册号：1120040230）</v>
      </c>
      <c r="E14" s="2727" t="s">
        <v>2815</v>
      </c>
      <c r="F14" s="1028">
        <f ca="1">IF(G14&lt;B2,"已过期",98030020)</f>
        <v>98030020</v>
      </c>
      <c r="G14" s="1036">
        <v>47118</v>
      </c>
      <c r="H14" s="1810" t="str">
        <f t="shared" ca="1" si="1"/>
        <v>苏海（注册号：98030020）</v>
      </c>
    </row>
    <row r="15" spans="1:8" ht="24" customHeight="1">
      <c r="A15" s="1811" t="s">
        <v>2817</v>
      </c>
      <c r="B15" s="1028">
        <f ca="1">IF(C15&lt;B2,"已过期",1120070085)</f>
        <v>1120070085</v>
      </c>
      <c r="C15" s="2726">
        <v>43814</v>
      </c>
      <c r="D15" s="1809" t="str">
        <f t="shared" ca="1" si="0"/>
        <v>杨红英（注册号：1120070085）</v>
      </c>
      <c r="E15" s="1811" t="s">
        <v>1029</v>
      </c>
      <c r="F15" s="1028">
        <f ca="1">IF(G15&lt;B2,"已过期",2004110128)</f>
        <v>2004110128</v>
      </c>
      <c r="G15" s="1029">
        <v>47118</v>
      </c>
      <c r="H15" s="1810" t="str">
        <f t="shared" ca="1" si="1"/>
        <v>杨红英（注册号：2004110128）</v>
      </c>
    </row>
    <row r="16" spans="1:8" ht="24" customHeight="1">
      <c r="A16" s="1807" t="s">
        <v>763</v>
      </c>
      <c r="B16" s="1028">
        <f ca="1">IF(C16&lt;B2,"已过期",1120140022)</f>
        <v>1120140022</v>
      </c>
      <c r="C16" s="1808">
        <v>44029</v>
      </c>
      <c r="D16" s="1809" t="str">
        <f t="shared" ca="1" si="0"/>
        <v>刘梅（注册号：1120140022）</v>
      </c>
      <c r="E16" s="1807" t="s">
        <v>763</v>
      </c>
      <c r="F16" s="1028">
        <f ca="1">IF(G16&lt;B2,"已过期",2008110059)</f>
        <v>2008110059</v>
      </c>
      <c r="G16" s="1036">
        <v>47177</v>
      </c>
      <c r="H16" s="1810" t="str">
        <f t="shared" ca="1" si="1"/>
        <v>刘梅（注册号：2008110059）</v>
      </c>
    </row>
    <row r="17" spans="1:8" ht="24" customHeight="1">
      <c r="A17" s="1807"/>
      <c r="B17" s="1028"/>
      <c r="C17" s="1808"/>
      <c r="D17" s="1809"/>
      <c r="E17" s="2727" t="s">
        <v>2816</v>
      </c>
      <c r="F17" s="1028">
        <f ca="1">IF(G17&lt;B2,"已过期",2014110076)</f>
        <v>2014110076</v>
      </c>
      <c r="G17" s="1036">
        <v>49302</v>
      </c>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764</v>
      </c>
      <c r="F21" s="1028">
        <f ca="1">IF(G21&lt;B2,"已过期",2011110090)</f>
        <v>2011110090</v>
      </c>
      <c r="G21" s="1036">
        <v>48302</v>
      </c>
      <c r="H21" s="1810" t="str">
        <f t="shared" ca="1" si="1"/>
        <v>赵雯（注册号：2011110090）</v>
      </c>
    </row>
    <row r="22" spans="1:8" ht="24" customHeight="1">
      <c r="A22" s="1807" t="s">
        <v>765</v>
      </c>
      <c r="B22" s="1028">
        <f ca="1">IF(C22&lt;B2,"已过期",1120020033)</f>
        <v>1120020033</v>
      </c>
      <c r="C22" s="1808">
        <v>44339</v>
      </c>
      <c r="D22" s="1809" t="str">
        <f t="shared" ca="1" si="0"/>
        <v>刘敬东（注册号：1120020033）</v>
      </c>
      <c r="E22" s="1807" t="s">
        <v>765</v>
      </c>
      <c r="F22" s="1028">
        <f ca="1">IF(G22&lt;B2,"已过期",2000110137)</f>
        <v>2000110137</v>
      </c>
      <c r="G22" s="1036">
        <v>46387</v>
      </c>
      <c r="H22" s="1810" t="str">
        <f t="shared" ca="1" si="1"/>
        <v>刘敬东（注册号：2000110137）</v>
      </c>
    </row>
    <row r="23" spans="1:8" ht="24" customHeight="1">
      <c r="A23" s="1807"/>
      <c r="B23" s="1028"/>
      <c r="C23" s="1808"/>
      <c r="D23" s="1809" t="str">
        <f t="shared" si="0"/>
        <v>（注册号：）</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14" t="s">
        <v>766</v>
      </c>
      <c r="B25" s="2814"/>
      <c r="C25" s="2814"/>
      <c r="D25" s="2814"/>
      <c r="E25" s="2814"/>
      <c r="F25" s="2814"/>
      <c r="G25" s="2814"/>
      <c r="H25" s="2814"/>
    </row>
    <row r="26" spans="1:8" s="1031" customFormat="1" ht="24" customHeight="1">
      <c r="A26" s="2815" t="s">
        <v>767</v>
      </c>
      <c r="B26" s="2815"/>
      <c r="C26" s="2815"/>
      <c r="D26" s="1059"/>
      <c r="E26" s="1059"/>
      <c r="F26" s="2815" t="s">
        <v>768</v>
      </c>
      <c r="G26" s="2815"/>
      <c r="H26" s="2815"/>
    </row>
    <row r="27" spans="1:8" s="1033" customFormat="1" ht="24" customHeight="1">
      <c r="A27" s="1032" t="s">
        <v>769</v>
      </c>
      <c r="B27" s="1026" t="s">
        <v>770</v>
      </c>
      <c r="C27" s="1026" t="s">
        <v>771</v>
      </c>
      <c r="D27" s="1026"/>
      <c r="E27" s="1026"/>
      <c r="F27" s="1028" t="s">
        <v>769</v>
      </c>
      <c r="G27" s="1026" t="s">
        <v>770</v>
      </c>
      <c r="H27" s="1026" t="s">
        <v>771</v>
      </c>
    </row>
    <row r="28" spans="1:8" s="1033" customFormat="1" ht="24" customHeight="1">
      <c r="A28" s="1034" t="s">
        <v>772</v>
      </c>
      <c r="B28" s="1035" t="s">
        <v>773</v>
      </c>
      <c r="C28" s="1036">
        <v>43725</v>
      </c>
      <c r="D28" s="1036"/>
      <c r="E28" s="1036"/>
      <c r="F28" s="1034" t="s">
        <v>774</v>
      </c>
      <c r="G28" s="1034" t="s">
        <v>775</v>
      </c>
      <c r="H28" s="1093">
        <v>44377</v>
      </c>
    </row>
    <row r="29" spans="1:8" s="1033" customFormat="1" ht="24" customHeight="1">
      <c r="A29" s="1034"/>
      <c r="B29" s="1034"/>
      <c r="C29" s="1037"/>
      <c r="D29" s="1037"/>
      <c r="E29" s="1037"/>
      <c r="F29" s="1034" t="s">
        <v>776</v>
      </c>
      <c r="G29" s="1038" t="s">
        <v>1256</v>
      </c>
      <c r="H29" s="1094">
        <v>43281</v>
      </c>
    </row>
    <row r="30" spans="1:8" ht="24" customHeight="1">
      <c r="C30" s="1039"/>
      <c r="D30" s="1039"/>
      <c r="E30" s="1039"/>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B24" sqref="AB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1398</v>
      </c>
      <c r="B1" s="4" t="s">
        <v>1399</v>
      </c>
      <c r="C1" s="1982" t="s">
        <v>1400</v>
      </c>
      <c r="D1" s="5" t="s">
        <v>1401</v>
      </c>
      <c r="E1" s="5" t="s">
        <v>1402</v>
      </c>
      <c r="F1" s="5" t="s">
        <v>1403</v>
      </c>
      <c r="G1" s="5" t="s">
        <v>1404</v>
      </c>
      <c r="H1" s="5" t="s">
        <v>1405</v>
      </c>
      <c r="I1" s="5" t="s">
        <v>1406</v>
      </c>
      <c r="J1" s="5" t="s">
        <v>1407</v>
      </c>
      <c r="K1" s="5" t="s">
        <v>1408</v>
      </c>
      <c r="L1" s="5" t="s">
        <v>1409</v>
      </c>
      <c r="M1" s="5" t="s">
        <v>1410</v>
      </c>
      <c r="N1" s="5" t="s">
        <v>1411</v>
      </c>
      <c r="O1" s="5" t="s">
        <v>1412</v>
      </c>
      <c r="P1" s="1983" t="s">
        <v>1413</v>
      </c>
      <c r="Q1" s="1983" t="s">
        <v>1414</v>
      </c>
      <c r="R1" s="1983" t="s">
        <v>1415</v>
      </c>
      <c r="S1" s="5" t="s">
        <v>1416</v>
      </c>
      <c r="T1" s="6" t="s">
        <v>1417</v>
      </c>
      <c r="U1" s="5" t="s">
        <v>1418</v>
      </c>
      <c r="V1" s="5" t="s">
        <v>1419</v>
      </c>
      <c r="W1" s="5" t="s">
        <v>1420</v>
      </c>
      <c r="X1" s="5" t="s">
        <v>1421</v>
      </c>
      <c r="Y1" s="5" t="s">
        <v>1422</v>
      </c>
    </row>
    <row r="2" spans="1:25">
      <c r="A2" s="1984" t="s">
        <v>33</v>
      </c>
      <c r="B2" s="1984" t="s">
        <v>1423</v>
      </c>
      <c r="C2" s="1985"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4" t="s">
        <v>1436</v>
      </c>
      <c r="B3" s="1986" t="s">
        <v>1437</v>
      </c>
      <c r="C3" s="127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t="s">
        <v>1449</v>
      </c>
      <c r="B4" s="1986" t="s">
        <v>1450</v>
      </c>
      <c r="C4" s="1985"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4" t="s">
        <v>1460</v>
      </c>
      <c r="B5" s="1984" t="s">
        <v>1461</v>
      </c>
      <c r="C5" s="1985"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7"/>
    </row>
    <row r="6" spans="1:25">
      <c r="A6" s="1984" t="s">
        <v>1469</v>
      </c>
      <c r="B6" s="1984" t="s">
        <v>1470</v>
      </c>
      <c r="C6" s="1243"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7"/>
    </row>
    <row r="7" spans="1:25">
      <c r="A7" s="1984" t="s">
        <v>1477</v>
      </c>
      <c r="B7" s="1986" t="s">
        <v>1478</v>
      </c>
      <c r="C7" s="1985" t="s">
        <v>1479</v>
      </c>
      <c r="F7" s="7" t="s">
        <v>1480</v>
      </c>
      <c r="H7" s="7" t="s">
        <v>1481</v>
      </c>
      <c r="I7" s="7" t="s">
        <v>1482</v>
      </c>
      <c r="X7" s="1987"/>
    </row>
    <row r="8" spans="1:25">
      <c r="A8" s="1984" t="s">
        <v>1483</v>
      </c>
      <c r="B8" s="1986" t="s">
        <v>1484</v>
      </c>
      <c r="C8" s="1985" t="s">
        <v>1485</v>
      </c>
      <c r="F8" s="7" t="s">
        <v>1486</v>
      </c>
      <c r="H8" s="7" t="s">
        <v>1487</v>
      </c>
      <c r="I8" s="7" t="s">
        <v>1488</v>
      </c>
      <c r="X8" s="1987"/>
    </row>
    <row r="9" spans="1:25">
      <c r="A9" s="1984" t="s">
        <v>1489</v>
      </c>
      <c r="B9" s="1984" t="s">
        <v>1490</v>
      </c>
      <c r="C9" s="1985" t="s">
        <v>1491</v>
      </c>
      <c r="F9" s="7" t="s">
        <v>1492</v>
      </c>
      <c r="H9" s="7" t="s">
        <v>1493</v>
      </c>
    </row>
    <row r="10" spans="1:25">
      <c r="A10" s="1984" t="s">
        <v>1494</v>
      </c>
      <c r="B10" s="1984" t="s">
        <v>1495</v>
      </c>
      <c r="C10" s="1985" t="s">
        <v>1496</v>
      </c>
      <c r="F10" s="7" t="s">
        <v>13</v>
      </c>
    </row>
    <row r="11" spans="1:25">
      <c r="A11" s="1984" t="s">
        <v>1497</v>
      </c>
      <c r="B11" s="1984" t="s">
        <v>1498</v>
      </c>
      <c r="C11" s="1985" t="s">
        <v>1499</v>
      </c>
    </row>
    <row r="12" spans="1:25">
      <c r="A12" s="1984" t="s">
        <v>1500</v>
      </c>
      <c r="B12" s="1984" t="s">
        <v>1501</v>
      </c>
      <c r="C12" s="1985" t="s">
        <v>1502</v>
      </c>
    </row>
    <row r="13" spans="1:25">
      <c r="A13" s="1984" t="s">
        <v>1503</v>
      </c>
      <c r="B13" s="1984" t="s">
        <v>1504</v>
      </c>
      <c r="C13" s="1985" t="s">
        <v>1505</v>
      </c>
    </row>
    <row r="14" spans="1:25">
      <c r="A14" s="1984" t="s">
        <v>1506</v>
      </c>
      <c r="B14" s="1984" t="s">
        <v>1507</v>
      </c>
      <c r="C14" s="1985"/>
    </row>
    <row r="15" spans="1:25">
      <c r="A15" s="1984" t="s">
        <v>1508</v>
      </c>
      <c r="B15" s="1984" t="s">
        <v>1509</v>
      </c>
      <c r="C15" s="1985"/>
    </row>
    <row r="16" spans="1:25">
      <c r="A16" s="1984" t="s">
        <v>1510</v>
      </c>
      <c r="B16" s="1984" t="s">
        <v>1511</v>
      </c>
      <c r="C16" s="1985"/>
    </row>
    <row r="17" spans="1:3">
      <c r="A17" s="1984" t="s">
        <v>1512</v>
      </c>
      <c r="B17" s="1984" t="s">
        <v>1513</v>
      </c>
      <c r="C17" s="1985"/>
    </row>
    <row r="18" spans="1:3">
      <c r="A18" s="1984" t="s">
        <v>1514</v>
      </c>
      <c r="B18" s="1984" t="s">
        <v>1515</v>
      </c>
      <c r="C18" s="1985"/>
    </row>
    <row r="19" spans="1:3">
      <c r="A19" s="1984" t="s">
        <v>1516</v>
      </c>
      <c r="B19" s="1984" t="s">
        <v>1517</v>
      </c>
      <c r="C19" s="1985"/>
    </row>
    <row r="20" spans="1:3">
      <c r="A20" s="1984" t="s">
        <v>1518</v>
      </c>
      <c r="B20" s="1984" t="s">
        <v>740</v>
      </c>
      <c r="C20" s="1985"/>
    </row>
    <row r="21" spans="1:3">
      <c r="A21" s="1984" t="s">
        <v>1519</v>
      </c>
      <c r="B21" s="1984" t="s">
        <v>740</v>
      </c>
      <c r="C21" s="1985"/>
    </row>
    <row r="22" spans="1:3">
      <c r="A22" s="1984" t="s">
        <v>1520</v>
      </c>
      <c r="B22" s="1984" t="s">
        <v>740</v>
      </c>
      <c r="C22" s="1985"/>
    </row>
    <row r="23" spans="1:3">
      <c r="A23" s="1984" t="s">
        <v>1521</v>
      </c>
      <c r="B23" s="1984" t="s">
        <v>740</v>
      </c>
      <c r="C23" s="1985"/>
    </row>
    <row r="24" spans="1:3">
      <c r="A24" s="1984" t="s">
        <v>1522</v>
      </c>
      <c r="B24" s="1984" t="s">
        <v>740</v>
      </c>
      <c r="C24" s="1985"/>
    </row>
    <row r="25" spans="1:3">
      <c r="A25" s="1984" t="s">
        <v>1523</v>
      </c>
      <c r="B25" s="1984" t="s">
        <v>740</v>
      </c>
      <c r="C25" s="1985"/>
    </row>
    <row r="26" spans="1:3">
      <c r="A26" s="1984" t="s">
        <v>1524</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8" t="s">
        <v>1527</v>
      </c>
      <c r="B52" s="1988" t="s">
        <v>1528</v>
      </c>
      <c r="C52" s="9" t="s">
        <v>1529</v>
      </c>
      <c r="D52" s="9" t="s">
        <v>1530</v>
      </c>
    </row>
    <row r="53" spans="1:4" ht="14.25" customHeight="1">
      <c r="A53" s="2816"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本次估价的“房地产价值”是指在正常市场情况下，在价值时点2018年12月31日，估价对象规划用途为，假定未设立法定优先受偿款下的房地产市场价值。</v>
      </c>
    </row>
    <row r="54" spans="1:4">
      <c r="A54" s="2816"/>
      <c r="B54" s="9" t="s">
        <v>1533</v>
      </c>
      <c r="C54" s="9" t="s">
        <v>1534</v>
      </c>
    </row>
    <row r="55" spans="1:4">
      <c r="A55" s="2816"/>
      <c r="B55" s="9" t="s">
        <v>1535</v>
      </c>
      <c r="C55" s="9" t="s">
        <v>1536</v>
      </c>
    </row>
    <row r="56" spans="1:4">
      <c r="A56" s="2816"/>
      <c r="B56" s="9" t="s">
        <v>1537</v>
      </c>
      <c r="C56" s="9" t="s">
        <v>1538</v>
      </c>
    </row>
    <row r="57" spans="1:4">
      <c r="A57" s="2816"/>
      <c r="B57" s="9" t="s">
        <v>1539</v>
      </c>
      <c r="C57" s="9" t="s">
        <v>1540</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比较法-车位</vt:lpstr>
      <vt:lpstr>收益法</vt:lpstr>
      <vt:lpstr>酒店收入计算</vt:lpstr>
      <vt:lpstr>典型户型修正</vt:lpstr>
      <vt:lpstr>比较法-住宅</vt:lpstr>
      <vt:lpstr>比较法-商业</vt:lpstr>
      <vt:lpstr>比较法-办公</vt:lpstr>
      <vt:lpstr>比较法-工业</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2019-02-22T02:22:16Z</dcterms:modified>
</cp:coreProperties>
</file>