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京城机电\"/>
    </mc:Choice>
  </mc:AlternateContent>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办公 (租金)" sheetId="81"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全部" sheetId="77" state="hidden" r:id="rId41"/>
    <sheet name="租约" sheetId="78" r:id="rId42"/>
    <sheet name="清单及结果"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2" hidden="1">'比较法-办公'!$A$1:$L$50</definedName>
    <definedName name="_xlnm._FilterDatabase" localSheetId="23"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definedName>
    <definedName name="_xlnm.Print_Area" localSheetId="23">'比较法-办公 (租金)'!$A$1:$K$50</definedName>
    <definedName name="_xlnm.Print_Area" localSheetId="39">典型户型修正!$A$1:$S$44</definedName>
    <definedName name="_xlnm.Print_Area" localSheetId="15">估价对象房地状况!$A$1:$G$24</definedName>
    <definedName name="_xlnm.Print_Area" localSheetId="8">估价师及机构信息!$A$1:$F$29</definedName>
    <definedName name="_xlnm.Print_Area" localSheetId="17">结果表!$A$1:$I$31</definedName>
    <definedName name="_xlnm.Print_Area" localSheetId="40">全部!$A$1:$I$46</definedName>
    <definedName name="_xlnm.Print_Area" localSheetId="21">收益法!$A$1:$AK$69</definedName>
    <definedName name="_xlnm.Print_Area" localSheetId="24">'收益法 (元)'!$A$1:$M$43</definedName>
    <definedName name="_xlnm.Print_Area" localSheetId="13">'数据-汇总表'!$A$1:$I$32</definedName>
    <definedName name="_xlnm.Print_Area" localSheetId="11">'数据-基础表'!$A$1:$I$13</definedName>
    <definedName name="_xlnm.Print_Area" localSheetId="14">'数据-取费表'!$A$1:$AN$59</definedName>
    <definedName name="_xlnm.Print_Area" localSheetId="10">项目基本情况!$A$1:$I$38</definedName>
    <definedName name="八级">区片价!$O$1:$O$40</definedName>
    <definedName name="办公层高" localSheetId="23">'比较法-办公 (租金)'!$B$119:$M$119</definedName>
    <definedName name="办公层高">'比较法-办公'!$B$119:$M$119</definedName>
    <definedName name="办公朝向" localSheetId="23">'比较法-办公 (租金)'!$B$91:$M$91</definedName>
    <definedName name="办公朝向">'比较法-办公'!$B$91:$M$91</definedName>
    <definedName name="办公道路级别" localSheetId="23">'比较法-办公 (租金)'!$B$87:$M$87</definedName>
    <definedName name="办公道路级别">'比较法-办公'!$B$87:$M$87</definedName>
    <definedName name="办公公共部分装修" localSheetId="23">'比较法-办公 (租金)'!$B$108:$M$108</definedName>
    <definedName name="办公公共部分装修">'比较法-办公'!$B$108:$M$108</definedName>
    <definedName name="办公基础设施水平" localSheetId="23">'比较法-办公 (租金)'!$B$117:$M$117</definedName>
    <definedName name="办公基础设施水平">'比较法-办公'!$B$117:$M$117</definedName>
    <definedName name="办公集聚程度">定义!$M$1:$M$6</definedName>
    <definedName name="办公建筑结构" localSheetId="23">'比较法-办公 (租金)'!$B$106:$M$106</definedName>
    <definedName name="办公建筑结构">'比较法-办公'!$B$106:$M$106</definedName>
    <definedName name="办公建筑类型" localSheetId="23">'比较法-办公 (租金)'!$B$101:$M$101</definedName>
    <definedName name="办公建筑类型">'比较法-办公'!$B$101:$M$101</definedName>
    <definedName name="办公交易情况" localSheetId="23">'比较法-办公 (租金)'!$A$62:$M$62</definedName>
    <definedName name="办公交易情况">'比较法-办公'!$A$62:$M$62</definedName>
    <definedName name="办公楼层" localSheetId="23">'比较法-办公 (租金)'!$B$89:$M$89</definedName>
    <definedName name="办公楼层">'比较法-办公'!$B$89:$M$89</definedName>
    <definedName name="办公内部装修" localSheetId="23">'比较法-办公 (租金)'!$B$123:$M$123</definedName>
    <definedName name="办公内部装修">'比较法-办公'!$B$123:$M$123</definedName>
    <definedName name="办公物业管理" localSheetId="23">'比较法-办公 (租金)'!$B$115:$M$115</definedName>
    <definedName name="办公物业管理">'比较法-办公'!$B$115:$M$115</definedName>
    <definedName name="办公用途" localSheetId="2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48" i="34" l="1"/>
  <c r="G48" i="34"/>
  <c r="E48" i="34"/>
  <c r="I54" i="78"/>
  <c r="H22" i="78"/>
  <c r="G54" i="78"/>
  <c r="K52" i="78"/>
  <c r="J52" i="78"/>
  <c r="I52" i="78"/>
  <c r="G52" i="78"/>
  <c r="H52" i="78"/>
  <c r="I51" i="78"/>
  <c r="J51" i="78"/>
  <c r="K51" i="78"/>
  <c r="H51" i="78"/>
  <c r="G51" i="78"/>
  <c r="I47" i="78"/>
  <c r="J47" i="78"/>
  <c r="K47" i="78"/>
  <c r="G47" i="78"/>
  <c r="H47" i="78"/>
  <c r="I45" i="78"/>
  <c r="J45" i="78"/>
  <c r="K45" i="78"/>
  <c r="H45" i="78"/>
  <c r="G45" i="78"/>
  <c r="I44" i="78"/>
  <c r="J44" i="78"/>
  <c r="K44" i="78"/>
  <c r="H44" i="78"/>
  <c r="G44" i="78"/>
  <c r="I43" i="78"/>
  <c r="J43" i="78"/>
  <c r="K43" i="78"/>
  <c r="H43" i="78"/>
  <c r="G43" i="78"/>
  <c r="K42" i="78"/>
  <c r="J42" i="78"/>
  <c r="I42" i="78"/>
  <c r="H42" i="78"/>
  <c r="H41" i="78"/>
  <c r="I40" i="78"/>
  <c r="J40" i="78"/>
  <c r="K40" i="78"/>
  <c r="H40" i="78"/>
  <c r="I39" i="78"/>
  <c r="J39" i="78"/>
  <c r="K39" i="78"/>
  <c r="H39" i="78"/>
  <c r="I38" i="78"/>
  <c r="J38" i="78"/>
  <c r="K38" i="78"/>
  <c r="H38" i="78"/>
  <c r="I37" i="78"/>
  <c r="J37" i="78"/>
  <c r="K37" i="78"/>
  <c r="H37" i="78"/>
  <c r="I36" i="78"/>
  <c r="J36" i="78"/>
  <c r="K36" i="78"/>
  <c r="H36" i="78"/>
  <c r="I35" i="78"/>
  <c r="J35" i="78"/>
  <c r="K35" i="78"/>
  <c r="H35" i="78"/>
  <c r="G36" i="78"/>
  <c r="G37" i="78"/>
  <c r="G38" i="78"/>
  <c r="G39" i="78"/>
  <c r="G40" i="78"/>
  <c r="G35" i="78"/>
  <c r="G41" i="78"/>
  <c r="F52" i="78"/>
  <c r="F36" i="78"/>
  <c r="F37" i="78"/>
  <c r="F38" i="78"/>
  <c r="F39" i="78"/>
  <c r="F40" i="78"/>
  <c r="F35" i="78"/>
  <c r="K27" i="81"/>
  <c r="C34" i="81"/>
  <c r="C34" i="34"/>
  <c r="I13" i="3"/>
  <c r="K15" i="81"/>
  <c r="K39" i="81"/>
  <c r="K38" i="81"/>
  <c r="I7" i="34"/>
  <c r="G7" i="34"/>
  <c r="B131" i="81"/>
  <c r="B129" i="81"/>
  <c r="H46" i="81"/>
  <c r="B127" i="81"/>
  <c r="E126" i="81"/>
  <c r="F126" i="81"/>
  <c r="G126" i="81"/>
  <c r="D126" i="81"/>
  <c r="E124" i="81"/>
  <c r="F124" i="81"/>
  <c r="G124" i="81"/>
  <c r="H124" i="81"/>
  <c r="I124" i="81"/>
  <c r="J124" i="81"/>
  <c r="K124" i="81"/>
  <c r="L124" i="81"/>
  <c r="M124" i="81"/>
  <c r="D124" i="81"/>
  <c r="F123" i="81"/>
  <c r="E123" i="81"/>
  <c r="D123" i="81"/>
  <c r="C123" i="81"/>
  <c r="E120" i="81"/>
  <c r="F120" i="81"/>
  <c r="G120" i="81"/>
  <c r="H120" i="81"/>
  <c r="I120" i="81"/>
  <c r="J120" i="81"/>
  <c r="K120" i="81"/>
  <c r="L120" i="81"/>
  <c r="M120" i="81"/>
  <c r="D120" i="81"/>
  <c r="D118" i="81"/>
  <c r="E118" i="81"/>
  <c r="F118" i="81"/>
  <c r="G118" i="81"/>
  <c r="D116" i="81"/>
  <c r="E116" i="81"/>
  <c r="F116" i="81"/>
  <c r="G116" i="81"/>
  <c r="H116" i="81"/>
  <c r="I116" i="81"/>
  <c r="J116" i="81"/>
  <c r="K116" i="81"/>
  <c r="L116" i="81"/>
  <c r="M116" i="81"/>
  <c r="D114" i="81"/>
  <c r="E114" i="81"/>
  <c r="F114" i="81"/>
  <c r="G114" i="81"/>
  <c r="H114" i="81"/>
  <c r="I114" i="81"/>
  <c r="J114" i="81"/>
  <c r="K114" i="81"/>
  <c r="L114" i="81"/>
  <c r="M114" i="81"/>
  <c r="E112" i="81"/>
  <c r="F112" i="81"/>
  <c r="G112" i="81"/>
  <c r="H112" i="81"/>
  <c r="I112" i="81"/>
  <c r="J112" i="81"/>
  <c r="K112" i="81"/>
  <c r="L112" i="81"/>
  <c r="M112" i="81"/>
  <c r="D112" i="81"/>
  <c r="G110" i="81"/>
  <c r="F110" i="81"/>
  <c r="E110" i="81"/>
  <c r="D110" i="81"/>
  <c r="C110" i="81"/>
  <c r="D109" i="81"/>
  <c r="E109" i="81"/>
  <c r="F109" i="81"/>
  <c r="G109" i="81"/>
  <c r="H109" i="81"/>
  <c r="I109" i="81"/>
  <c r="J109" i="81"/>
  <c r="K109" i="81"/>
  <c r="L109" i="81"/>
  <c r="M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D102" i="81"/>
  <c r="B99" i="81"/>
  <c r="B97" i="81"/>
  <c r="B95" i="81"/>
  <c r="B93" i="81"/>
  <c r="E92" i="81"/>
  <c r="F92" i="81"/>
  <c r="G92" i="81"/>
  <c r="H92" i="81"/>
  <c r="I92" i="81"/>
  <c r="J92" i="81"/>
  <c r="K92" i="81"/>
  <c r="L92" i="81"/>
  <c r="M92" i="81"/>
  <c r="D92" i="81"/>
  <c r="B91" i="81"/>
  <c r="D90" i="81"/>
  <c r="E90" i="81"/>
  <c r="F90" i="81"/>
  <c r="G90" i="81"/>
  <c r="H90" i="81"/>
  <c r="I90" i="81"/>
  <c r="J90" i="81"/>
  <c r="K90" i="81"/>
  <c r="L90" i="81"/>
  <c r="M90" i="81"/>
  <c r="B89" i="81"/>
  <c r="D88" i="81"/>
  <c r="E88" i="81"/>
  <c r="F88" i="81"/>
  <c r="E86" i="81"/>
  <c r="F86" i="81"/>
  <c r="G86" i="81"/>
  <c r="D86" i="81"/>
  <c r="G84" i="81"/>
  <c r="E84" i="81"/>
  <c r="F84" i="81"/>
  <c r="D84" i="81"/>
  <c r="E82" i="81"/>
  <c r="F82" i="81"/>
  <c r="G82" i="81"/>
  <c r="D82" i="81"/>
  <c r="D80" i="81"/>
  <c r="E80" i="81"/>
  <c r="D78" i="81"/>
  <c r="E78" i="81"/>
  <c r="F78" i="81"/>
  <c r="G78" i="81"/>
  <c r="B75" i="81"/>
  <c r="B73" i="81"/>
  <c r="B71" i="81"/>
  <c r="D70" i="81"/>
  <c r="E70" i="81"/>
  <c r="F70" i="81"/>
  <c r="G70" i="81"/>
  <c r="H70" i="81"/>
  <c r="I70" i="81"/>
  <c r="J70" i="81"/>
  <c r="K70" i="81"/>
  <c r="L70" i="81"/>
  <c r="M70" i="81"/>
  <c r="M68" i="81"/>
  <c r="L68" i="81"/>
  <c r="K68" i="81"/>
  <c r="J68" i="81"/>
  <c r="I68" i="81"/>
  <c r="H68" i="81"/>
  <c r="G68" i="81"/>
  <c r="F68" i="81"/>
  <c r="E68" i="81"/>
  <c r="D68" i="81"/>
  <c r="C68" i="81"/>
  <c r="G67" i="81"/>
  <c r="H67" i="81"/>
  <c r="I67" i="81"/>
  <c r="F67" i="81"/>
  <c r="C64" i="81"/>
  <c r="I55" i="81"/>
  <c r="J55" i="81"/>
  <c r="G55" i="81"/>
  <c r="H55" i="81"/>
  <c r="E55" i="81"/>
  <c r="F55" i="81"/>
  <c r="P50" i="81"/>
  <c r="P49" i="81"/>
  <c r="V48" i="81"/>
  <c r="T48" i="81"/>
  <c r="R48" i="81"/>
  <c r="P48" i="81"/>
  <c r="AB47" i="81"/>
  <c r="U47" i="81"/>
  <c r="Q47" i="81"/>
  <c r="Z47" i="81"/>
  <c r="J47" i="81"/>
  <c r="AC47" i="81"/>
  <c r="H47" i="81"/>
  <c r="F47" i="81"/>
  <c r="AA47" i="81"/>
  <c r="Q46" i="81"/>
  <c r="Z46" i="81"/>
  <c r="J46" i="81"/>
  <c r="AC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Q39" i="81"/>
  <c r="Z39" i="81"/>
  <c r="J39" i="81"/>
  <c r="AC39" i="81"/>
  <c r="Q38" i="81"/>
  <c r="Z38" i="81"/>
  <c r="Q37" i="81"/>
  <c r="Z37" i="81"/>
  <c r="J37" i="81"/>
  <c r="AC37" i="81"/>
  <c r="C37" i="81"/>
  <c r="H37" i="81"/>
  <c r="Q36" i="81"/>
  <c r="Z36" i="81"/>
  <c r="J36" i="81"/>
  <c r="AC36" i="81"/>
  <c r="H36" i="81"/>
  <c r="AB36" i="81"/>
  <c r="F36" i="81"/>
  <c r="AA36" i="81"/>
  <c r="Q35" i="81"/>
  <c r="Z35" i="81"/>
  <c r="J35" i="81"/>
  <c r="AC35" i="81"/>
  <c r="H35" i="81"/>
  <c r="AB35" i="81"/>
  <c r="F35" i="81"/>
  <c r="AA35" i="81"/>
  <c r="Q34" i="81"/>
  <c r="Z34" i="81"/>
  <c r="Q33" i="81"/>
  <c r="Z33" i="81"/>
  <c r="J33" i="81"/>
  <c r="AC33" i="81"/>
  <c r="H33" i="81"/>
  <c r="AB33" i="81"/>
  <c r="F33" i="81"/>
  <c r="AA33" i="81"/>
  <c r="AB32" i="81"/>
  <c r="U32" i="81"/>
  <c r="Q32" i="81"/>
  <c r="Z32" i="81"/>
  <c r="J32" i="81"/>
  <c r="AC32" i="81"/>
  <c r="H32" i="81"/>
  <c r="F32" i="81"/>
  <c r="AA32" i="81"/>
  <c r="Q31" i="81"/>
  <c r="Z31" i="81"/>
  <c r="J31" i="81"/>
  <c r="AC31" i="81"/>
  <c r="H31" i="81"/>
  <c r="AB31" i="81"/>
  <c r="F31" i="81"/>
  <c r="AA31" i="81"/>
  <c r="Q30" i="81"/>
  <c r="Z30" i="81"/>
  <c r="J30" i="81"/>
  <c r="AC30" i="81"/>
  <c r="H30" i="81"/>
  <c r="AB30" i="81"/>
  <c r="F30" i="81"/>
  <c r="AA30" i="81"/>
  <c r="AC29" i="81"/>
  <c r="W29" i="81"/>
  <c r="Q29" i="81"/>
  <c r="Z29" i="81"/>
  <c r="J29" i="81"/>
  <c r="H29" i="81"/>
  <c r="AB29" i="81"/>
  <c r="F29" i="81"/>
  <c r="AA29" i="81"/>
  <c r="AB28" i="81"/>
  <c r="U28" i="81"/>
  <c r="Q28" i="81"/>
  <c r="Z28" i="81"/>
  <c r="J28" i="81"/>
  <c r="AC28" i="81"/>
  <c r="H28" i="81"/>
  <c r="F28" i="81"/>
  <c r="AA28" i="81"/>
  <c r="Q27" i="81"/>
  <c r="Z27" i="81"/>
  <c r="Q25" i="81"/>
  <c r="Z25" i="81"/>
  <c r="AC23" i="81"/>
  <c r="Q23" i="81"/>
  <c r="Z23" i="81"/>
  <c r="J23" i="81"/>
  <c r="W23" i="81"/>
  <c r="H23" i="81"/>
  <c r="AB23" i="81"/>
  <c r="F23" i="81"/>
  <c r="AA23" i="81"/>
  <c r="C23" i="81"/>
  <c r="Q21" i="81"/>
  <c r="Z21" i="81"/>
  <c r="J21" i="81"/>
  <c r="AC21" i="81"/>
  <c r="H21" i="81"/>
  <c r="AB21" i="81"/>
  <c r="F21" i="81"/>
  <c r="AA21" i="81"/>
  <c r="C21" i="81"/>
  <c r="AC19" i="81"/>
  <c r="Q19" i="81"/>
  <c r="Z19" i="81"/>
  <c r="J19" i="81"/>
  <c r="W19" i="81"/>
  <c r="H19" i="81"/>
  <c r="AB19" i="81"/>
  <c r="F19" i="81"/>
  <c r="AA19" i="81"/>
  <c r="C19" i="81"/>
  <c r="Q17" i="81"/>
  <c r="Z17" i="81"/>
  <c r="H17" i="81"/>
  <c r="AB17" i="81"/>
  <c r="F17" i="81"/>
  <c r="AA17" i="81"/>
  <c r="C17" i="81"/>
  <c r="Q15" i="81"/>
  <c r="Z15" i="81"/>
  <c r="H15" i="81"/>
  <c r="AB15" i="81"/>
  <c r="C15" i="81"/>
  <c r="Q14" i="81"/>
  <c r="Z14" i="81"/>
  <c r="J14" i="81"/>
  <c r="AC14" i="81"/>
  <c r="H14" i="81"/>
  <c r="AB14" i="81"/>
  <c r="F14" i="81"/>
  <c r="AA14" i="81"/>
  <c r="Q13" i="81"/>
  <c r="Z13" i="81"/>
  <c r="J13" i="81"/>
  <c r="AC13" i="81"/>
  <c r="H13" i="81"/>
  <c r="AB13" i="81"/>
  <c r="F13" i="81"/>
  <c r="AA13" i="81"/>
  <c r="AC12" i="81"/>
  <c r="W12" i="81"/>
  <c r="Q12" i="81"/>
  <c r="Z12" i="81"/>
  <c r="J12" i="81"/>
  <c r="H12" i="81"/>
  <c r="AB12" i="81"/>
  <c r="F12" i="81"/>
  <c r="AA12" i="81"/>
  <c r="Q11" i="81"/>
  <c r="Z11" i="81"/>
  <c r="J11" i="81"/>
  <c r="AC11" i="81"/>
  <c r="H11" i="81"/>
  <c r="U11" i="81"/>
  <c r="F11" i="81"/>
  <c r="AA11" i="81"/>
  <c r="Q10" i="81"/>
  <c r="Z10" i="81"/>
  <c r="J10" i="81"/>
  <c r="AC10" i="81"/>
  <c r="H10" i="81"/>
  <c r="AB10" i="81"/>
  <c r="F10" i="81"/>
  <c r="AA10" i="81"/>
  <c r="Q9" i="81"/>
  <c r="Z9" i="81"/>
  <c r="J9" i="81"/>
  <c r="AC9" i="81"/>
  <c r="H9" i="81"/>
  <c r="AB9" i="81"/>
  <c r="F9" i="81"/>
  <c r="AA9" i="81"/>
  <c r="AC8" i="81"/>
  <c r="J8" i="81"/>
  <c r="W8" i="81"/>
  <c r="H8" i="81"/>
  <c r="AB8" i="81"/>
  <c r="F8" i="81"/>
  <c r="S8" i="81"/>
  <c r="C7" i="81"/>
  <c r="C59" i="81"/>
  <c r="D3" i="81"/>
  <c r="C18" i="31"/>
  <c r="D17" i="31"/>
  <c r="E17" i="31"/>
  <c r="C17" i="31"/>
  <c r="D4" i="31"/>
  <c r="E4" i="31"/>
  <c r="F4" i="31"/>
  <c r="G4" i="31"/>
  <c r="H4" i="31"/>
  <c r="I4" i="31"/>
  <c r="J4" i="31"/>
  <c r="C4" i="31"/>
  <c r="D3" i="31"/>
  <c r="E3" i="31"/>
  <c r="F3" i="31"/>
  <c r="G3" i="31"/>
  <c r="H3" i="31"/>
  <c r="I3" i="31"/>
  <c r="J3" i="31"/>
  <c r="C3" i="31"/>
  <c r="J52" i="67"/>
  <c r="C37" i="34"/>
  <c r="D123" i="34"/>
  <c r="E123" i="34"/>
  <c r="F123" i="34"/>
  <c r="C123" i="34"/>
  <c r="B25" i="31"/>
  <c r="B26" i="31"/>
  <c r="B27" i="31"/>
  <c r="B28" i="31"/>
  <c r="B29" i="31"/>
  <c r="B30" i="31"/>
  <c r="B31" i="31"/>
  <c r="B32" i="31"/>
  <c r="B33" i="31"/>
  <c r="B34" i="31"/>
  <c r="B35" i="31"/>
  <c r="B36" i="31"/>
  <c r="B37" i="31"/>
  <c r="B38" i="31"/>
  <c r="B39" i="31"/>
  <c r="B40" i="31"/>
  <c r="B41" i="31"/>
  <c r="B42" i="31"/>
  <c r="B43" i="31"/>
  <c r="B44" i="31"/>
  <c r="B24" i="31"/>
  <c r="A40" i="31"/>
  <c r="A41" i="31"/>
  <c r="A42" i="31"/>
  <c r="A43" i="31"/>
  <c r="A44" i="31"/>
  <c r="A25" i="31"/>
  <c r="A26" i="31"/>
  <c r="A27" i="31"/>
  <c r="A28" i="31"/>
  <c r="A29" i="31"/>
  <c r="A30" i="31"/>
  <c r="A31" i="31"/>
  <c r="A32" i="31"/>
  <c r="A33" i="31"/>
  <c r="A34" i="31"/>
  <c r="A35" i="31"/>
  <c r="A36" i="31"/>
  <c r="A37" i="31"/>
  <c r="A38" i="31"/>
  <c r="A39" i="31"/>
  <c r="A24" i="31"/>
  <c r="AD6" i="1"/>
  <c r="Q34" i="78"/>
  <c r="R34" i="78"/>
  <c r="Y6" i="1"/>
  <c r="N6" i="1"/>
  <c r="C19" i="6"/>
  <c r="F19" i="6"/>
  <c r="D2" i="81"/>
  <c r="H27" i="81"/>
  <c r="AB27" i="81"/>
  <c r="F27" i="81"/>
  <c r="AA27" i="81"/>
  <c r="J27" i="81"/>
  <c r="AC27" i="81"/>
  <c r="H38" i="81"/>
  <c r="AB38" i="81"/>
  <c r="F39" i="81"/>
  <c r="AA39" i="81"/>
  <c r="H39" i="81"/>
  <c r="AB39" i="81"/>
  <c r="F38" i="81"/>
  <c r="AA38" i="81"/>
  <c r="J38" i="81"/>
  <c r="AC38" i="81"/>
  <c r="F40" i="81"/>
  <c r="AA40" i="81"/>
  <c r="H40" i="81"/>
  <c r="AB40" i="81"/>
  <c r="F37" i="81"/>
  <c r="AA37" i="81"/>
  <c r="W33" i="81"/>
  <c r="G88" i="81"/>
  <c r="J25" i="81"/>
  <c r="AC25" i="81"/>
  <c r="F25" i="81"/>
  <c r="AA25" i="81"/>
  <c r="H88" i="81"/>
  <c r="I88" i="81"/>
  <c r="J88" i="81"/>
  <c r="K88" i="81"/>
  <c r="L88" i="81"/>
  <c r="M88" i="81"/>
  <c r="H25" i="81"/>
  <c r="AB25" i="81"/>
  <c r="AB11" i="81"/>
  <c r="F80" i="81"/>
  <c r="G80" i="81"/>
  <c r="J17" i="81"/>
  <c r="AC17" i="81"/>
  <c r="F15" i="81"/>
  <c r="AA15" i="81"/>
  <c r="J15" i="81"/>
  <c r="AC15" i="81"/>
  <c r="W15" i="81"/>
  <c r="U8" i="81"/>
  <c r="AF6" i="1"/>
  <c r="D59" i="81"/>
  <c r="E59" i="81"/>
  <c r="F59" i="81"/>
  <c r="G59" i="81"/>
  <c r="H59" i="81"/>
  <c r="I59" i="81"/>
  <c r="J59" i="81"/>
  <c r="K59" i="81"/>
  <c r="L59" i="81"/>
  <c r="M59" i="81"/>
  <c r="N59" i="81"/>
  <c r="O59" i="81"/>
  <c r="H7" i="81"/>
  <c r="AA8" i="81"/>
  <c r="U9" i="81"/>
  <c r="W10" i="81"/>
  <c r="S12" i="81"/>
  <c r="U13" i="81"/>
  <c r="W14" i="81"/>
  <c r="S19" i="81"/>
  <c r="W21" i="81"/>
  <c r="S23" i="81"/>
  <c r="W27" i="81"/>
  <c r="S29" i="81"/>
  <c r="U30" i="81"/>
  <c r="W31" i="81"/>
  <c r="S33" i="81"/>
  <c r="U35" i="81"/>
  <c r="W36" i="81"/>
  <c r="S10" i="81"/>
  <c r="S14" i="81"/>
  <c r="S17" i="81"/>
  <c r="S21" i="81"/>
  <c r="S31" i="81"/>
  <c r="S36" i="81"/>
  <c r="AB37" i="81"/>
  <c r="U37" i="81"/>
  <c r="U40" i="81"/>
  <c r="S41" i="81"/>
  <c r="W41" i="81"/>
  <c r="U42" i="81"/>
  <c r="S43" i="81"/>
  <c r="W43" i="81"/>
  <c r="U44" i="81"/>
  <c r="S45" i="81"/>
  <c r="W45" i="81"/>
  <c r="AB46" i="81"/>
  <c r="U46" i="81"/>
  <c r="S37" i="81"/>
  <c r="W37" i="81"/>
  <c r="U38" i="81"/>
  <c r="W39" i="81"/>
  <c r="S9" i="81"/>
  <c r="W9" i="81"/>
  <c r="U10" i="81"/>
  <c r="S11" i="81"/>
  <c r="W11" i="81"/>
  <c r="U12" i="81"/>
  <c r="S13" i="81"/>
  <c r="W13" i="81"/>
  <c r="U14" i="81"/>
  <c r="U15" i="81"/>
  <c r="U17" i="81"/>
  <c r="U19" i="81"/>
  <c r="U21" i="81"/>
  <c r="U23" i="81"/>
  <c r="U27" i="81"/>
  <c r="S28" i="81"/>
  <c r="W28" i="81"/>
  <c r="U29" i="81"/>
  <c r="S30" i="81"/>
  <c r="W30" i="81"/>
  <c r="U31" i="81"/>
  <c r="S32" i="81"/>
  <c r="W32" i="81"/>
  <c r="U33" i="81"/>
  <c r="S35" i="81"/>
  <c r="W35" i="81"/>
  <c r="U36" i="81"/>
  <c r="S38" i="81"/>
  <c r="W38" i="81"/>
  <c r="W40" i="81"/>
  <c r="U41" i="81"/>
  <c r="S42" i="81"/>
  <c r="W42" i="81"/>
  <c r="U43" i="81"/>
  <c r="S44" i="81"/>
  <c r="W44" i="81"/>
  <c r="U45" i="81"/>
  <c r="F46" i="81"/>
  <c r="W46" i="81"/>
  <c r="S47" i="81"/>
  <c r="W47" i="81"/>
  <c r="D23" i="80"/>
  <c r="S27" i="81"/>
  <c r="H34" i="81"/>
  <c r="J34" i="81"/>
  <c r="F34" i="81"/>
  <c r="S39" i="81"/>
  <c r="U39" i="81"/>
  <c r="S40" i="81"/>
  <c r="W25" i="81"/>
  <c r="S25" i="81"/>
  <c r="U25" i="81"/>
  <c r="W17" i="81"/>
  <c r="S15" i="81"/>
  <c r="U7" i="81"/>
  <c r="AB7" i="81"/>
  <c r="F7" i="81"/>
  <c r="AA46" i="81"/>
  <c r="S46" i="81"/>
  <c r="J7" i="81"/>
  <c r="I20" i="77"/>
  <c r="I19" i="77"/>
  <c r="I18" i="77"/>
  <c r="I16" i="77"/>
  <c r="I15" i="77"/>
  <c r="I14" i="77"/>
  <c r="I13" i="77"/>
  <c r="I12" i="77"/>
  <c r="I11" i="77"/>
  <c r="I10" i="77"/>
  <c r="I9" i="77"/>
  <c r="I7" i="77"/>
  <c r="I5" i="77"/>
  <c r="I4" i="77"/>
  <c r="I3" i="77"/>
  <c r="D46" i="77"/>
  <c r="W34" i="81"/>
  <c r="AC34" i="81"/>
  <c r="AA34" i="81"/>
  <c r="S34" i="81"/>
  <c r="U34" i="81"/>
  <c r="AB34" i="81"/>
  <c r="T49" i="81"/>
  <c r="G49" i="81"/>
  <c r="G53" i="81"/>
  <c r="H53" i="81"/>
  <c r="AC7" i="81"/>
  <c r="W7" i="81"/>
  <c r="AA7" i="81"/>
  <c r="S7" i="81"/>
  <c r="F50" i="78"/>
  <c r="I50" i="78"/>
  <c r="K50" i="78"/>
  <c r="J50" i="78"/>
  <c r="G48" i="78"/>
  <c r="H48" i="78"/>
  <c r="K48" i="78"/>
  <c r="G46" i="78"/>
  <c r="J46" i="78"/>
  <c r="M36" i="78"/>
  <c r="G42" i="78"/>
  <c r="F42" i="78"/>
  <c r="M40" i="78"/>
  <c r="G49" i="78"/>
  <c r="K49" i="78"/>
  <c r="K11" i="78"/>
  <c r="K12" i="78"/>
  <c r="J11" i="78"/>
  <c r="G50" i="78"/>
  <c r="F49" i="78"/>
  <c r="F48" i="78"/>
  <c r="F46" i="78"/>
  <c r="F41" i="78"/>
  <c r="J9" i="78"/>
  <c r="J8" i="78"/>
  <c r="J7" i="78"/>
  <c r="J6" i="78"/>
  <c r="J5" i="78"/>
  <c r="G22" i="78"/>
  <c r="Z27" i="78"/>
  <c r="Y27" i="78"/>
  <c r="X27" i="78"/>
  <c r="W27" i="78"/>
  <c r="V27" i="78"/>
  <c r="U27" i="78"/>
  <c r="T27" i="78"/>
  <c r="S27" i="78"/>
  <c r="R27" i="78"/>
  <c r="Q27" i="78"/>
  <c r="O27" i="78"/>
  <c r="G27" i="78"/>
  <c r="G28" i="78"/>
  <c r="H26" i="78"/>
  <c r="H27" i="78"/>
  <c r="AA25" i="78"/>
  <c r="J25" i="78"/>
  <c r="AA24" i="78"/>
  <c r="J24" i="78"/>
  <c r="M22" i="78"/>
  <c r="I22" i="78"/>
  <c r="H28" i="78"/>
  <c r="J28" i="78"/>
  <c r="Y21" i="78"/>
  <c r="V21" i="78"/>
  <c r="S21" i="78"/>
  <c r="P21" i="78"/>
  <c r="AA21" i="78"/>
  <c r="K21" i="78"/>
  <c r="J21" i="78"/>
  <c r="X20" i="78"/>
  <c r="U20" i="78"/>
  <c r="R20" i="78"/>
  <c r="O20" i="78"/>
  <c r="AA20" i="78"/>
  <c r="K20" i="78"/>
  <c r="J20" i="78"/>
  <c r="Y19" i="78"/>
  <c r="V19" i="78"/>
  <c r="S19" i="78"/>
  <c r="P19" i="78"/>
  <c r="AA19" i="78"/>
  <c r="K19" i="78"/>
  <c r="J19" i="78"/>
  <c r="Y18" i="78"/>
  <c r="V18" i="78"/>
  <c r="S18" i="78"/>
  <c r="P18" i="78"/>
  <c r="AA18" i="78"/>
  <c r="K18" i="78"/>
  <c r="J18" i="78"/>
  <c r="Y17" i="78"/>
  <c r="V17" i="78"/>
  <c r="S17" i="78"/>
  <c r="P17" i="78"/>
  <c r="AA17" i="78"/>
  <c r="K17" i="78"/>
  <c r="J17" i="78"/>
  <c r="Z16" i="78"/>
  <c r="W16" i="78"/>
  <c r="T16" i="78"/>
  <c r="O16" i="78"/>
  <c r="AA16" i="78"/>
  <c r="K16" i="78"/>
  <c r="J16" i="78"/>
  <c r="AA15" i="78"/>
  <c r="K15" i="78"/>
  <c r="J15" i="78"/>
  <c r="AA14" i="78"/>
  <c r="K14" i="78"/>
  <c r="J14" i="78"/>
  <c r="S13" i="78"/>
  <c r="P13" i="78"/>
  <c r="AA13" i="78"/>
  <c r="K13" i="78"/>
  <c r="J13" i="78"/>
  <c r="Y12" i="78"/>
  <c r="V12" i="78"/>
  <c r="S12" i="78"/>
  <c r="P12" i="78"/>
  <c r="AA12" i="78"/>
  <c r="J12" i="78"/>
  <c r="Z11" i="78"/>
  <c r="Y11" i="78"/>
  <c r="X11" i="78"/>
  <c r="W11" i="78"/>
  <c r="V11" i="78"/>
  <c r="U11" i="78"/>
  <c r="T11" i="78"/>
  <c r="S11" i="78"/>
  <c r="R11" i="78"/>
  <c r="Q11" i="78"/>
  <c r="P11" i="78"/>
  <c r="O11" i="78"/>
  <c r="U10" i="78"/>
  <c r="O10" i="78"/>
  <c r="K10" i="78"/>
  <c r="J10" i="78"/>
  <c r="Y9" i="78"/>
  <c r="T9" i="78"/>
  <c r="K9" i="78"/>
  <c r="U8" i="78"/>
  <c r="R8" i="78"/>
  <c r="O8" i="78"/>
  <c r="K8" i="78"/>
  <c r="T7" i="78"/>
  <c r="Q7" i="78"/>
  <c r="AA7" i="78"/>
  <c r="K7" i="78"/>
  <c r="Y6" i="78"/>
  <c r="X6" i="78"/>
  <c r="W6" i="78"/>
  <c r="V6" i="78"/>
  <c r="U6" i="78"/>
  <c r="T6" i="78"/>
  <c r="S6" i="78"/>
  <c r="R6" i="78"/>
  <c r="Q6" i="78"/>
  <c r="P6" i="78"/>
  <c r="O6" i="78"/>
  <c r="K6" i="78"/>
  <c r="Y5" i="78"/>
  <c r="Y22" i="78"/>
  <c r="Y28" i="78"/>
  <c r="X5" i="78"/>
  <c r="W5" i="78"/>
  <c r="W22" i="78"/>
  <c r="W28" i="78"/>
  <c r="V5" i="78"/>
  <c r="U5" i="78"/>
  <c r="U22" i="78"/>
  <c r="U28" i="78"/>
  <c r="T5" i="78"/>
  <c r="S5" i="78"/>
  <c r="S22" i="78"/>
  <c r="S28" i="78"/>
  <c r="R5" i="78"/>
  <c r="Q5" i="78"/>
  <c r="Q22" i="78"/>
  <c r="Q28" i="78"/>
  <c r="P5" i="78"/>
  <c r="O5" i="78"/>
  <c r="O22" i="78"/>
  <c r="O28" i="78"/>
  <c r="K5" i="78"/>
  <c r="V49" i="81"/>
  <c r="I49" i="81"/>
  <c r="G54" i="81"/>
  <c r="H54" i="81"/>
  <c r="R49" i="81"/>
  <c r="R50" i="81"/>
  <c r="H50" i="78"/>
  <c r="K41" i="78"/>
  <c r="J48" i="78"/>
  <c r="E49" i="81"/>
  <c r="I54" i="81"/>
  <c r="J54" i="81"/>
  <c r="I53" i="81"/>
  <c r="J53" i="81"/>
  <c r="K46" i="78"/>
  <c r="I41" i="78"/>
  <c r="I46" i="78"/>
  <c r="H49" i="78"/>
  <c r="J49" i="78"/>
  <c r="P22" i="78"/>
  <c r="T22" i="78"/>
  <c r="T28" i="78"/>
  <c r="V22" i="78"/>
  <c r="V28" i="78"/>
  <c r="X22" i="78"/>
  <c r="X28" i="78"/>
  <c r="AA11" i="78"/>
  <c r="Z22" i="78"/>
  <c r="Z28" i="78"/>
  <c r="J27" i="78"/>
  <c r="J41" i="78"/>
  <c r="H46" i="78"/>
  <c r="I48" i="78"/>
  <c r="I49" i="78"/>
  <c r="R22" i="78"/>
  <c r="R28" i="78"/>
  <c r="AA6" i="78"/>
  <c r="AA8" i="78"/>
  <c r="AA9" i="78"/>
  <c r="AA10" i="78"/>
  <c r="K22" i="78"/>
  <c r="AA5" i="78"/>
  <c r="J22" i="78"/>
  <c r="P26" i="78"/>
  <c r="J26" i="78"/>
  <c r="U6" i="1"/>
  <c r="C50" i="81"/>
  <c r="C49" i="81"/>
  <c r="Z6" i="1"/>
  <c r="E54" i="81"/>
  <c r="F54" i="81"/>
  <c r="E53" i="81"/>
  <c r="F53" i="81"/>
  <c r="AA22" i="78"/>
  <c r="AA26" i="78"/>
  <c r="AA27" i="78"/>
  <c r="P27" i="78"/>
  <c r="P28" i="78"/>
  <c r="K25" i="77"/>
  <c r="B3" i="81"/>
  <c r="B2" i="81"/>
  <c r="AA28" i="78"/>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E12" i="76"/>
  <c r="B11" i="76"/>
  <c r="B10" i="76"/>
  <c r="E10" i="76"/>
  <c r="E13" i="76"/>
  <c r="B7" i="76"/>
  <c r="B13" i="76"/>
  <c r="E7" i="76"/>
  <c r="B8" i="76"/>
  <c r="E9" i="76"/>
  <c r="B9" i="76"/>
  <c r="E11" i="76"/>
  <c r="B12" i="76"/>
  <c r="E8"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4" i="73"/>
  <c r="D6" i="73"/>
  <c r="D3" i="73"/>
  <c r="F6" i="73"/>
  <c r="F5" i="73"/>
  <c r="F3" i="73"/>
  <c r="I1" i="73"/>
  <c r="B39" i="1"/>
  <c r="D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0" i="1"/>
  <c r="AO9" i="1"/>
  <c r="AO11" i="1"/>
  <c r="AO13"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F15" i="4"/>
  <c r="F8" i="1"/>
  <c r="F9" i="1"/>
  <c r="F10" i="1"/>
  <c r="F11" i="1"/>
  <c r="F12" i="1"/>
  <c r="F13" i="1"/>
  <c r="D6" i="1"/>
  <c r="D9" i="1"/>
  <c r="D10" i="1"/>
  <c r="D11" i="1"/>
  <c r="D12" i="1"/>
  <c r="D13" i="1"/>
  <c r="D7" i="1"/>
  <c r="D8" i="1"/>
  <c r="A7" i="1"/>
  <c r="A8" i="1"/>
  <c r="B8" i="1"/>
  <c r="E8" i="1"/>
  <c r="A9" i="1"/>
  <c r="A10" i="1"/>
  <c r="K10" i="1"/>
  <c r="M10" i="1"/>
  <c r="O10" i="1"/>
  <c r="A11" i="1"/>
  <c r="A12" i="1"/>
  <c r="A13" i="1"/>
  <c r="A6" i="1"/>
  <c r="F3" i="35"/>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14" i="3"/>
  <c r="BN15" i="3"/>
  <c r="BN16" i="3"/>
  <c r="BN17" i="3"/>
  <c r="BP13" i="3"/>
  <c r="BP5" i="3"/>
  <c r="BP14" i="3"/>
  <c r="BP15" i="3"/>
  <c r="BP16" i="3"/>
  <c r="BP17" i="3"/>
  <c r="E19" i="6"/>
  <c r="E20" i="6"/>
  <c r="E21" i="6"/>
  <c r="K8" i="1"/>
  <c r="M8" i="1"/>
  <c r="F23" i="15"/>
  <c r="D24" i="15"/>
  <c r="O8" i="1"/>
  <c r="P8" i="1"/>
  <c r="E22" i="6"/>
  <c r="E23" i="6"/>
  <c r="E24" i="6"/>
  <c r="E25" i="6"/>
  <c r="E26" i="6"/>
  <c r="BB13" i="3"/>
  <c r="BB5" i="3"/>
  <c r="BC13" i="3"/>
  <c r="BD13" i="3"/>
  <c r="BE13" i="3"/>
  <c r="BF13" i="3"/>
  <c r="BF5"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c r="F27" i="6"/>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J31" i="34"/>
  <c r="B95" i="34"/>
  <c r="B93" i="34"/>
  <c r="F29" i="34"/>
  <c r="S29" i="34"/>
  <c r="B75" i="34"/>
  <c r="B73" i="34"/>
  <c r="H1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F36" i="34"/>
  <c r="J35" i="34"/>
  <c r="S34" i="34"/>
  <c r="U34" i="34"/>
  <c r="H39" i="33"/>
  <c r="AB39" i="33"/>
  <c r="S9" i="33"/>
  <c r="U33" i="33"/>
  <c r="U35" i="33"/>
  <c r="S40" i="33"/>
  <c r="W33" i="33"/>
  <c r="W39" i="33"/>
  <c r="H39" i="37"/>
  <c r="AB39" i="37"/>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37" i="34"/>
  <c r="AA37" i="34"/>
  <c r="S35" i="34"/>
  <c r="F28" i="34"/>
  <c r="AA28" i="34"/>
  <c r="H23" i="34"/>
  <c r="U23" i="34"/>
  <c r="J23" i="34"/>
  <c r="F19" i="34"/>
  <c r="H17" i="34"/>
  <c r="U17" i="34"/>
  <c r="J15" i="34"/>
  <c r="W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F23" i="34"/>
  <c r="AA23" i="34"/>
  <c r="J19" i="34"/>
  <c r="AC19" i="34"/>
  <c r="F17" i="34"/>
  <c r="AA17" i="34"/>
  <c r="J17" i="34"/>
  <c r="W17" i="34"/>
  <c r="S41" i="33"/>
  <c r="H37" i="33"/>
  <c r="AB37" i="33"/>
  <c r="H15" i="33"/>
  <c r="AB15" i="33"/>
  <c r="H11" i="33"/>
  <c r="AB11" i="33"/>
  <c r="F28" i="40"/>
  <c r="AA28" i="40"/>
  <c r="AA29" i="35"/>
  <c r="AA42" i="34"/>
  <c r="S42"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13" i="34"/>
  <c r="W13" i="34"/>
  <c r="J29" i="34"/>
  <c r="H31" i="34"/>
  <c r="AB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AA14" i="33"/>
  <c r="J36" i="37"/>
  <c r="AC36" i="37"/>
  <c r="AB11" i="36"/>
  <c r="J10" i="36"/>
  <c r="AC10" i="36"/>
  <c r="AB30" i="21"/>
  <c r="AA14" i="37"/>
  <c r="W13"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AZ546" i="3"/>
  <c r="BA544" i="3"/>
  <c r="BA542" i="3"/>
  <c r="AZ542" i="3"/>
  <c r="BA540" i="3"/>
  <c r="AZ540" i="3"/>
  <c r="BA538" i="3"/>
  <c r="AZ538" i="3"/>
  <c r="BA536" i="3"/>
  <c r="BA534" i="3"/>
  <c r="AZ534" i="3"/>
  <c r="BA532" i="3"/>
  <c r="BA530" i="3"/>
  <c r="BA528" i="3"/>
  <c r="AZ528" i="3"/>
  <c r="BA526" i="3"/>
  <c r="AZ526" i="3"/>
  <c r="BA524" i="3"/>
  <c r="BA522" i="3"/>
  <c r="AZ522" i="3"/>
  <c r="BA520" i="3"/>
  <c r="BA518" i="3"/>
  <c r="AZ518" i="3"/>
  <c r="BA516" i="3"/>
  <c r="BA514" i="3"/>
  <c r="BA512" i="3"/>
  <c r="AZ512" i="3"/>
  <c r="BA510" i="3"/>
  <c r="AZ510" i="3"/>
  <c r="BA508" i="3"/>
  <c r="BA506" i="3"/>
  <c r="BA504" i="3"/>
  <c r="AZ504" i="3"/>
  <c r="BA502" i="3"/>
  <c r="BA500" i="3"/>
  <c r="AZ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L549" i="3"/>
  <c r="AZ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AC5"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O27" i="31"/>
  <c r="O28" i="31"/>
  <c r="O26" i="31"/>
  <c r="M27" i="31"/>
  <c r="M28" i="31"/>
  <c r="M26" i="31"/>
  <c r="I26" i="31"/>
  <c r="I25" i="31"/>
  <c r="K26" i="31"/>
  <c r="I27" i="31"/>
  <c r="K27" i="31"/>
  <c r="I28" i="31"/>
  <c r="K28" i="31"/>
  <c r="S21" i="40"/>
  <c r="H25" i="21"/>
  <c r="U25" i="21"/>
  <c r="F25" i="21"/>
  <c r="S25" i="21"/>
  <c r="J25" i="21"/>
  <c r="AC25" i="21"/>
  <c r="E125" i="33"/>
  <c r="F125" i="33"/>
  <c r="H43" i="33"/>
  <c r="AB43" i="33"/>
  <c r="H17" i="37"/>
  <c r="U1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3" i="36"/>
  <c r="U35" i="35"/>
  <c r="AA12" i="35"/>
  <c r="W14" i="37"/>
  <c r="U33" i="37"/>
  <c r="U39" i="37"/>
  <c r="W26" i="37"/>
  <c r="AC8" i="37"/>
  <c r="AB37" i="34"/>
  <c r="AA13" i="33"/>
  <c r="AC45" i="33"/>
  <c r="W44" i="33"/>
  <c r="U11" i="33"/>
  <c r="U19" i="21"/>
  <c r="W44" i="21"/>
  <c r="U26" i="21"/>
  <c r="AC46" i="21"/>
  <c r="U12" i="21"/>
  <c r="AB38" i="21"/>
  <c r="F43" i="33"/>
  <c r="AA43" i="33"/>
  <c r="W16" i="35"/>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W35" i="40"/>
  <c r="A118" i="9"/>
  <c r="A4" i="52"/>
  <c r="B41" i="72"/>
  <c r="J11" i="39"/>
  <c r="W11" i="39"/>
  <c r="F11" i="39"/>
  <c r="AA11" i="39"/>
  <c r="A12" i="52"/>
  <c r="B56" i="72"/>
  <c r="S11" i="39"/>
  <c r="G4" i="4"/>
  <c r="I4" i="4"/>
  <c r="K5" i="4"/>
  <c r="B47" i="48"/>
  <c r="A2" i="9"/>
  <c r="N2" i="43"/>
  <c r="F59" i="43"/>
  <c r="AZ24" i="3"/>
  <c r="AZ32" i="3"/>
  <c r="AZ494" i="3"/>
  <c r="AZ502" i="3"/>
  <c r="AZ514" i="3"/>
  <c r="AZ530"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AZ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G153" i="3"/>
  <c r="BA155" i="3"/>
  <c r="AZ155" i="3"/>
  <c r="BL156" i="3"/>
  <c r="G157" i="3"/>
  <c r="BA159" i="3"/>
  <c r="AZ159" i="3"/>
  <c r="BL160" i="3"/>
  <c r="AZ160" i="3"/>
  <c r="G161" i="3"/>
  <c r="BA163" i="3"/>
  <c r="AZ163" i="3"/>
  <c r="BL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51" i="3"/>
  <c r="AZ55" i="3"/>
  <c r="AZ67" i="3"/>
  <c r="AZ71" i="3"/>
  <c r="AZ79" i="3"/>
  <c r="AZ83" i="3"/>
  <c r="AZ136" i="3"/>
  <c r="AZ144" i="3"/>
  <c r="AZ152" i="3"/>
  <c r="AZ85" i="3"/>
  <c r="AZ89"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BA382" i="3"/>
  <c r="BL382" i="3"/>
  <c r="G383" i="3"/>
  <c r="G386" i="3"/>
  <c r="BL387" i="3"/>
  <c r="BA389" i="3"/>
  <c r="AZ389" i="3"/>
  <c r="BA390" i="3"/>
  <c r="BL390" i="3"/>
  <c r="AZ390" i="3"/>
  <c r="G391" i="3"/>
  <c r="G394" i="3"/>
  <c r="AZ150" i="3"/>
  <c r="AZ158" i="3"/>
  <c r="AZ166"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14" i="3"/>
  <c r="AZ222" i="3"/>
  <c r="AZ303" i="3"/>
  <c r="AZ335" i="3"/>
  <c r="G342" i="3"/>
  <c r="BL345" i="3"/>
  <c r="AZ345" i="3"/>
  <c r="G346" i="3"/>
  <c r="BL349" i="3"/>
  <c r="BL352" i="3"/>
  <c r="G353" i="3"/>
  <c r="BA357" i="3"/>
  <c r="AZ357" i="3"/>
  <c r="BL358" i="3"/>
  <c r="AZ358" i="3"/>
  <c r="G359" i="3"/>
  <c r="BA361" i="3"/>
  <c r="AZ361" i="3"/>
  <c r="BL362" i="3"/>
  <c r="G363" i="3"/>
  <c r="BA365" i="3"/>
  <c r="AZ365" i="3"/>
  <c r="BL366" i="3"/>
  <c r="G367" i="3"/>
  <c r="BA369" i="3"/>
  <c r="AZ369" i="3"/>
  <c r="BL370" i="3"/>
  <c r="G371" i="3"/>
  <c r="BA373" i="3"/>
  <c r="AZ373" i="3"/>
  <c r="BL374" i="3"/>
  <c r="AZ374" i="3"/>
  <c r="G375" i="3"/>
  <c r="BA377" i="3"/>
  <c r="AZ377" i="3"/>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BM5" i="3"/>
  <c r="BH5" i="3"/>
  <c r="BD5" i="3"/>
  <c r="BQ5" i="3"/>
  <c r="AZ506" i="3"/>
  <c r="AZ496" i="3"/>
  <c r="G548" i="3"/>
  <c r="G538" i="3"/>
  <c r="G520" i="3"/>
  <c r="G502" i="3"/>
  <c r="BS5" i="3"/>
  <c r="BN5" i="3"/>
  <c r="AZ343" i="3"/>
  <c r="BK5" i="3"/>
  <c r="BI5" i="3"/>
  <c r="BG5" i="3"/>
  <c r="BE5" i="3"/>
  <c r="BC5" i="3"/>
  <c r="G17" i="3"/>
  <c r="BA17" i="3"/>
  <c r="BT5" i="3"/>
  <c r="AZ350" i="3"/>
  <c r="AZ352" i="3"/>
  <c r="AZ360" i="3"/>
  <c r="AZ368" i="3"/>
  <c r="BA15" i="3"/>
  <c r="BR5" i="3"/>
  <c r="AZ380" i="3"/>
  <c r="AZ384" i="3"/>
  <c r="AZ388" i="3"/>
  <c r="AZ392"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W37" i="37"/>
  <c r="S15" i="37"/>
  <c r="U13" i="37"/>
  <c r="U12" i="40"/>
  <c r="AA12" i="40"/>
  <c r="J37" i="33"/>
  <c r="W37" i="33"/>
  <c r="J34" i="33"/>
  <c r="W34" i="33"/>
  <c r="F33" i="34"/>
  <c r="S33" i="34"/>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40" i="34"/>
  <c r="S40" i="34"/>
  <c r="F43" i="34"/>
  <c r="AA43" i="34"/>
  <c r="H44" i="34"/>
  <c r="AB44" i="34"/>
  <c r="AC38" i="39"/>
  <c r="F39" i="39"/>
  <c r="S39" i="39"/>
  <c r="J39" i="39"/>
  <c r="AC39" i="39"/>
  <c r="E97" i="39"/>
  <c r="F97" i="39"/>
  <c r="G97" i="39"/>
  <c r="AZ353" i="3"/>
  <c r="C40" i="11"/>
  <c r="AZ223" i="3"/>
  <c r="AZ232" i="3"/>
  <c r="AZ235" i="3"/>
  <c r="AZ248" i="3"/>
  <c r="AZ251" i="3"/>
  <c r="AZ268" i="3"/>
  <c r="AZ271" i="3"/>
  <c r="AZ288" i="3"/>
  <c r="AZ296" i="3"/>
  <c r="AZ114" i="3"/>
  <c r="AZ130" i="3"/>
  <c r="AZ21" i="3"/>
  <c r="AZ37" i="3"/>
  <c r="AZ42" i="3"/>
  <c r="AZ53" i="3"/>
  <c r="AZ58" i="3"/>
  <c r="AZ69" i="3"/>
  <c r="AZ82" i="3"/>
  <c r="AZ110"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AB23" i="34"/>
  <c r="W37" i="34"/>
  <c r="H15" i="34"/>
  <c r="AB15" i="34"/>
  <c r="F15" i="34"/>
  <c r="F39" i="34"/>
  <c r="S39" i="34"/>
  <c r="W38" i="34"/>
  <c r="AC38" i="34"/>
  <c r="E114" i="34"/>
  <c r="F114" i="34"/>
  <c r="G114" i="34"/>
  <c r="H114" i="34"/>
  <c r="I114" i="34"/>
  <c r="J114" i="34"/>
  <c r="K114" i="34"/>
  <c r="L114" i="34"/>
  <c r="M114" i="34"/>
  <c r="F38" i="34"/>
  <c r="S38" i="34"/>
  <c r="J39" i="34"/>
  <c r="W39" i="34"/>
  <c r="E90" i="34"/>
  <c r="D18" i="31"/>
  <c r="J27" i="34"/>
  <c r="AC27" i="34"/>
  <c r="F25" i="34"/>
  <c r="S25" i="34"/>
  <c r="AC17" i="34"/>
  <c r="AB17" i="34"/>
  <c r="AC15" i="34"/>
  <c r="S9" i="34"/>
  <c r="AC44" i="34"/>
  <c r="AA41" i="34"/>
  <c r="AA38" i="34"/>
  <c r="AC36" i="34"/>
  <c r="AC28" i="34"/>
  <c r="AC30" i="34"/>
  <c r="H29" i="34"/>
  <c r="AB29" i="34"/>
  <c r="AC31" i="34"/>
  <c r="W31" i="34"/>
  <c r="U31" i="34"/>
  <c r="F31" i="34"/>
  <c r="S31" i="34"/>
  <c r="U13" i="34"/>
  <c r="AB13" i="34"/>
  <c r="F13" i="34"/>
  <c r="AA13" i="34"/>
  <c r="F29" i="6"/>
  <c r="C7" i="36"/>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c r="F12" i="34"/>
  <c r="J23" i="35"/>
  <c r="J36" i="35"/>
  <c r="H12" i="36"/>
  <c r="H24" i="36"/>
  <c r="AB24" i="36"/>
  <c r="BA551" i="3"/>
  <c r="BL550" i="3"/>
  <c r="BA550" i="3"/>
  <c r="BL548" i="3"/>
  <c r="AZ548" i="3"/>
  <c r="BL15" i="3"/>
  <c r="AZ15" i="3"/>
  <c r="AZ399" i="3"/>
  <c r="AZ403" i="3"/>
  <c r="AZ405" i="3"/>
  <c r="AZ406" i="3"/>
  <c r="AZ415" i="3"/>
  <c r="AZ419" i="3"/>
  <c r="AZ421" i="3"/>
  <c r="AZ422" i="3"/>
  <c r="AZ435" i="3"/>
  <c r="AZ438" i="3"/>
  <c r="AZ442" i="3"/>
  <c r="AZ451" i="3"/>
  <c r="AZ454" i="3"/>
  <c r="AZ458" i="3"/>
  <c r="AZ469" i="3"/>
  <c r="AZ487" i="3"/>
  <c r="AZ521" i="3"/>
  <c r="AZ581" i="3"/>
  <c r="BL586" i="3"/>
  <c r="AZ585" i="3"/>
  <c r="J25" i="37"/>
  <c r="H38" i="40"/>
  <c r="F40" i="40"/>
  <c r="G574" i="3"/>
  <c r="G558" i="3"/>
  <c r="C30" i="9"/>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AZ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G277" i="3"/>
  <c r="BL277" i="3"/>
  <c r="AZ277" i="3"/>
  <c r="BA278" i="3"/>
  <c r="AZ278" i="3"/>
  <c r="BA279" i="3"/>
  <c r="AZ279" i="3"/>
  <c r="BA280" i="3"/>
  <c r="AZ280" i="3"/>
  <c r="G283" i="3"/>
  <c r="G284" i="3"/>
  <c r="BL284" i="3"/>
  <c r="BA285" i="3"/>
  <c r="AZ285" i="3"/>
  <c r="BL287" i="3"/>
  <c r="AZ287" i="3"/>
  <c r="AZ270" i="3"/>
  <c r="AZ274" i="3"/>
  <c r="AZ284"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AZ177" i="3"/>
  <c r="AZ185" i="3"/>
  <c r="AZ201" i="3"/>
  <c r="AZ23" i="3"/>
  <c r="AZ70" i="3"/>
  <c r="L108" i="43"/>
  <c r="L100" i="43"/>
  <c r="BA168" i="3"/>
  <c r="AZ168" i="3"/>
  <c r="BL169" i="3"/>
  <c r="AZ169" i="3"/>
  <c r="G172" i="3"/>
  <c r="BL174" i="3"/>
  <c r="AZ174" i="3"/>
  <c r="BA176" i="3"/>
  <c r="AZ176" i="3"/>
  <c r="BL177" i="3"/>
  <c r="G180" i="3"/>
  <c r="BL182" i="3"/>
  <c r="AZ182" i="3"/>
  <c r="BA184" i="3"/>
  <c r="AZ184" i="3"/>
  <c r="BL185" i="3"/>
  <c r="G188" i="3"/>
  <c r="BL190" i="3"/>
  <c r="AZ190" i="3"/>
  <c r="BA192" i="3"/>
  <c r="AZ192" i="3"/>
  <c r="BL193" i="3"/>
  <c r="AZ193" i="3"/>
  <c r="G196" i="3"/>
  <c r="BL198" i="3"/>
  <c r="AZ198" i="3"/>
  <c r="BA200" i="3"/>
  <c r="AZ200" i="3"/>
  <c r="BL201" i="3"/>
  <c r="G204" i="3"/>
  <c r="G206" i="3"/>
  <c r="G207" i="3"/>
  <c r="BL207" i="3"/>
  <c r="AZ207" i="3"/>
  <c r="BA18" i="3"/>
  <c r="AZ18" i="3"/>
  <c r="BL20" i="3"/>
  <c r="AZ20" i="3"/>
  <c r="G23" i="3"/>
  <c r="BL23" i="3"/>
  <c r="G26" i="3"/>
  <c r="BL26" i="3"/>
  <c r="BA27" i="3"/>
  <c r="AZ27" i="3"/>
  <c r="BA28" i="3"/>
  <c r="AZ28" i="3"/>
  <c r="BA29" i="3"/>
  <c r="AZ29" i="3"/>
  <c r="BL31" i="3"/>
  <c r="AZ31"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AZ95" i="3"/>
  <c r="G95" i="3"/>
  <c r="BL95" i="3"/>
  <c r="BA96" i="3"/>
  <c r="AZ96" i="3"/>
  <c r="BA97" i="3"/>
  <c r="AZ97" i="3"/>
  <c r="G100" i="3"/>
  <c r="BL100" i="3"/>
  <c r="AZ100" i="3"/>
  <c r="BL102" i="3"/>
  <c r="AZ102" i="3"/>
  <c r="BA103" i="3"/>
  <c r="AZ103" i="3"/>
  <c r="BL105" i="3"/>
  <c r="AZ105" i="3"/>
  <c r="G107" i="3"/>
  <c r="BL107" i="3"/>
  <c r="G109" i="3"/>
  <c r="G110" i="3"/>
  <c r="G111" i="3"/>
  <c r="BL111" i="3"/>
  <c r="E59" i="43"/>
  <c r="B57" i="43"/>
  <c r="C24" i="43"/>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5" i="43"/>
  <c r="J107" i="43"/>
  <c r="J102" i="43"/>
  <c r="F107" i="43"/>
  <c r="F102" i="43"/>
  <c r="F106" i="43"/>
  <c r="C107" i="43"/>
  <c r="C105" i="43"/>
  <c r="C103" i="43"/>
  <c r="K102" i="43"/>
  <c r="G107"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5" i="43"/>
  <c r="C102" i="43"/>
  <c r="S2" i="43"/>
  <c r="F103" i="43"/>
  <c r="F105" i="43"/>
  <c r="J106" i="43"/>
  <c r="N107" i="43"/>
  <c r="E56" i="40"/>
  <c r="AR12" i="1"/>
  <c r="T12" i="1"/>
  <c r="AR10" i="1"/>
  <c r="T10"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c r="B8" i="49"/>
  <c r="E4" i="49"/>
  <c r="E11" i="49"/>
  <c r="M26" i="67"/>
  <c r="F40" i="15"/>
  <c r="F7" i="15"/>
  <c r="F38" i="67"/>
  <c r="F40" i="67"/>
  <c r="M22" i="67"/>
  <c r="M8" i="15"/>
  <c r="F16" i="15"/>
  <c r="M9" i="67"/>
  <c r="F37" i="15"/>
  <c r="J15" i="67"/>
  <c r="F26" i="67"/>
  <c r="L47" i="15"/>
  <c r="M23" i="15"/>
  <c r="M24" i="15"/>
  <c r="M6" i="15"/>
  <c r="M9" i="15"/>
  <c r="F8" i="15"/>
  <c r="F7" i="67"/>
  <c r="M6" i="67"/>
  <c r="M29" i="15"/>
  <c r="L48" i="67"/>
  <c r="L48" i="15"/>
  <c r="J15" i="15"/>
  <c r="F37" i="67"/>
  <c r="L47" i="67"/>
  <c r="G1" i="73"/>
  <c r="C76" i="15"/>
  <c r="M28" i="15"/>
  <c r="F43" i="15"/>
  <c r="M28" i="67"/>
  <c r="M26" i="15"/>
  <c r="F6" i="15"/>
  <c r="F42" i="15"/>
  <c r="F26" i="15"/>
  <c r="F36" i="67"/>
  <c r="F13" i="15"/>
  <c r="M22" i="15"/>
  <c r="F42" i="67"/>
  <c r="M8" i="67"/>
  <c r="F6" i="67"/>
  <c r="C76" i="67"/>
  <c r="F13" i="67"/>
  <c r="F9" i="15"/>
  <c r="F38" i="15"/>
  <c r="F43" i="67"/>
  <c r="F8" i="67"/>
  <c r="M29" i="67"/>
  <c r="F16" i="67"/>
  <c r="F9" i="67"/>
  <c r="M23" i="67"/>
  <c r="F36" i="15"/>
  <c r="M24" i="67"/>
  <c r="S15" i="34"/>
  <c r="AA15" i="34"/>
  <c r="F90" i="34"/>
  <c r="G90" i="34"/>
  <c r="H90" i="34"/>
  <c r="I90" i="34"/>
  <c r="J90" i="34"/>
  <c r="K90" i="34"/>
  <c r="L90" i="34"/>
  <c r="M90" i="34"/>
  <c r="E18" i="31"/>
  <c r="F27" i="34"/>
  <c r="H27" i="34"/>
  <c r="N109" i="43"/>
  <c r="K109" i="43"/>
  <c r="J109" i="43"/>
  <c r="N104" i="43"/>
  <c r="K106" i="43"/>
  <c r="G103" i="43"/>
  <c r="K104" i="43"/>
  <c r="K107" i="43"/>
  <c r="J103" i="43"/>
  <c r="N106" i="43"/>
  <c r="N103" i="43"/>
  <c r="E4" i="4"/>
  <c r="B5" i="62"/>
  <c r="B73" i="72"/>
  <c r="C7" i="43"/>
  <c r="AB38" i="40"/>
  <c r="U38" i="40"/>
  <c r="AC36" i="35"/>
  <c r="W36" i="35"/>
  <c r="S12" i="34"/>
  <c r="AA12" i="34"/>
  <c r="AA26" i="33"/>
  <c r="S26" i="33"/>
  <c r="AA40" i="40"/>
  <c r="S40" i="40"/>
  <c r="AC25" i="37"/>
  <c r="W25" i="37"/>
  <c r="U12" i="36"/>
  <c r="AB12" i="36"/>
  <c r="AC23" i="35"/>
  <c r="W23" i="35"/>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K16"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M19"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F27" i="69"/>
  <c r="H16" i="1"/>
  <c r="AB45" i="21"/>
  <c r="AC33" i="21"/>
  <c r="W33" i="21"/>
  <c r="S33" i="21"/>
  <c r="AA33" i="21"/>
  <c r="W32" i="21"/>
  <c r="AC32" i="21"/>
  <c r="AB9" i="21"/>
  <c r="U9" i="21"/>
  <c r="AA32" i="21"/>
  <c r="S32" i="21"/>
  <c r="W9" i="21"/>
  <c r="AC9" i="21"/>
  <c r="AB32" i="21"/>
  <c r="U32" i="21"/>
  <c r="AA10" i="21"/>
  <c r="S10" i="21"/>
  <c r="C36" i="69"/>
  <c r="F31" i="15"/>
  <c r="M17" i="67"/>
  <c r="F59" i="15"/>
  <c r="M17" i="15"/>
  <c r="F59" i="67"/>
  <c r="F31" i="67"/>
  <c r="C16" i="67"/>
  <c r="C17" i="15"/>
  <c r="C16" i="15"/>
  <c r="AB27" i="34"/>
  <c r="U27" i="34"/>
  <c r="Q30"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9" i="31"/>
  <c r="Q31"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4" i="31"/>
  <c r="Q328" i="31"/>
  <c r="Q332" i="31"/>
  <c r="Q336" i="31"/>
  <c r="Q340" i="31"/>
  <c r="Q344" i="31"/>
  <c r="Q348" i="31"/>
  <c r="Q352" i="31"/>
  <c r="Q356" i="31"/>
  <c r="Q360" i="31"/>
  <c r="Q364" i="31"/>
  <c r="Q368" i="31"/>
  <c r="Q372" i="31"/>
  <c r="Q376"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6" i="31"/>
  <c r="Q28" i="31"/>
  <c r="Q453" i="31"/>
  <c r="Q461" i="31"/>
  <c r="Q465" i="31"/>
  <c r="Q469" i="31"/>
  <c r="Q473" i="31"/>
  <c r="Q477" i="31"/>
  <c r="Q483" i="31"/>
  <c r="Q487" i="31"/>
  <c r="Q491" i="31"/>
  <c r="Q495" i="31"/>
  <c r="Q499" i="31"/>
  <c r="Q503" i="31"/>
  <c r="Q507" i="31"/>
  <c r="Q511" i="31"/>
  <c r="Q515" i="31"/>
  <c r="Q519" i="31"/>
  <c r="Q523" i="31"/>
  <c r="Q322" i="31"/>
  <c r="Q326" i="31"/>
  <c r="Q330" i="31"/>
  <c r="Q334" i="31"/>
  <c r="Q338" i="31"/>
  <c r="Q342" i="31"/>
  <c r="Q346" i="31"/>
  <c r="Q350" i="31"/>
  <c r="Q354" i="31"/>
  <c r="Q358" i="31"/>
  <c r="Q362" i="31"/>
  <c r="Q366" i="31"/>
  <c r="Q370" i="31"/>
  <c r="Q374" i="31"/>
  <c r="Q378"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5" i="31"/>
  <c r="Q457" i="31"/>
  <c r="Q459" i="31"/>
  <c r="Q463" i="31"/>
  <c r="Q467" i="31"/>
  <c r="Q471" i="31"/>
  <c r="Q475" i="31"/>
  <c r="Q479" i="31"/>
  <c r="Q481" i="31"/>
  <c r="Q485" i="31"/>
  <c r="Q489" i="31"/>
  <c r="Q493" i="31"/>
  <c r="Q497" i="31"/>
  <c r="Q501" i="31"/>
  <c r="Q505" i="31"/>
  <c r="Q509" i="31"/>
  <c r="Q513" i="31"/>
  <c r="Q517" i="31"/>
  <c r="Q521" i="31"/>
  <c r="Q25" i="31"/>
  <c r="Q27" i="31"/>
  <c r="Q43" i="31"/>
  <c r="Q39" i="31"/>
  <c r="Q35" i="31"/>
  <c r="Q42" i="31"/>
  <c r="Q38" i="31"/>
  <c r="Q34" i="31"/>
  <c r="AA27" i="34"/>
  <c r="S27" i="34"/>
  <c r="Q41" i="31"/>
  <c r="Q37" i="31"/>
  <c r="Q33" i="31"/>
  <c r="Q40" i="31"/>
  <c r="Q36" i="31"/>
  <c r="Q32" i="31"/>
  <c r="M20" i="6"/>
  <c r="I20" i="6"/>
  <c r="AQ7" i="1"/>
  <c r="E3" i="6"/>
  <c r="K4" i="4"/>
  <c r="B46" i="48"/>
  <c r="B4" i="72"/>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AB7" i="36"/>
  <c r="T36" i="36"/>
  <c r="C23" i="68"/>
  <c r="C38" i="15"/>
  <c r="E38" i="43"/>
  <c r="E6" i="3"/>
  <c r="C47" i="68"/>
  <c r="D45" i="68"/>
  <c r="AA10" i="39"/>
  <c r="D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AA7" i="34"/>
  <c r="R49" i="34"/>
  <c r="C34" i="11"/>
  <c r="C35"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14" i="12"/>
  <c r="C23" i="12"/>
  <c r="E6" i="76"/>
  <c r="C38" i="11"/>
  <c r="C33" i="11"/>
  <c r="C42" i="11"/>
  <c r="R50" i="34"/>
  <c r="E49" i="34"/>
  <c r="E54" i="34"/>
  <c r="F54" i="34"/>
  <c r="D31" i="6"/>
  <c r="I6" i="6"/>
  <c r="E2" i="7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G52" i="21"/>
  <c r="H52" i="21"/>
  <c r="G53" i="21"/>
  <c r="H53" i="21"/>
  <c r="E53" i="21"/>
  <c r="F53" i="21"/>
  <c r="C49" i="34"/>
  <c r="R24" i="31"/>
  <c r="C50" i="34"/>
  <c r="H63" i="40"/>
  <c r="G65" i="40"/>
  <c r="H70" i="39"/>
  <c r="B6" i="76"/>
  <c r="F35" i="15"/>
  <c r="M21" i="15"/>
  <c r="M21" i="67"/>
  <c r="F35" i="67"/>
  <c r="I54" i="34"/>
  <c r="J54" i="34"/>
  <c r="E53" i="34"/>
  <c r="F53" i="34"/>
  <c r="S24" i="31"/>
  <c r="R44" i="31"/>
  <c r="S44" i="31"/>
  <c r="R40" i="31"/>
  <c r="S40" i="31"/>
  <c r="R36" i="31"/>
  <c r="S36" i="31"/>
  <c r="R32" i="31"/>
  <c r="S32" i="31"/>
  <c r="R28" i="31"/>
  <c r="S28" i="31"/>
  <c r="R43" i="31"/>
  <c r="S43" i="31"/>
  <c r="R39" i="31"/>
  <c r="S39" i="31"/>
  <c r="R35" i="31"/>
  <c r="S35" i="31"/>
  <c r="R31" i="31"/>
  <c r="S31" i="31"/>
  <c r="R27" i="31"/>
  <c r="S27" i="31"/>
  <c r="R42" i="31"/>
  <c r="S42" i="31"/>
  <c r="R38" i="31"/>
  <c r="S38" i="31"/>
  <c r="R34" i="31"/>
  <c r="S34" i="31"/>
  <c r="R30" i="31"/>
  <c r="S30" i="31"/>
  <c r="R26" i="31"/>
  <c r="S26" i="31"/>
  <c r="R41" i="31"/>
  <c r="S41" i="31"/>
  <c r="R37" i="31"/>
  <c r="S37" i="31"/>
  <c r="R33" i="31"/>
  <c r="S33" i="31"/>
  <c r="R29" i="31"/>
  <c r="S29" i="31"/>
  <c r="R25" i="31"/>
  <c r="S25" i="31"/>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S22" i="31"/>
  <c r="R22" i="31"/>
  <c r="B21" i="31"/>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AE6" i="1"/>
  <c r="C66" i="15"/>
  <c r="C60" i="15"/>
  <c r="C59" i="15"/>
  <c r="AG6" i="1"/>
  <c r="C80" i="15"/>
  <c r="C79" i="15"/>
  <c r="C65" i="15"/>
  <c r="Q68" i="15"/>
  <c r="L57" i="15"/>
  <c r="L60" i="15"/>
  <c r="Q67" i="15"/>
  <c r="M27" i="67"/>
  <c r="F41" i="15"/>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E2" i="69"/>
  <c r="AO8" i="1"/>
  <c r="B8" i="70"/>
  <c r="B7" i="70"/>
  <c r="B6" i="70"/>
  <c r="C46" i="15"/>
  <c r="B2" i="69"/>
  <c r="B3" i="69"/>
  <c r="B2" i="68"/>
  <c r="B3" i="67"/>
  <c r="E2" i="68"/>
  <c r="D2" i="36"/>
  <c r="F20" i="31"/>
  <c r="D2" i="35"/>
  <c r="D2" i="21"/>
  <c r="D2" i="33"/>
  <c r="D2" i="37"/>
  <c r="D2" i="34"/>
  <c r="B20" i="31"/>
  <c r="B2" i="36"/>
  <c r="B3" i="36"/>
  <c r="B2" i="35"/>
  <c r="B3" i="35"/>
  <c r="B2" i="37"/>
  <c r="B3" i="37"/>
  <c r="B2" i="34"/>
  <c r="B3" i="34"/>
  <c r="B2" i="21"/>
  <c r="B3" i="21"/>
  <c r="B2" i="70"/>
  <c r="B3" i="70"/>
  <c r="B3" i="68"/>
  <c r="D19" i="9"/>
  <c r="D20" i="9"/>
  <c r="C19" i="9"/>
  <c r="C20" i="9"/>
  <c r="C21" i="9"/>
  <c r="C102"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D19" i="53"/>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张芳向 Netboy</author>
  </authors>
  <commentList>
    <comment ref="C13" authorId="0" shapeId="0">
      <text>
        <r>
          <rPr>
            <sz val="9"/>
            <color indexed="81"/>
            <rFont val="宋体"/>
            <family val="3"/>
            <charset val="134"/>
          </rPr>
          <t>变更名称，原名称：浙江东阳新媒诚品文化传媒股份有限公司</t>
        </r>
      </text>
    </comment>
    <comment ref="C17" authorId="0" shapeId="0">
      <text>
        <r>
          <rPr>
            <sz val="9"/>
            <color indexed="81"/>
            <rFont val="宋体"/>
            <family val="3"/>
            <charset val="134"/>
          </rPr>
          <t>原名称：北京金元健康科技有限公司</t>
        </r>
      </text>
    </comment>
    <comment ref="I20" authorId="0" shapeId="0">
      <text>
        <r>
          <rPr>
            <sz val="9"/>
            <color indexed="81"/>
            <rFont val="宋体"/>
            <family val="3"/>
            <charset val="134"/>
          </rPr>
          <t>2016.5.20-2018.5.19  4254410.8元
2018.5.20-2020.5.19  4467131.34元</t>
        </r>
      </text>
    </comment>
    <comment ref="C21" authorId="0" shapeId="0">
      <text>
        <r>
          <rPr>
            <b/>
            <sz val="9"/>
            <color indexed="81"/>
            <rFont val="宋体"/>
            <family val="3"/>
            <charset val="134"/>
          </rPr>
          <t>原名称：
北京盛世今鸣广告有限公司</t>
        </r>
        <r>
          <rPr>
            <sz val="9"/>
            <color indexed="81"/>
            <rFont val="宋体"/>
            <family val="3"/>
            <charset val="134"/>
          </rPr>
          <t xml:space="preserve">
</t>
        </r>
      </text>
    </comment>
    <comment ref="H24" authorId="1" shapeId="0">
      <text>
        <r>
          <rPr>
            <sz val="9"/>
            <rFont val="宋体"/>
            <family val="3"/>
            <charset val="134"/>
          </rPr>
          <t>第二个租赁期满后，乙方如需继续续租，应在期满前提前6个月书面通知；续租租金由双方按照当时市场租金价格另行协商确定，租金的调整幅度最高不得超过正负20%（注：头一个10年租赁期（2006.6.2-2016.6.1），每月的总租金为人民币76万元，年租金912万元）</t>
        </r>
      </text>
    </comment>
    <comment ref="O24" authorId="1" shapeId="0">
      <text>
        <r>
          <rPr>
            <sz val="9"/>
            <rFont val="宋体"/>
            <family val="3"/>
            <charset val="134"/>
          </rPr>
          <t>按月付入出租方指定的国内账户，每月的前五个工作日内缴付。</t>
        </r>
      </text>
    </comment>
    <comment ref="H26" authorId="1" shapeId="0">
      <text>
        <r>
          <rPr>
            <sz val="9"/>
            <rFont val="宋体"/>
            <family val="3"/>
            <charset val="134"/>
          </rPr>
          <t>年租金=实际建造成本*11%=128409891.37*11%=14125088.05元，3个月租金3531272.01元，月租金1177090.67元</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<sst xmlns="http://schemas.openxmlformats.org/spreadsheetml/2006/main" count="8110" uniqueCount="3419">
  <si>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</si>
  <si>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</si>
  <si>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</si>
  <si>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</si>
  <si>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</si>
  <si>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</si>
  <si>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</si>
  <si>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</si>
  <si>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</si>
  <si>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</si>
  <si>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</si>
  <si>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</si>
  <si>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</si>
  <si>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</si>
  <si>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</si>
  <si>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</si>
  <si>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</si>
  <si>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</si>
  <si>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</si>
  <si>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</si>
  <si>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</si>
  <si>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</si>
  <si>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</si>
  <si>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</si>
  <si>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</si>
  <si>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</si>
  <si>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</si>
  <si>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</si>
  <si>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</si>
  <si>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</si>
  <si>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</si>
  <si>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</si>
  <si>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</si>
  <si>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</si>
  <si>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</si>
  <si>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</si>
  <si>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</si>
  <si>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</si>
  <si>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</si>
  <si>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</si>
  <si>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</si>
  <si>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</si>
  <si>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</si>
  <si>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</si>
  <si>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</si>
  <si>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</si>
  <si>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</si>
  <si>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</si>
  <si>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</si>
  <si>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</si>
  <si>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</si>
  <si>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</si>
  <si>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</si>
  <si>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</si>
  <si>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</si>
  <si>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</si>
  <si>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</si>
  <si>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</si>
  <si>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</si>
  <si>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</si>
  <si>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</si>
  <si>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</si>
  <si>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</si>
  <si>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</si>
  <si>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</si>
  <si>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</si>
  <si>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</si>
  <si>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</si>
  <si>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</si>
  <si>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</si>
  <si>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</si>
  <si>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</si>
  <si>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</si>
  <si>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</si>
  <si>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</si>
  <si>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</si>
  <si>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</si>
  <si>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</si>
  <si>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</si>
  <si>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</si>
  <si>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</si>
  <si>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</si>
  <si>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</si>
  <si>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</si>
  <si>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</si>
  <si>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</si>
  <si>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</si>
  <si>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</si>
  <si>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</si>
  <si>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</si>
  <si>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</si>
  <si>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</si>
  <si>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</si>
  <si>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</si>
  <si>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</si>
  <si>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</si>
  <si>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</si>
  <si>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</si>
  <si>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</si>
  <si>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</si>
  <si>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</si>
  <si>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</si>
  <si>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</si>
  <si>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</si>
  <si>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</si>
  <si>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</si>
  <si>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</si>
  <si>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</si>
  <si>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</si>
  <si>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</si>
  <si>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</si>
  <si>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</si>
  <si>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</si>
  <si>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</si>
  <si>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</si>
  <si>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</si>
  <si>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</si>
  <si>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</si>
  <si>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</si>
  <si>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</si>
  <si>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</si>
  <si>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</si>
  <si>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</si>
  <si>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</si>
  <si>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</si>
  <si>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</si>
  <si>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</si>
  <si>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</si>
  <si>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</si>
  <si>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</si>
  <si>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</si>
  <si>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</si>
  <si>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</si>
  <si>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</si>
  <si>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</si>
  <si>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</si>
  <si>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</si>
  <si>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</si>
  <si>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</si>
  <si>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</si>
  <si>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</si>
  <si>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</si>
  <si>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</si>
  <si>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</si>
  <si>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</si>
  <si>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</si>
  <si>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</si>
  <si>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</si>
  <si>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</si>
  <si>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</si>
  <si>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</si>
  <si>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</si>
  <si>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</si>
  <si>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</si>
  <si>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</si>
  <si>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</si>
  <si>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</si>
  <si>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</si>
  <si>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</si>
  <si>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</si>
  <si>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</si>
  <si>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</si>
  <si>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</si>
  <si>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</si>
  <si>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</si>
  <si>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</si>
  <si>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</si>
  <si>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</si>
  <si>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</si>
  <si>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</si>
  <si>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</si>
  <si>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</si>
  <si>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</si>
  <si>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</si>
  <si>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</si>
  <si>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</si>
  <si>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</si>
  <si>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</si>
  <si>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</si>
  <si>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</si>
  <si>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</si>
  <si>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</si>
  <si>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</si>
  <si>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</si>
  <si>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</si>
  <si>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</si>
  <si>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</si>
  <si>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</si>
  <si>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</si>
  <si>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</si>
  <si>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</si>
  <si>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</si>
  <si>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</si>
  <si>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</si>
  <si>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</si>
  <si>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</si>
  <si>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</si>
  <si>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</si>
  <si>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</si>
  <si>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</si>
  <si>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</si>
  <si>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</si>
  <si>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</si>
  <si>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</si>
  <si>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</si>
  <si>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</si>
  <si>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</si>
  <si>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</si>
  <si>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</si>
  <si>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</si>
  <si>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</si>
  <si>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</si>
  <si>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</si>
  <si>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</si>
  <si>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</si>
  <si>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</si>
  <si>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</si>
  <si>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</si>
  <si>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</si>
  <si>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</si>
  <si>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</si>
  <si>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</si>
  <si>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</si>
  <si>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</si>
  <si>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</si>
  <si>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</si>
  <si>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</si>
  <si>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</si>
  <si>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</si>
  <si>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</si>
  <si>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</si>
  <si>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</si>
  <si>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</si>
  <si>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</si>
  <si>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</si>
  <si>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</si>
  <si>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</si>
  <si>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</si>
  <si>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</si>
  <si>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</si>
  <si>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</si>
  <si>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</si>
  <si>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</si>
  <si>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</si>
  <si>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</si>
  <si>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</si>
  <si>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</si>
  <si>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</si>
  <si>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</si>
  <si>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</si>
  <si>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</si>
  <si>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</si>
  <si>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</si>
  <si>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</si>
  <si>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</si>
  <si>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</si>
  <si>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</si>
  <si>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</si>
  <si>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</si>
  <si>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</si>
  <si>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</si>
  <si>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</si>
  <si>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</si>
  <si>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</si>
  <si>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</si>
  <si>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</si>
  <si>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</si>
  <si>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</si>
  <si>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</si>
  <si>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</si>
  <si>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</si>
  <si>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</si>
  <si>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</si>
  <si>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</si>
  <si>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</si>
  <si>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</si>
  <si>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</si>
  <si>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</si>
  <si>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</si>
  <si>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</si>
  <si>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</si>
  <si>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</si>
  <si>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</si>
  <si>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</si>
  <si>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</si>
  <si>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</si>
  <si>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</si>
  <si>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</si>
  <si>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</si>
  <si>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</si>
  <si>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</si>
  <si>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</si>
  <si>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</si>
  <si>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</si>
  <si>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</si>
  <si>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</si>
  <si>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</si>
  <si>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</si>
  <si>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</si>
  <si>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</si>
  <si>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</si>
  <si>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</si>
  <si>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</si>
  <si>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</si>
  <si>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</si>
  <si>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</si>
  <si>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</si>
  <si>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</si>
  <si>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</si>
  <si>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</si>
  <si>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</si>
  <si>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</si>
  <si>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</si>
  <si>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</si>
  <si>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</si>
  <si>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</si>
  <si>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</si>
  <si>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</si>
  <si>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</si>
  <si>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</si>
  <si>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</si>
  <si>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</si>
  <si>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</si>
  <si>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</si>
  <si>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</si>
  <si>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</si>
  <si>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</si>
  <si>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</si>
  <si>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</si>
  <si>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</si>
  <si>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</si>
  <si>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</si>
  <si>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</si>
  <si>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</si>
  <si>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</si>
  <si>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</si>
  <si>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</si>
  <si>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</si>
  <si>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</si>
  <si>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</si>
  <si>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</si>
  <si>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</si>
  <si>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</si>
  <si>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</si>
  <si>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</si>
  <si>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</si>
  <si>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</si>
  <si>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</si>
  <si>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</si>
  <si>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</si>
  <si>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</si>
  <si>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</si>
  <si>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</si>
  <si>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</si>
  <si>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</si>
  <si>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</si>
  <si>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</si>
  <si>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</si>
  <si>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</si>
  <si>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</si>
  <si>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</si>
  <si>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</si>
  <si>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</si>
  <si>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</si>
  <si>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</si>
  <si>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</si>
  <si>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</si>
  <si>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</si>
  <si>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</si>
  <si>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</si>
  <si>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</si>
  <si>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</si>
  <si>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</si>
  <si>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</si>
  <si>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</si>
  <si>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</si>
  <si>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</si>
  <si>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</si>
  <si>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</si>
  <si>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</si>
  <si>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</si>
  <si>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</si>
  <si>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</si>
  <si>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</si>
  <si>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</si>
  <si>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</si>
  <si>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</si>
  <si>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</si>
  <si>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</si>
  <si>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</si>
  <si>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</si>
  <si>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</si>
  <si>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</si>
  <si>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</si>
  <si>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</si>
  <si>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</si>
  <si>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</si>
  <si>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</si>
  <si>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</si>
  <si>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</si>
  <si>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</si>
  <si>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</si>
  <si>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</si>
  <si>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</si>
  <si>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</si>
  <si>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</si>
  <si>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</si>
  <si>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</si>
  <si>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</si>
  <si>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</si>
  <si>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</si>
  <si>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</si>
  <si>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</si>
  <si>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</si>
  <si>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</si>
  <si>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</si>
  <si>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</si>
  <si>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</si>
  <si>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</si>
  <si>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</si>
  <si>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</si>
  <si>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</si>
  <si>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</si>
  <si>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</si>
  <si>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</si>
  <si>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</si>
  <si>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</si>
  <si>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</si>
  <si>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</si>
  <si>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</si>
  <si>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</si>
  <si>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</si>
  <si>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</si>
  <si>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</si>
  <si>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</si>
  <si>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</si>
  <si>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</si>
  <si>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</si>
  <si>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</si>
  <si>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</si>
  <si>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</si>
  <si>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</si>
  <si>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</si>
  <si>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</si>
  <si>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</si>
  <si>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</si>
  <si>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</si>
  <si>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</si>
  <si>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</si>
  <si>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</si>
  <si>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</si>
  <si>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</si>
  <si>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</si>
  <si>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</si>
  <si>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</si>
  <si>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</si>
  <si>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</si>
  <si>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</si>
  <si>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</si>
  <si>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</si>
  <si>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</si>
  <si>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</si>
  <si>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</si>
  <si>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</si>
  <si>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</si>
  <si>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</si>
  <si>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</si>
  <si>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</si>
  <si>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</si>
  <si>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</si>
  <si>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</si>
  <si>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</si>
  <si>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</si>
  <si>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</si>
  <si>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</si>
  <si>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</si>
  <si>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</si>
  <si>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</si>
  <si>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</si>
  <si>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</si>
  <si>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</si>
  <si>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</si>
  <si>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</si>
  <si>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</si>
  <si>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</si>
  <si>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</si>
  <si>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</si>
  <si>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</si>
  <si>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</si>
  <si>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</si>
  <si>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</si>
  <si>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</si>
  <si>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</si>
  <si>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</si>
  <si>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</si>
  <si>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</si>
  <si>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</si>
  <si>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</si>
  <si>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</si>
  <si>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</si>
  <si>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</si>
  <si>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</si>
  <si>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</si>
  <si>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</si>
  <si>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</si>
  <si>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</si>
  <si>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</si>
  <si>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</si>
  <si>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</si>
  <si>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</si>
  <si>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</si>
  <si>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</si>
  <si>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</si>
  <si>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</si>
  <si>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</si>
  <si>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</si>
  <si>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</si>
  <si>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</si>
  <si>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</si>
  <si>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</si>
  <si>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</si>
  <si>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</si>
  <si>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</si>
  <si>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</si>
  <si>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</si>
  <si>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</si>
  <si>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</si>
  <si>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</si>
  <si>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</si>
  <si>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</si>
  <si>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</si>
  <si>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</si>
  <si>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</si>
  <si>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</si>
  <si>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</si>
  <si>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</si>
  <si>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</si>
  <si>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</si>
  <si>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</si>
  <si>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</si>
  <si>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</si>
  <si>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</si>
  <si>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</si>
  <si>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</si>
  <si>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</si>
  <si>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</si>
  <si>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</si>
  <si>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</si>
  <si>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</si>
  <si>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</si>
  <si>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</si>
  <si>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</si>
  <si>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</si>
  <si>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</si>
  <si>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</si>
  <si>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</si>
  <si>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</si>
  <si>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</si>
  <si>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</si>
  <si>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</si>
  <si>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</si>
  <si>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</si>
  <si>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</si>
  <si>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</si>
  <si>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</si>
  <si>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</si>
  <si>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</si>
  <si>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</si>
  <si>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</si>
  <si>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</si>
  <si>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</si>
  <si>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</si>
  <si>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</si>
  <si>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</si>
  <si>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</si>
  <si>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</si>
  <si>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</si>
  <si>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</si>
  <si>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</si>
  <si>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</si>
  <si>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</si>
  <si>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</si>
  <si>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</si>
  <si>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</si>
  <si>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</si>
  <si>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</si>
  <si>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</si>
  <si>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</si>
  <si>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</si>
  <si>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</si>
  <si>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</si>
  <si>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</si>
  <si>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</si>
  <si>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</si>
  <si>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</si>
  <si>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</si>
  <si>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</si>
  <si>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</si>
  <si>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</si>
  <si>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</si>
  <si>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</si>
  <si>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</si>
  <si>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</si>
  <si>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</si>
  <si>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</si>
  <si>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</si>
  <si>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</si>
  <si>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</si>
  <si>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</si>
  <si>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</si>
  <si>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</si>
  <si>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</si>
  <si>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</si>
  <si>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</si>
  <si>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</si>
  <si>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</si>
  <si>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</si>
  <si>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</si>
  <si>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</si>
  <si>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</si>
  <si>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</si>
  <si>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</si>
  <si>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</si>
  <si>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</si>
  <si>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</si>
  <si>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</si>
  <si>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</si>
  <si>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</si>
  <si>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</si>
  <si>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</si>
  <si>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</si>
  <si>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</si>
  <si>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</si>
  <si>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</si>
  <si>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</si>
  <si>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</si>
  <si>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</si>
  <si>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</si>
  <si>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</si>
  <si>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</si>
  <si>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</si>
  <si>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</si>
  <si>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</si>
  <si>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</si>
  <si>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</si>
  <si>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</si>
  <si>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</si>
  <si>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</si>
  <si>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</si>
  <si>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</si>
  <si>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</si>
  <si>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</si>
  <si>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</si>
  <si>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</si>
  <si>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</si>
  <si>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</si>
  <si>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</si>
  <si>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</si>
  <si>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</si>
  <si>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</si>
  <si>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</si>
  <si>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</si>
  <si>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</si>
  <si>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</si>
  <si>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</si>
  <si>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</si>
  <si>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</si>
  <si>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</si>
  <si>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</si>
  <si>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</si>
  <si>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</si>
  <si>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</si>
  <si>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</si>
  <si>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</si>
  <si>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</si>
  <si>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</si>
  <si>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</si>
  <si>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</si>
  <si>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</si>
  <si>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</si>
  <si>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</si>
  <si>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</si>
  <si>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</si>
  <si>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</si>
  <si>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</si>
  <si>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</si>
  <si>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</si>
  <si>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</si>
  <si>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</si>
  <si>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</si>
  <si>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</si>
  <si>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</si>
  <si>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</si>
  <si>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</si>
  <si>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</si>
  <si>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</si>
  <si>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</si>
  <si>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</si>
  <si>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</si>
  <si>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</si>
  <si>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</si>
  <si>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</si>
  <si>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</si>
  <si>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</si>
  <si>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</si>
  <si>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</si>
  <si>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</si>
  <si>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</si>
  <si>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</si>
  <si>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</si>
  <si>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</si>
  <si>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</si>
  <si>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</si>
  <si>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</si>
  <si>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</si>
  <si>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</si>
  <si>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</si>
  <si>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</si>
  <si>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</si>
  <si>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</si>
  <si>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</si>
  <si>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</si>
  <si>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</si>
  <si>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</si>
  <si>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</si>
  <si>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</si>
  <si>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</si>
  <si>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</si>
  <si>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</si>
  <si>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</si>
  <si>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</si>
  <si>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</si>
  <si>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</si>
  <si>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</si>
  <si>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</si>
  <si>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</si>
  <si>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</si>
  <si>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</si>
  <si>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</si>
  <si>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</si>
  <si>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</si>
  <si>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</si>
  <si>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</si>
  <si>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</si>
  <si>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</si>
  <si>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</si>
  <si>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</si>
  <si>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</si>
  <si>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</si>
  <si>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</si>
  <si>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</si>
  <si>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</si>
  <si>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</si>
  <si>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</si>
  <si>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</si>
  <si>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</si>
  <si>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</si>
  <si>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</si>
  <si>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</si>
  <si>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</si>
  <si>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</si>
  <si>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</si>
  <si>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</si>
  <si>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</si>
  <si>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</si>
  <si>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</si>
  <si>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</si>
  <si>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</si>
  <si>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</si>
  <si>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</si>
  <si>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</si>
  <si>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</si>
  <si>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</si>
  <si>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</si>
  <si>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</si>
  <si>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</si>
  <si>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</si>
  <si>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</si>
  <si>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</si>
  <si>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</si>
  <si>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</si>
  <si>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</si>
  <si>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</si>
  <si>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</si>
  <si>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</si>
  <si>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</si>
  <si>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</si>
  <si>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</si>
  <si>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</si>
  <si>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</si>
  <si>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</si>
  <si>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</si>
  <si>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</si>
  <si>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</si>
  <si>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</si>
  <si>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</si>
  <si>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</si>
  <si>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</si>
  <si>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</si>
  <si>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</si>
  <si>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</si>
  <si>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</si>
  <si>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</si>
  <si>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</si>
  <si>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</si>
  <si>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</si>
  <si>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</si>
  <si>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</si>
  <si>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</si>
  <si>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</si>
  <si>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</si>
  <si>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</si>
  <si>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</si>
  <si>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</si>
  <si>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</si>
  <si>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</si>
  <si>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</si>
  <si>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</si>
  <si>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</si>
  <si>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</si>
  <si>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</si>
  <si>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</si>
  <si>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</si>
  <si>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</si>
  <si>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</si>
  <si>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</si>
  <si>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</si>
  <si>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</si>
  <si>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</si>
  <si>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</si>
  <si>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</si>
  <si>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</si>
  <si>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</si>
  <si>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</si>
  <si>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</si>
  <si>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</si>
  <si>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</si>
  <si>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</si>
  <si>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</si>
  <si>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</si>
  <si>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</si>
  <si>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</si>
  <si>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</si>
  <si>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</si>
  <si>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</si>
  <si>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</si>
  <si>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</si>
  <si>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</si>
  <si>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</si>
  <si>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</si>
  <si>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</si>
  <si>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</si>
  <si>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</si>
  <si>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</si>
  <si>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</si>
  <si>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</si>
  <si>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</si>
  <si>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</si>
  <si>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</si>
  <si>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</si>
  <si>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</si>
  <si>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</si>
  <si>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</si>
  <si>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</si>
  <si>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</si>
  <si>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</si>
  <si>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</si>
  <si>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</si>
  <si>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</si>
  <si>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</si>
  <si>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</si>
  <si>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</si>
  <si>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</si>
  <si>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</si>
  <si>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</si>
  <si>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</si>
  <si>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</si>
  <si>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</si>
  <si>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</si>
  <si>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</si>
  <si>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</si>
  <si>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</si>
  <si>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</si>
  <si>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</si>
  <si>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</si>
  <si>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</si>
  <si>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</si>
  <si>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</si>
  <si>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</si>
  <si>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</si>
  <si>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</si>
  <si>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</si>
  <si>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</si>
  <si>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</si>
  <si>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</si>
  <si>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</si>
  <si>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</si>
  <si>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</si>
  <si>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</si>
  <si>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</si>
  <si>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</si>
  <si>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</si>
  <si>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</si>
  <si>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</si>
  <si>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</si>
  <si>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</si>
  <si>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</si>
  <si>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</si>
  <si>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</si>
  <si>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</si>
  <si>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</si>
  <si>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</si>
  <si>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</si>
  <si>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</si>
  <si>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</si>
  <si>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</si>
  <si>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</si>
  <si>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</si>
  <si>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</si>
  <si>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</si>
  <si>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</si>
  <si>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</si>
  <si>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</si>
  <si>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</si>
  <si>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</si>
  <si>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</si>
  <si>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</si>
  <si>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</si>
  <si>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</si>
  <si>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</si>
  <si>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</si>
  <si>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</si>
  <si>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</si>
  <si>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</si>
  <si>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</si>
  <si>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</si>
  <si>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</si>
  <si>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</si>
  <si>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</si>
  <si>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</si>
  <si>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</si>
  <si>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</si>
  <si>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</si>
  <si>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</si>
  <si>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</si>
  <si>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</si>
  <si>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</si>
  <si>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</si>
  <si>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</si>
  <si>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</si>
  <si>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</si>
  <si>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</si>
  <si>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</si>
  <si>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</si>
  <si>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</si>
  <si>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</si>
  <si>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</si>
  <si>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</si>
  <si>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</si>
  <si>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</si>
  <si>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</si>
  <si>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</si>
  <si>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</si>
  <si>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</si>
  <si>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</si>
  <si>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</si>
  <si>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</si>
  <si>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</si>
  <si>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</si>
  <si>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</si>
  <si>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</si>
  <si>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</si>
  <si>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</si>
  <si>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</si>
  <si>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</si>
  <si>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</si>
  <si>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</si>
  <si>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</si>
  <si>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</si>
  <si>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</si>
  <si>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</si>
  <si>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</si>
  <si>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</si>
  <si>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</si>
  <si>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</si>
  <si>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</si>
  <si>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</si>
  <si>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</si>
  <si>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</si>
  <si>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</si>
  <si>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</si>
  <si>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</si>
  <si>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</si>
  <si>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</si>
  <si>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</si>
  <si>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</si>
  <si>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</si>
  <si>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</si>
  <si>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</si>
  <si>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</si>
  <si>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</si>
  <si>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</si>
  <si>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</si>
  <si>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</si>
  <si>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</si>
  <si>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</si>
  <si>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</si>
  <si>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</si>
  <si>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</si>
  <si>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</si>
  <si>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</si>
  <si>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</si>
  <si>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</si>
  <si>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</si>
  <si>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</si>
  <si>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</si>
  <si>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</si>
  <si>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</si>
  <si>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</si>
  <si>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</si>
  <si>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</si>
  <si>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</si>
  <si>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</si>
  <si>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</si>
  <si>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</si>
  <si>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</si>
  <si>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</si>
  <si>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</si>
  <si>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</si>
  <si>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</si>
  <si>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</si>
  <si>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</si>
  <si>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</si>
  <si>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</si>
  <si>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</si>
  <si>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</si>
  <si>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</si>
  <si>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</si>
  <si>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</si>
  <si>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</si>
  <si>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</si>
  <si>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</si>
  <si>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</si>
  <si>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</si>
  <si>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</si>
  <si>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</si>
  <si>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</si>
  <si>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</si>
  <si>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</si>
  <si>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</si>
  <si>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</si>
  <si>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</si>
  <si>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</si>
  <si>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</si>
  <si>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</si>
  <si>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</si>
  <si>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</si>
  <si>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</si>
  <si>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</si>
  <si>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</si>
  <si>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</si>
  <si>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</si>
  <si>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</si>
  <si>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</si>
  <si>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</si>
  <si>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</si>
  <si>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</si>
  <si>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</si>
  <si>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</si>
  <si>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</si>
  <si>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</si>
  <si>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</si>
  <si>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</si>
  <si>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</si>
  <si>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</si>
  <si>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</si>
  <si>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</si>
  <si>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</si>
  <si>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</si>
  <si>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</si>
  <si>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</si>
  <si>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</si>
  <si>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</si>
  <si>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</si>
  <si>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</si>
  <si>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</si>
  <si>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</si>
  <si>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</si>
  <si>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</si>
  <si>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</si>
  <si>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</si>
  <si>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</si>
  <si>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</si>
  <si>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</si>
  <si>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</si>
  <si>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</si>
  <si>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</si>
  <si>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</si>
  <si>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</si>
  <si>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</si>
  <si>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</si>
  <si>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</si>
  <si>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</si>
  <si>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</si>
  <si>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</si>
  <si>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</si>
  <si>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</si>
  <si>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</si>
  <si>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</si>
  <si>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</si>
  <si>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</si>
  <si>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</si>
  <si>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</si>
  <si>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</si>
  <si>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</si>
  <si>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</si>
  <si>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</si>
  <si>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</si>
  <si>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</si>
  <si>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</si>
  <si>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</si>
  <si>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</si>
  <si>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</si>
  <si>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</si>
  <si>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</si>
  <si>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</si>
  <si>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</si>
  <si>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</si>
  <si>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</si>
  <si>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</si>
  <si>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</si>
  <si>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</si>
  <si>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</si>
  <si>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</si>
  <si>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</si>
  <si>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</si>
  <si>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</si>
  <si>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</si>
  <si>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</si>
  <si>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</si>
  <si>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</si>
  <si>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</si>
  <si>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</si>
  <si>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</si>
  <si>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</si>
  <si>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</si>
  <si>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</si>
  <si>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</si>
  <si>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</si>
  <si>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</si>
  <si>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</si>
  <si>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</si>
  <si>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</si>
  <si>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</si>
  <si>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</si>
  <si>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</si>
  <si>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</si>
  <si>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</si>
  <si>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</si>
  <si>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</si>
  <si>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</si>
  <si>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</si>
  <si>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</si>
  <si>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</si>
  <si>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</si>
  <si>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</si>
  <si>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</si>
  <si>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</si>
  <si>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</si>
  <si>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</si>
  <si>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</si>
  <si>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</si>
  <si>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</si>
  <si>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</si>
  <si>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</si>
  <si>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</si>
  <si>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</si>
  <si>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</si>
  <si>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</si>
  <si>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</si>
  <si>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</si>
  <si>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</si>
  <si>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</si>
  <si>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</si>
  <si>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</si>
  <si>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</si>
  <si>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</si>
  <si>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</si>
  <si>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</si>
  <si>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</si>
  <si>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</si>
  <si>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</si>
  <si>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</si>
  <si>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</si>
  <si>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</si>
  <si>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</si>
  <si>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</si>
  <si>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</si>
  <si>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</si>
  <si>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</si>
  <si>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</si>
  <si>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</si>
  <si>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</si>
  <si>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</si>
  <si>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</si>
  <si>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</si>
  <si>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</si>
  <si>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</si>
  <si>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</si>
  <si>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</si>
  <si>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</si>
  <si>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</si>
  <si>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</si>
  <si>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</si>
  <si>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</si>
  <si>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</si>
  <si>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</si>
  <si>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</si>
  <si>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</si>
  <si>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</si>
  <si>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</si>
  <si>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</si>
  <si>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</si>
  <si>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</si>
  <si>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</si>
  <si>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</si>
  <si>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</si>
  <si>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</si>
  <si>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</si>
  <si>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</si>
  <si>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</si>
  <si>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</si>
  <si>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</si>
  <si>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</si>
  <si>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</si>
  <si>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</si>
  <si>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</si>
  <si>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</si>
  <si>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</si>
  <si>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</si>
  <si>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</si>
  <si>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</si>
  <si>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</si>
  <si>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</si>
  <si>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</si>
  <si>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</si>
  <si>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</si>
  <si>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</si>
  <si>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</si>
  <si>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</si>
  <si>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</si>
  <si>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</si>
  <si>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</si>
  <si>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</si>
  <si>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</si>
  <si>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</si>
  <si>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</si>
  <si>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</si>
  <si>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</si>
  <si>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</si>
  <si>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</si>
  <si>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</si>
  <si>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</si>
  <si>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</si>
  <si>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</si>
  <si>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</si>
  <si>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</si>
  <si>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</si>
  <si>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</si>
  <si>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</si>
  <si>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</si>
  <si>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</si>
  <si>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</si>
  <si>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</si>
  <si>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</si>
  <si>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</si>
  <si>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</si>
  <si>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</si>
  <si>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</si>
  <si>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</si>
  <si>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</si>
  <si>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</si>
  <si>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</si>
  <si>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</si>
  <si>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</si>
  <si>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</si>
  <si>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</si>
  <si>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</si>
  <si>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</si>
  <si>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</si>
  <si>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</si>
  <si>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</si>
  <si>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</si>
  <si>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</si>
  <si>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</si>
  <si>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</si>
  <si>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</si>
  <si>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</si>
  <si>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</si>
  <si>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</si>
  <si>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</si>
  <si>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</si>
  <si>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</si>
  <si>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</si>
  <si>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</si>
  <si>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</si>
  <si>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</si>
  <si>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</si>
  <si>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</si>
  <si>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</si>
  <si>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</si>
  <si>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</si>
  <si>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</si>
  <si>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</si>
  <si>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</si>
  <si>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</si>
  <si>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</si>
  <si>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</si>
  <si>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</si>
  <si>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</si>
  <si>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</si>
  <si>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</si>
  <si>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</si>
  <si>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</si>
  <si>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</si>
  <si>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</si>
  <si>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</si>
  <si>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</si>
  <si>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</si>
  <si>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</si>
  <si>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</si>
  <si>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</si>
  <si>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</si>
  <si>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</si>
  <si>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</si>
  <si>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</si>
  <si>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</si>
  <si>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</si>
  <si>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</si>
  <si>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</si>
  <si>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</si>
  <si>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</si>
  <si>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</si>
  <si>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</si>
  <si>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</si>
  <si>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</si>
  <si>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</si>
  <si>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</si>
  <si>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</si>
  <si>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</si>
  <si>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</si>
  <si>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</si>
  <si>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</si>
  <si>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</si>
  <si>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</si>
  <si>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</si>
  <si>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</si>
  <si>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</si>
  <si>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</si>
  <si>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</si>
  <si>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</si>
  <si>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</si>
  <si>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</si>
  <si>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</si>
  <si>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</si>
  <si>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</si>
  <si>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</si>
  <si>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</si>
  <si>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</si>
  <si>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</si>
  <si>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</si>
  <si>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</si>
  <si>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</si>
  <si>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</si>
  <si>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</si>
  <si>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</si>
  <si>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</si>
  <si>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</si>
  <si>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</si>
  <si>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</si>
  <si>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</si>
  <si>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</si>
  <si>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</si>
  <si>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</si>
  <si>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</si>
  <si>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</si>
  <si>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</si>
  <si>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</si>
  <si>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</si>
  <si>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</si>
  <si>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</si>
  <si>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</si>
  <si>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</si>
  <si>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</si>
  <si>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</si>
  <si>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</si>
  <si>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</si>
  <si>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</si>
  <si>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</si>
  <si>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</si>
  <si>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</si>
  <si>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</si>
  <si>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</si>
  <si>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</si>
  <si>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</si>
  <si>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</si>
  <si>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</si>
  <si>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</si>
  <si>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</si>
  <si>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</si>
  <si>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</si>
  <si>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</si>
  <si>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</si>
  <si>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</si>
  <si>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</si>
  <si>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</si>
  <si>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</si>
  <si>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</si>
  <si>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</si>
  <si>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</si>
  <si>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</si>
  <si>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</si>
  <si>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</si>
  <si>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</si>
  <si>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</si>
  <si>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</si>
  <si>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</si>
  <si>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</si>
  <si>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</si>
  <si>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</si>
  <si>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</si>
  <si>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</si>
  <si>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</si>
  <si>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</si>
  <si>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</si>
  <si>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</si>
  <si>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</si>
  <si>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</si>
  <si>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</si>
  <si>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</si>
  <si>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</si>
  <si>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</si>
  <si>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</si>
  <si>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</si>
  <si>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</si>
  <si>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</si>
  <si>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</si>
  <si>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</si>
  <si>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</si>
  <si>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</si>
  <si>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</si>
  <si>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</si>
  <si>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</si>
  <si>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</si>
  <si>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</si>
  <si>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</si>
  <si>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</si>
  <si>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</si>
  <si>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</si>
  <si>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</si>
  <si>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</si>
  <si>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</si>
  <si>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</si>
  <si>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</si>
  <si>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</si>
  <si>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</si>
  <si>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</si>
  <si>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</si>
  <si>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</si>
  <si>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</si>
  <si>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</si>
  <si>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</si>
  <si>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</si>
  <si>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</si>
  <si>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</si>
  <si>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</si>
  <si>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</si>
  <si>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</si>
  <si>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</si>
  <si>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</si>
  <si>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</si>
  <si>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</si>
  <si>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</si>
  <si>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</si>
  <si>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</si>
  <si>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</si>
  <si>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</si>
  <si>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</si>
  <si>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</si>
  <si>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</si>
  <si>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</si>
  <si>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</si>
  <si>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</si>
  <si>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</si>
  <si>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</si>
  <si>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</si>
  <si>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</si>
  <si>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</si>
  <si>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</si>
  <si>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</si>
  <si>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</si>
  <si>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</si>
  <si>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</si>
  <si>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</si>
  <si>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</si>
  <si>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</si>
  <si>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</si>
  <si>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</si>
  <si>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</si>
  <si>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</si>
  <si>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</si>
  <si>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</si>
  <si>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</si>
  <si>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</si>
  <si>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</si>
  <si>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</si>
  <si>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</si>
  <si>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</si>
  <si>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</si>
  <si>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</si>
  <si>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</si>
  <si>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</si>
  <si>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</si>
  <si>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</si>
  <si>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</si>
  <si>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</si>
  <si>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</si>
  <si>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</si>
  <si>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</si>
  <si>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</si>
  <si>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</si>
  <si>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</si>
  <si>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</si>
  <si>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</si>
  <si>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</si>
  <si>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</si>
  <si>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</si>
  <si>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</si>
  <si>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</si>
  <si>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</si>
  <si>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</si>
  <si>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</si>
  <si>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</si>
  <si>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</si>
  <si>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</si>
  <si>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</si>
  <si>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</si>
  <si>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</si>
  <si>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</si>
  <si>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</si>
  <si>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</si>
  <si>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</si>
  <si>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</si>
  <si>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</si>
  <si>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</si>
  <si>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</si>
  <si>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</si>
  <si>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</si>
  <si>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</si>
  <si>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</si>
  <si>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</si>
  <si>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</si>
  <si>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</si>
  <si>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</si>
  <si>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</si>
  <si>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</si>
  <si>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</si>
  <si>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</si>
  <si>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</si>
  <si>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</si>
  <si>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</si>
  <si>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</si>
  <si>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</si>
  <si>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</si>
  <si>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</si>
  <si>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</si>
  <si>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</si>
  <si>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</si>
  <si>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</si>
  <si>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</si>
  <si>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</si>
  <si>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</si>
  <si>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</si>
  <si>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</si>
  <si>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</si>
  <si>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</si>
  <si>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</si>
  <si>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</si>
  <si>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</si>
  <si>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</si>
  <si>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</si>
  <si>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</si>
  <si>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</si>
  <si>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</si>
  <si>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</si>
  <si>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</si>
  <si>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</si>
  <si>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</si>
  <si>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</si>
  <si>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</si>
  <si>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</si>
  <si>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</si>
  <si>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</si>
  <si>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</si>
  <si>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</si>
  <si>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</si>
  <si>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</si>
  <si>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</si>
  <si>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</si>
  <si>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</si>
  <si>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</si>
  <si>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</si>
  <si>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</si>
  <si>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</si>
  <si>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</si>
  <si>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</si>
  <si>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</si>
  <si>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</si>
  <si>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</si>
  <si>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</si>
  <si>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</si>
  <si>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</si>
  <si>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</si>
  <si>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</si>
  <si>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</si>
  <si>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</si>
  <si>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</si>
  <si>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</si>
  <si>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</si>
  <si>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</si>
  <si>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</si>
  <si>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</si>
  <si>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</si>
  <si>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</si>
  <si>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</si>
  <si>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</si>
  <si>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</si>
  <si>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</si>
  <si>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</si>
  <si>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</si>
  <si>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</si>
  <si>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</si>
  <si>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</si>
  <si>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</si>
  <si>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</si>
  <si>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</si>
  <si>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</si>
  <si>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</si>
  <si>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</si>
  <si>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</si>
  <si>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</si>
  <si>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</si>
  <si>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</si>
  <si>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</si>
  <si>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</si>
  <si>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</si>
  <si>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</si>
  <si>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</si>
  <si>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</si>
  <si>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</si>
  <si>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</si>
  <si>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</si>
  <si>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</si>
  <si>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</si>
  <si>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</si>
  <si>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</si>
  <si>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</si>
  <si>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</si>
  <si>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</si>
  <si>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</si>
  <si>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</si>
  <si>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</si>
  <si>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</si>
  <si>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</si>
  <si>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</si>
  <si>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</si>
  <si>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</si>
  <si>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</si>
  <si>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</si>
  <si>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</si>
  <si>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</si>
  <si>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</si>
  <si>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</si>
  <si>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</si>
  <si>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</si>
  <si>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</si>
  <si>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</si>
  <si>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</si>
  <si>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</si>
  <si>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</si>
  <si>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</si>
  <si>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</si>
  <si>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</si>
  <si>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</si>
  <si>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</si>
  <si>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</si>
  <si>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</si>
  <si>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</si>
  <si>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</si>
  <si>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</si>
  <si>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</si>
  <si>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</si>
  <si>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</si>
  <si>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</si>
  <si>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</si>
  <si>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</si>
  <si>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</si>
  <si>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</si>
  <si>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</si>
  <si>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</si>
  <si>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</si>
  <si>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</si>
  <si>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</si>
  <si>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</si>
  <si>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</si>
  <si>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</si>
  <si>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</si>
  <si>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</si>
  <si>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</si>
  <si>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</si>
  <si>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</si>
  <si>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</si>
  <si>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</si>
  <si>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</si>
  <si>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</si>
  <si>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</si>
  <si>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</si>
  <si>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</si>
  <si>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</si>
  <si>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</si>
  <si>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</si>
  <si>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</si>
  <si>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</si>
  <si>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</si>
  <si>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</si>
  <si>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</si>
  <si>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</si>
  <si>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</si>
  <si>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</si>
  <si>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</si>
  <si>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</si>
  <si>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</si>
  <si>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</si>
  <si>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</si>
  <si>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</si>
  <si>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</si>
  <si>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</si>
  <si>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</si>
  <si>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</si>
  <si>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</si>
  <si>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</si>
  <si>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</si>
  <si>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</si>
  <si>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</si>
  <si>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</si>
  <si>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</si>
  <si>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</si>
  <si>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</si>
  <si>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</si>
  <si>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</si>
  <si>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</si>
  <si>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</si>
  <si>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</si>
  <si>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</si>
  <si>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</si>
  <si>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</si>
  <si>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</si>
  <si>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</si>
  <si>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</si>
  <si>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</si>
  <si>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</si>
  <si>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</si>
  <si>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</si>
  <si>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</si>
  <si>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</si>
  <si>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</si>
  <si>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</si>
  <si>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</si>
  <si>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</si>
  <si>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</si>
  <si>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</si>
  <si>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</si>
  <si>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</si>
  <si>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</si>
  <si>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</si>
  <si>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</si>
  <si>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</si>
  <si>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</si>
  <si>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</si>
  <si>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</si>
  <si>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</si>
  <si>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</si>
  <si>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</si>
  <si>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</si>
  <si>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</si>
  <si>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</si>
  <si>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</si>
  <si>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</si>
  <si>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</si>
  <si>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</si>
  <si>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</si>
  <si>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</si>
  <si>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</si>
  <si>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</si>
  <si>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</si>
  <si>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</si>
  <si>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</si>
  <si>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</si>
  <si>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</si>
  <si>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</si>
  <si>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</si>
  <si>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</si>
  <si>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</si>
  <si>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</si>
  <si>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</si>
  <si>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</si>
  <si>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</si>
  <si>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</si>
  <si>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</si>
  <si>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</si>
  <si>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</si>
  <si>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</si>
  <si>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</si>
  <si>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</si>
  <si>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</si>
  <si>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</si>
  <si>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</si>
  <si>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</si>
  <si>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</si>
  <si>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</si>
  <si>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</si>
  <si>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</si>
  <si>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</si>
  <si>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</si>
  <si>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</si>
  <si>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</si>
  <si>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</si>
  <si>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</si>
  <si>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</si>
  <si>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</si>
  <si>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</si>
  <si>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</si>
  <si>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</si>
  <si>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</si>
  <si>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</si>
  <si>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</si>
  <si>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</si>
  <si>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</si>
  <si>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</si>
  <si>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</si>
  <si>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</si>
  <si>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</si>
  <si>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</si>
  <si>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</si>
  <si>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</si>
  <si>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</si>
  <si>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</si>
  <si>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</si>
  <si>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</si>
  <si>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</si>
  <si>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</si>
  <si>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</si>
  <si>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</si>
  <si>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</si>
  <si>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</si>
  <si>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</si>
  <si>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</si>
  <si>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</si>
  <si>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</si>
  <si>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</si>
  <si>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</si>
  <si>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</si>
  <si>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</si>
  <si>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</si>
  <si>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</si>
  <si>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</si>
  <si>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</si>
  <si>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</si>
  <si>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</si>
  <si>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</si>
  <si>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</si>
  <si>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</si>
  <si>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</si>
  <si>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</si>
  <si>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</si>
  <si>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</si>
  <si>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</si>
  <si>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</si>
  <si>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</si>
  <si>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</si>
  <si>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</si>
  <si>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</si>
  <si>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</si>
  <si>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</si>
  <si>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</si>
  <si>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</si>
  <si>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</si>
  <si>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</si>
  <si>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</si>
  <si>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</si>
  <si>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</si>
  <si>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</si>
  <si>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</si>
  <si>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</si>
  <si>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</si>
  <si>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</si>
  <si>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</si>
  <si>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</si>
  <si>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</si>
  <si>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</si>
  <si>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</si>
  <si>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</si>
  <si>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</si>
  <si>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</si>
  <si>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</si>
  <si>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</si>
  <si>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</si>
  <si>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</si>
  <si>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</si>
  <si>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</si>
  <si>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</si>
  <si>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</si>
  <si>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</si>
  <si>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</si>
  <si>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</si>
  <si>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</si>
  <si>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</si>
  <si>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</si>
  <si>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</si>
  <si>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</si>
  <si>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</si>
  <si>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</si>
  <si>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</si>
  <si>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</si>
  <si>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</si>
  <si>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</si>
  <si>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</si>
  <si>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</si>
  <si>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</si>
  <si>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</si>
  <si>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</si>
  <si>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</si>
  <si>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</si>
  <si>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</si>
  <si>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</si>
  <si>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</si>
  <si>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</si>
  <si>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</si>
  <si>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</si>
  <si>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</si>
  <si>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</si>
  <si>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</si>
  <si>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</si>
  <si>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</si>
  <si>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</si>
  <si>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</si>
  <si>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</si>
  <si>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</si>
  <si>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</si>
  <si>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</si>
  <si>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</si>
  <si>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</si>
  <si>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</si>
  <si>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</si>
  <si>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</si>
  <si>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</si>
  <si>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</si>
  <si>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</si>
  <si>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</si>
  <si>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</si>
  <si>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</si>
  <si>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</si>
  <si>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</si>
  <si>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</si>
  <si>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</si>
  <si>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</si>
  <si>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</si>
  <si>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</si>
  <si>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</si>
  <si>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</si>
  <si>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</si>
  <si>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</si>
  <si>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</si>
  <si>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</si>
  <si>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</si>
  <si>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</si>
  <si>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</si>
  <si>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</si>
  <si>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</si>
  <si>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</si>
  <si>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</si>
  <si>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</si>
  <si>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</si>
  <si>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</si>
  <si>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</si>
  <si>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</si>
  <si>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</si>
  <si>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</si>
  <si>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</si>
  <si>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</si>
  <si>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</si>
  <si>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</si>
  <si>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</si>
  <si>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</si>
  <si>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</si>
  <si>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</si>
  <si>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</si>
  <si>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</si>
  <si>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</si>
  <si>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</si>
  <si>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</si>
  <si>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</si>
  <si>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</si>
  <si>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</si>
  <si>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</si>
  <si>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</si>
  <si>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</si>
  <si>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</si>
  <si>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</si>
  <si>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</si>
  <si>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</si>
  <si>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</si>
  <si>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</si>
  <si>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</si>
  <si>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</si>
  <si>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</si>
  <si>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</si>
  <si>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</si>
  <si>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</si>
  <si>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</si>
  <si>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</si>
  <si>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</si>
  <si>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</si>
  <si>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</si>
  <si>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</si>
  <si>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</si>
  <si>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</si>
  <si>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</si>
  <si>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</si>
  <si>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</si>
  <si>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</si>
  <si>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</si>
  <si>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</si>
  <si>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</si>
  <si>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</si>
  <si>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</si>
  <si>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</si>
  <si>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</si>
  <si>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</si>
  <si>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</si>
  <si>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</si>
  <si>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</si>
  <si>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</si>
  <si>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</si>
  <si>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</si>
  <si>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</si>
  <si>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</si>
  <si>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</si>
  <si>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</si>
  <si>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</si>
  <si>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</si>
  <si>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</si>
  <si>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</si>
  <si>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</si>
  <si>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</si>
  <si>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</si>
  <si>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</si>
  <si>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</si>
  <si>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</si>
  <si>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</si>
  <si>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</si>
  <si>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</si>
  <si>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</si>
  <si>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</si>
  <si>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</si>
  <si>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</si>
  <si>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</si>
  <si>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</si>
  <si>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</si>
  <si>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</si>
  <si>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</si>
  <si>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</si>
  <si>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</si>
  <si>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</si>
  <si>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</si>
  <si>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</si>
  <si>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</si>
  <si>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</si>
  <si>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</si>
  <si>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</si>
  <si>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</si>
  <si>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</si>
  <si>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</si>
  <si>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</si>
  <si>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</si>
  <si>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</si>
  <si>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</si>
  <si>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</si>
  <si>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</si>
  <si>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</si>
  <si>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</si>
  <si>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</si>
  <si>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</si>
  <si>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</si>
  <si>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</si>
  <si>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</si>
  <si>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</si>
  <si>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</si>
  <si>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</si>
  <si>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</si>
  <si>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</si>
  <si>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</si>
  <si>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</si>
  <si>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</si>
  <si>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</si>
  <si>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</si>
  <si>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</si>
  <si>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</si>
  <si>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</si>
  <si>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</si>
  <si>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</si>
  <si>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</si>
  <si>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</si>
  <si>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</si>
  <si>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</si>
  <si>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</si>
  <si>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</si>
  <si>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</si>
  <si>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</si>
  <si>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</si>
  <si>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</si>
  <si>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</si>
  <si>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</si>
  <si>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</si>
  <si>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</si>
  <si>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</si>
  <si>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</si>
  <si>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</si>
  <si>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</si>
  <si>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</si>
  <si>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</si>
  <si>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</si>
  <si>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</si>
  <si>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</si>
  <si>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</si>
  <si>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</si>
  <si>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</si>
  <si>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</si>
  <si>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</si>
  <si>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</si>
  <si>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</si>
  <si>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</si>
  <si>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</si>
  <si>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</si>
  <si>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</si>
  <si>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</si>
  <si>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</si>
  <si>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</si>
  <si>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</si>
  <si>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</si>
  <si>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</si>
  <si>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</si>
  <si>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</si>
  <si>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</si>
  <si>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</si>
  <si>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</si>
  <si>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</si>
  <si>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</si>
  <si>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</si>
  <si>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</si>
  <si>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</si>
  <si>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</si>
  <si>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</si>
  <si>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</si>
  <si>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</si>
  <si>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</si>
  <si>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</si>
  <si>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</si>
  <si>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</si>
  <si>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</si>
  <si>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</si>
  <si>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</si>
  <si>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</si>
  <si>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</si>
  <si>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</si>
  <si>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</si>
  <si>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</si>
  <si>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</si>
  <si>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</si>
  <si>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</si>
  <si>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</si>
  <si>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</si>
  <si>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</si>
  <si>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</si>
  <si>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</si>
  <si>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</si>
  <si>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</si>
  <si>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</si>
  <si>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</si>
  <si>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</si>
  <si>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</si>
  <si>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</si>
  <si>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</si>
  <si>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</si>
  <si>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</si>
  <si>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</si>
  <si>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</si>
  <si>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</si>
  <si>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</si>
  <si>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</si>
  <si>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</si>
  <si>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</si>
  <si>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</si>
  <si>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</si>
  <si>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</si>
  <si>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</si>
  <si>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</si>
  <si>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</si>
  <si>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</si>
  <si>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</si>
  <si>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</si>
  <si>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</si>
  <si>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</si>
  <si>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</si>
  <si>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</si>
  <si>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</si>
  <si>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</si>
  <si>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</si>
  <si>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</si>
  <si>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</si>
  <si>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</si>
  <si>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</si>
  <si>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</si>
  <si>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</si>
  <si>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</si>
  <si>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</si>
  <si>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</si>
  <si>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</si>
  <si>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</si>
  <si>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</si>
  <si>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</si>
  <si>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</si>
  <si>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</si>
  <si>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</si>
  <si>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</si>
  <si>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</si>
  <si>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</si>
  <si>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</si>
  <si>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</si>
  <si>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</si>
  <si>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</si>
  <si>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</si>
  <si>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</si>
  <si>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</si>
  <si>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</si>
  <si>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</si>
  <si>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</si>
  <si>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</si>
  <si>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</si>
  <si>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</si>
  <si>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</si>
  <si>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</si>
  <si>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</si>
  <si>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</si>
  <si>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</si>
  <si>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</si>
  <si>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</si>
  <si>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</si>
  <si>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</si>
  <si>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</si>
  <si>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</si>
  <si>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</si>
  <si>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</si>
  <si>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</si>
  <si>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</si>
  <si>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</si>
  <si>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</si>
  <si>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</si>
  <si>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</si>
  <si>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</si>
  <si>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</si>
  <si>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</si>
  <si>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</si>
  <si>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</si>
  <si>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</si>
  <si>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</si>
  <si>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</si>
  <si>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</si>
  <si>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</si>
  <si>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</si>
  <si>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</si>
  <si>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</si>
  <si>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</si>
  <si>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</si>
  <si>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</si>
  <si>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</si>
  <si>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</si>
  <si>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</si>
  <si>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</si>
  <si>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</si>
  <si>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</si>
  <si>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</si>
  <si>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</si>
  <si>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</si>
  <si>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</si>
  <si>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</si>
  <si>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</si>
  <si>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</si>
  <si>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</si>
  <si>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</si>
  <si>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</si>
  <si>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</si>
  <si>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</si>
  <si>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</si>
  <si>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</si>
  <si>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</si>
  <si>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</si>
  <si>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</si>
  <si>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</si>
  <si>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</si>
  <si>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</si>
  <si>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</si>
  <si>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</si>
  <si>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</si>
  <si>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</si>
  <si>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</si>
  <si>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</si>
  <si>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</si>
  <si>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</si>
  <si>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</si>
  <si>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</si>
  <si>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</si>
  <si>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</si>
  <si>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</si>
  <si>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</si>
  <si>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</si>
  <si>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</si>
  <si>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</si>
  <si>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</si>
  <si>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</si>
  <si>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</si>
  <si>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</si>
  <si>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</si>
  <si>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</si>
  <si>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</si>
  <si>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</si>
  <si>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</si>
  <si>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</si>
  <si>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</si>
  <si>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</si>
  <si>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</si>
  <si>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</si>
  <si>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</si>
  <si>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</si>
  <si>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</si>
  <si>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</si>
  <si>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</si>
  <si>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</si>
  <si>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</si>
  <si>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</si>
  <si>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</si>
  <si>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</si>
  <si>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</si>
  <si>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</si>
  <si>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</si>
  <si>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</si>
  <si>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</si>
  <si>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</si>
  <si>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</si>
  <si>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</si>
  <si>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</si>
  <si>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</si>
  <si>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</si>
  <si>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</si>
  <si>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</si>
  <si>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</si>
  <si>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</si>
  <si>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</si>
  <si>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</si>
  <si>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</si>
  <si>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</si>
  <si>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</si>
  <si>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</si>
  <si>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</si>
  <si>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</si>
  <si>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</si>
  <si>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</si>
  <si>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</si>
  <si>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</si>
  <si>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</si>
  <si>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</si>
  <si>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</si>
  <si>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</si>
  <si>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</si>
  <si>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</si>
  <si>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</si>
  <si>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</si>
  <si>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</si>
  <si>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</si>
  <si>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</si>
  <si>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</si>
  <si>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</si>
  <si>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</si>
  <si>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</si>
  <si>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</si>
  <si>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</si>
  <si>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</si>
  <si>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</si>
  <si>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</si>
  <si>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</si>
  <si>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</si>
  <si>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</si>
  <si>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</si>
  <si>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</si>
  <si>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</si>
  <si>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</si>
  <si>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</si>
  <si>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</si>
  <si>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</si>
  <si>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</si>
  <si>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</si>
  <si>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</si>
  <si>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</si>
  <si>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</si>
  <si>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</si>
  <si>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</si>
  <si>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</si>
  <si>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</si>
  <si>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</si>
  <si>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</si>
  <si>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</si>
  <si>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</si>
  <si>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</si>
  <si>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</si>
  <si>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</si>
  <si>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</si>
  <si>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</si>
  <si>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</si>
  <si>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</si>
  <si>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</si>
  <si>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</si>
  <si>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</si>
  <si>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</si>
  <si>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</si>
  <si>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</si>
  <si>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</si>
  <si>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</si>
  <si>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</si>
  <si>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</si>
  <si>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</si>
  <si>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</si>
  <si>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</si>
  <si>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</si>
  <si>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</si>
  <si>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</si>
  <si>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</si>
  <si>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</si>
  <si>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</si>
  <si>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</si>
  <si>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</si>
  <si>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</si>
  <si>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</si>
  <si>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</si>
  <si>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</si>
  <si>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</si>
  <si>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</si>
  <si>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</si>
  <si>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</si>
  <si>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</si>
  <si>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</si>
  <si>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</si>
  <si>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</si>
  <si>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</si>
  <si>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</si>
  <si>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</si>
  <si>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</si>
  <si>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</si>
  <si>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</si>
  <si>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</si>
  <si>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</si>
  <si>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</si>
  <si>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</si>
  <si>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</si>
  <si>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</si>
  <si>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</si>
  <si>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</si>
  <si>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</si>
  <si>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</si>
  <si>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</si>
  <si>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</si>
  <si>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</si>
  <si>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</si>
  <si>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</si>
  <si>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</si>
  <si>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</si>
  <si>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</si>
  <si>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</si>
  <si>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</si>
  <si>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</si>
  <si>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</si>
  <si>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</si>
  <si>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</si>
  <si>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</si>
  <si>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</si>
  <si>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</si>
  <si>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</si>
  <si>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</si>
  <si>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</si>
  <si>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</si>
  <si>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</si>
  <si>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</si>
  <si>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</si>
  <si>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</si>
  <si>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</si>
  <si>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</si>
  <si>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</si>
  <si>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</si>
  <si>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</si>
  <si>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</si>
  <si>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</si>
  <si>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</si>
  <si>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</si>
  <si>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</si>
  <si>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</si>
  <si>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</si>
  <si>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</si>
  <si>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</si>
  <si>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</si>
  <si>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</si>
  <si>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</si>
  <si>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</si>
  <si>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</si>
  <si>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</si>
  <si>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</si>
  <si>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</si>
  <si>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</si>
  <si>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</si>
  <si>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</si>
  <si>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</si>
  <si>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</si>
  <si>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</si>
  <si>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</si>
  <si>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</si>
  <si>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</si>
  <si>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</si>
  <si>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</si>
  <si>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</si>
  <si>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</si>
  <si>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</si>
  <si>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</si>
  <si>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</si>
  <si>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</si>
  <si>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</si>
  <si>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</si>
  <si>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</si>
  <si>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</si>
  <si>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</si>
  <si>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</si>
  <si>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</si>
  <si>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</si>
  <si>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</si>
  <si>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</si>
  <si>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</si>
  <si>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</si>
  <si>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</si>
  <si>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</si>
  <si>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</si>
  <si>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</si>
  <si>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</si>
  <si>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</si>
  <si>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</si>
  <si>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</si>
  <si>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</si>
  <si>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</si>
  <si>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</si>
  <si>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</si>
  <si>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</si>
  <si>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</si>
  <si>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</si>
  <si>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</si>
  <si>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</si>
  <si>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</si>
  <si>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</si>
  <si>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</si>
  <si>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</si>
  <si>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</si>
  <si>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</si>
  <si>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</si>
  <si>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</si>
  <si>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</si>
  <si>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</si>
  <si>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</si>
  <si>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</si>
  <si>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</si>
  <si>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</si>
  <si>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</si>
  <si>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</si>
  <si>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</si>
  <si>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</si>
  <si>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</si>
  <si>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</si>
  <si>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</si>
  <si>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</si>
  <si>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</si>
  <si>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</si>
  <si>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</si>
  <si>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</si>
  <si>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</si>
  <si>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</si>
  <si>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</si>
  <si>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</si>
  <si>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</si>
  <si>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</si>
  <si>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</si>
  <si>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</si>
  <si>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</si>
  <si>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</si>
  <si>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</si>
  <si>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</si>
  <si>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</si>
  <si>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</si>
  <si>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</si>
  <si>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</si>
  <si>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</si>
  <si>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</si>
  <si>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</si>
  <si>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</si>
  <si>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</si>
  <si>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</si>
  <si>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</si>
  <si>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</si>
  <si>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</si>
  <si>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</si>
  <si>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</si>
  <si>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</si>
  <si>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</si>
  <si>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</si>
  <si>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</si>
  <si>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</si>
  <si>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</si>
  <si>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</si>
  <si>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</si>
  <si>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</si>
  <si>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</si>
  <si>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</si>
  <si>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</si>
  <si>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</si>
  <si>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</si>
  <si>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</si>
  <si>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</si>
  <si>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</si>
  <si>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</si>
  <si>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</si>
  <si>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</si>
  <si>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</si>
  <si>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</si>
  <si>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</si>
  <si>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</si>
  <si>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</si>
  <si>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</si>
  <si>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</si>
  <si>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</si>
  <si>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</si>
  <si>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</si>
  <si>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</si>
  <si>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</si>
  <si>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</si>
  <si>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</si>
  <si>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</si>
  <si>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</si>
  <si>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</si>
  <si>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</si>
  <si>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</si>
  <si>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</si>
  <si>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</si>
  <si>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</si>
  <si>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</si>
  <si>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</si>
  <si>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</si>
  <si>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</si>
  <si>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</si>
  <si>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</si>
  <si>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</si>
  <si>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</si>
  <si>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</si>
  <si>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</si>
  <si>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</si>
  <si>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</si>
  <si>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</si>
  <si>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</si>
  <si>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</si>
  <si>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</si>
  <si>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</si>
  <si>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</si>
  <si>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</si>
  <si>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</si>
  <si>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</si>
  <si>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</si>
  <si>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</si>
  <si>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</si>
  <si>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</si>
  <si>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</si>
  <si>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</si>
  <si>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</si>
  <si>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</si>
  <si>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</si>
  <si>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</si>
  <si>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</si>
  <si>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</si>
  <si>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</si>
  <si>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</si>
  <si>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</si>
  <si>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</si>
  <si>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</si>
  <si>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</si>
  <si>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</si>
  <si>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</si>
  <si>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</si>
  <si>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</si>
  <si>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</si>
  <si>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</si>
  <si>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</si>
  <si>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</si>
  <si>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</si>
  <si>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</si>
  <si>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</si>
  <si>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</si>
  <si>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</si>
  <si>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</si>
  <si>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</si>
  <si>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</si>
  <si>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</si>
  <si>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</si>
  <si>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</si>
  <si>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</si>
  <si>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</si>
  <si>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</si>
  <si>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</si>
  <si>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</si>
  <si>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</si>
  <si>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</si>
  <si>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</si>
  <si>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</si>
  <si>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</si>
  <si>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</si>
  <si>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</si>
  <si>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</si>
  <si>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</si>
  <si>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</si>
  <si>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</si>
  <si>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</si>
  <si>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</si>
  <si>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</si>
  <si>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</si>
  <si>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</si>
  <si>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</si>
  <si>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</si>
  <si>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</si>
  <si>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</si>
  <si>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</si>
  <si>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</si>
  <si>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</si>
  <si>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</si>
  <si>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</si>
  <si>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</si>
  <si>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</si>
  <si>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</si>
  <si>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</si>
  <si>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</si>
  <si>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</si>
  <si>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</si>
  <si>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</si>
  <si>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</si>
  <si>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</si>
  <si>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</si>
  <si>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</si>
  <si>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</si>
  <si>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</si>
  <si>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</si>
  <si>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</si>
  <si>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</si>
  <si>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</si>
  <si>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</si>
  <si>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</si>
  <si>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</si>
  <si>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</si>
  <si>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</si>
  <si>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</si>
  <si>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</si>
  <si>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</si>
  <si>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</si>
  <si>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</si>
  <si>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</si>
  <si>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</si>
  <si>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</si>
  <si>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</si>
  <si>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</si>
  <si>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</si>
  <si>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</si>
  <si>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</si>
  <si>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</si>
  <si>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</si>
  <si>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</si>
  <si>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</si>
  <si>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</si>
  <si>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</si>
  <si>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</si>
  <si>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</si>
  <si>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</si>
  <si>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</si>
  <si>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</si>
  <si>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</si>
  <si>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</si>
  <si>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</si>
  <si>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</si>
  <si>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</si>
  <si>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</si>
  <si>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</si>
  <si>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</si>
  <si>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</si>
  <si>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</si>
  <si>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</si>
  <si>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</si>
  <si>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</si>
  <si>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</si>
  <si>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</si>
  <si>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</si>
  <si>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</si>
  <si>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</si>
  <si>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</si>
  <si>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</si>
  <si>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</si>
  <si>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</si>
  <si>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</si>
  <si>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</si>
  <si>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</si>
  <si>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</si>
  <si>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</si>
  <si>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</si>
  <si>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</si>
  <si>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</si>
  <si>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</si>
  <si>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</si>
  <si>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</si>
  <si>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</si>
  <si>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</si>
  <si>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</si>
  <si>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</si>
  <si>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</si>
  <si>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</si>
  <si>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</si>
  <si>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</si>
  <si>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</si>
  <si>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</si>
  <si>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</si>
  <si>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</si>
  <si>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</si>
  <si>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</si>
  <si>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</si>
  <si>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</si>
  <si>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</si>
  <si>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</si>
  <si>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</si>
  <si>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</si>
  <si>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</si>
  <si>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</si>
  <si>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</si>
  <si>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</si>
  <si>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</si>
  <si>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</si>
  <si>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</si>
  <si>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</si>
  <si>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</si>
  <si>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</si>
  <si>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</si>
  <si>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</si>
  <si>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</si>
  <si>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</si>
  <si>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</si>
  <si>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</si>
  <si>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</si>
  <si>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</si>
  <si>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</si>
  <si>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</si>
  <si>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</si>
  <si>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</si>
  <si>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</si>
  <si>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</si>
  <si>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</si>
  <si>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</si>
  <si>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</si>
  <si>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</si>
  <si>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</si>
  <si>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</si>
  <si>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</si>
  <si>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</si>
  <si>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</si>
  <si>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</si>
  <si>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</si>
  <si>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</si>
  <si>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</si>
  <si>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</si>
  <si>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</si>
  <si>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</si>
  <si>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</si>
  <si>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</si>
  <si>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</si>
  <si>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</si>
  <si>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</si>
  <si>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</si>
  <si>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</si>
  <si>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</si>
  <si>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</si>
  <si>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</si>
  <si>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</si>
  <si>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</si>
  <si>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</si>
  <si>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</si>
  <si>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</si>
  <si>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</si>
  <si>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</si>
  <si>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</si>
  <si>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</si>
  <si>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</si>
  <si>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</si>
  <si>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</si>
  <si>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</si>
  <si>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</si>
  <si>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</si>
  <si>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</si>
  <si>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</si>
  <si>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</si>
  <si>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</si>
  <si>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</si>
  <si>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</si>
  <si>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</si>
  <si>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</si>
  <si>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</si>
  <si>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</si>
  <si>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</si>
  <si>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</si>
  <si>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</si>
  <si>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</si>
  <si>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</si>
  <si>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</si>
  <si>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</si>
  <si>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</si>
  <si>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</si>
  <si>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</si>
  <si>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</si>
  <si>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</si>
  <si>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</si>
  <si>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</si>
  <si>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</si>
  <si>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</si>
  <si>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</si>
  <si>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</si>
  <si>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</si>
  <si>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</si>
  <si>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</si>
  <si>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</si>
  <si>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</si>
  <si>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</si>
  <si>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</si>
  <si>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</si>
  <si>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</si>
  <si>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</si>
  <si>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</si>
  <si>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</si>
  <si>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</si>
  <si>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</si>
  <si>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</si>
  <si>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</si>
  <si>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</si>
  <si>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</si>
  <si>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</si>
  <si>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</si>
  <si>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</si>
  <si>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</si>
  <si>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</si>
  <si>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</si>
  <si>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</si>
  <si>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</si>
  <si>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</si>
  <si>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</si>
  <si>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</si>
  <si>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</si>
  <si>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</si>
  <si>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</si>
  <si>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</si>
  <si>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</si>
  <si>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</si>
  <si>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</si>
  <si>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</si>
  <si>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</si>
  <si>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</si>
  <si>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</si>
  <si>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</si>
  <si>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</si>
  <si>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</si>
  <si>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</si>
  <si>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</si>
  <si>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</si>
  <si>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</si>
  <si>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</si>
  <si>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</si>
  <si>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</si>
  <si>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</si>
  <si>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</si>
  <si>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</si>
  <si>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</si>
  <si>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</si>
  <si>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</si>
  <si>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</si>
  <si>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</si>
  <si>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</si>
  <si>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</si>
  <si>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</si>
  <si>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</si>
  <si>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</si>
  <si>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</si>
  <si>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</si>
  <si>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</si>
  <si>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</si>
  <si>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</si>
  <si>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</si>
  <si>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</si>
  <si>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</si>
  <si>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</si>
  <si>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</si>
  <si>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</si>
  <si>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</si>
  <si>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</si>
  <si>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</si>
  <si>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</si>
  <si>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</si>
  <si>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建筑面积</t>
    <phoneticPr fontId="144" type="noConversion"/>
  </si>
  <si>
    <t>所在楼层</t>
    <phoneticPr fontId="144" type="noConversion"/>
  </si>
  <si>
    <t>出租情况</t>
    <phoneticPr fontId="144" type="noConversion"/>
  </si>
  <si>
    <t>北京市朝阳区东三环中路59号楼705号办公用房房地产</t>
    <phoneticPr fontId="144" type="noConversion"/>
  </si>
  <si>
    <t>房屋所有权证证号</t>
    <phoneticPr fontId="144" type="noConversion"/>
  </si>
  <si>
    <r>
      <t>X京房权证朝其字第</t>
    </r>
    <r>
      <rPr>
        <sz val="11"/>
        <color theme="1"/>
        <rFont val="宋体"/>
        <family val="3"/>
        <charset val="134"/>
        <scheme val="minor"/>
      </rPr>
      <t>555182号</t>
    </r>
    <phoneticPr fontId="144" type="noConversion"/>
  </si>
  <si>
    <r>
      <t>X京房权证朝其字第</t>
    </r>
    <r>
      <rPr>
        <sz val="11"/>
        <color theme="1"/>
        <rFont val="宋体"/>
        <family val="3"/>
        <charset val="134"/>
        <scheme val="minor"/>
      </rPr>
      <t>555183号</t>
    </r>
    <r>
      <rPr>
        <sz val="11"/>
        <color theme="1"/>
        <rFont val="宋体"/>
        <family val="2"/>
        <charset val="134"/>
        <scheme val="minor"/>
      </rPr>
      <t/>
    </r>
  </si>
  <si>
    <t>北京市朝阳区东三环中路59号楼1601号办公用房房地产</t>
    <phoneticPr fontId="144" type="noConversion"/>
  </si>
  <si>
    <r>
      <t>X京房权证朝其字第555185号</t>
    </r>
    <r>
      <rPr>
        <sz val="11"/>
        <color theme="1"/>
        <rFont val="宋体"/>
        <family val="2"/>
        <charset val="134"/>
        <scheme val="minor"/>
      </rPr>
      <t/>
    </r>
    <phoneticPr fontId="144" type="noConversion"/>
  </si>
  <si>
    <t>北京市朝阳区东三环中路59号楼703号办公用房房地产</t>
    <phoneticPr fontId="144" type="noConversion"/>
  </si>
  <si>
    <r>
      <t>X京房权证朝其字第555186号</t>
    </r>
    <r>
      <rPr>
        <sz val="11"/>
        <color theme="1"/>
        <rFont val="宋体"/>
        <family val="2"/>
        <charset val="134"/>
        <scheme val="minor"/>
      </rPr>
      <t/>
    </r>
    <phoneticPr fontId="144" type="noConversion"/>
  </si>
  <si>
    <t>北京市朝阳区东三环中路59号楼605号办公用房房地产</t>
    <phoneticPr fontId="144" type="noConversion"/>
  </si>
  <si>
    <t>X京房权证朝其字第555189号</t>
    <phoneticPr fontId="144" type="noConversion"/>
  </si>
  <si>
    <t>北京市朝阳区东三环中路59号楼603号办公用房房地产</t>
    <phoneticPr fontId="144" type="noConversion"/>
  </si>
  <si>
    <t>X京房权证朝其字第555191号</t>
    <phoneticPr fontId="144" type="noConversion"/>
  </si>
  <si>
    <t>北京市朝阳区东三环中路59号楼506号办公用房房地产</t>
    <phoneticPr fontId="144" type="noConversion"/>
  </si>
  <si>
    <t>X京房权证朝其字第555193号</t>
    <phoneticPr fontId="144" type="noConversion"/>
  </si>
  <si>
    <t>北京市朝阳区东三环中路59号楼505号办公用房房地产</t>
    <phoneticPr fontId="144" type="noConversion"/>
  </si>
  <si>
    <t>X京房权证朝其字第555196号</t>
    <phoneticPr fontId="144" type="noConversion"/>
  </si>
  <si>
    <t>北京市朝阳区东三环中路59号楼501号办公用房房地产</t>
    <phoneticPr fontId="144" type="noConversion"/>
  </si>
  <si>
    <t>X京房权证朝其字第555199号</t>
    <phoneticPr fontId="144" type="noConversion"/>
  </si>
  <si>
    <t>北京市朝阳区东三环中路59号楼2303号办公用房房地产</t>
    <phoneticPr fontId="144" type="noConversion"/>
  </si>
  <si>
    <t>X京房权证朝其字第555200号</t>
    <phoneticPr fontId="144" type="noConversion"/>
  </si>
  <si>
    <t>北京市朝阳区东三环中路59号楼2301号办公用房房地产</t>
    <phoneticPr fontId="144" type="noConversion"/>
  </si>
  <si>
    <t>X京房权证朝其字第555202号</t>
    <phoneticPr fontId="144" type="noConversion"/>
  </si>
  <si>
    <t>北京市朝阳区东三环中路59号楼1905号办公用房房地产</t>
    <phoneticPr fontId="144" type="noConversion"/>
  </si>
  <si>
    <t>X京房权证朝其字第555203号</t>
    <phoneticPr fontId="144" type="noConversion"/>
  </si>
  <si>
    <t>北京市朝阳区东三环中路59号楼1903号办公用房房地产</t>
    <phoneticPr fontId="144" type="noConversion"/>
  </si>
  <si>
    <t>X京房权证朝其字第555206号</t>
    <phoneticPr fontId="144" type="noConversion"/>
  </si>
  <si>
    <t>北京市朝阳区东三环中路59号楼1902号办公用房房地产</t>
    <phoneticPr fontId="144" type="noConversion"/>
  </si>
  <si>
    <t>X京房权证朝其字第555207号</t>
    <phoneticPr fontId="144" type="noConversion"/>
  </si>
  <si>
    <t>北京市朝阳区东三环中路59号楼1901号办公用房房地产</t>
    <phoneticPr fontId="144" type="noConversion"/>
  </si>
  <si>
    <t>X京房权证朝其字第555209号</t>
    <phoneticPr fontId="144" type="noConversion"/>
  </si>
  <si>
    <t>北京市朝阳区东三环中路59号楼1805号办公用房房地产</t>
    <phoneticPr fontId="144" type="noConversion"/>
  </si>
  <si>
    <t>X京房权证朝其字第555211号</t>
    <phoneticPr fontId="144" type="noConversion"/>
  </si>
  <si>
    <t>北京市朝阳区东三环中路59号楼601号办公用房房地产</t>
    <phoneticPr fontId="144" type="noConversion"/>
  </si>
  <si>
    <t>X京房权证朝其字第555213号</t>
    <phoneticPr fontId="144" type="noConversion"/>
  </si>
  <si>
    <t>北京市朝阳区东三环中路59号楼1803号办公用房房地产</t>
    <phoneticPr fontId="144" type="noConversion"/>
  </si>
  <si>
    <t>X京房权证朝其字第555215号</t>
    <phoneticPr fontId="144" type="noConversion"/>
  </si>
  <si>
    <t>北京市朝阳区东三环中路59号楼1802号办公用房房地产</t>
    <phoneticPr fontId="144" type="noConversion"/>
  </si>
  <si>
    <t>X京房权证朝其字第555218号</t>
    <phoneticPr fontId="144" type="noConversion"/>
  </si>
  <si>
    <t>北京市朝阳区东三环中路59号楼1801号办公用房房地产</t>
    <phoneticPr fontId="144" type="noConversion"/>
  </si>
  <si>
    <t>X京房权证朝其字第555221号</t>
    <phoneticPr fontId="144" type="noConversion"/>
  </si>
  <si>
    <t>北京市朝阳区东三环中路59号楼1205号办公用房房地产</t>
    <phoneticPr fontId="144" type="noConversion"/>
  </si>
  <si>
    <t>X京房权证朝其字第555315号</t>
    <phoneticPr fontId="144" type="noConversion"/>
  </si>
  <si>
    <t>北京市朝阳区东三环中路59号楼1203号办公用房房地产</t>
    <phoneticPr fontId="144" type="noConversion"/>
  </si>
  <si>
    <t>X京房权证朝其字第555317号</t>
    <phoneticPr fontId="144" type="noConversion"/>
  </si>
  <si>
    <t>北京市朝阳区东三环中路59号楼1201号办公用房房地产</t>
    <phoneticPr fontId="144" type="noConversion"/>
  </si>
  <si>
    <t>X京房权证朝其字第555319号</t>
    <phoneticPr fontId="144" type="noConversion"/>
  </si>
  <si>
    <t>北京市朝阳区东三环中路59号楼1106号办公用房房地产</t>
    <phoneticPr fontId="144" type="noConversion"/>
  </si>
  <si>
    <t>X京房权证朝其字第555321号</t>
    <phoneticPr fontId="144" type="noConversion"/>
  </si>
  <si>
    <t>北京市朝阳区东三环中路59号楼1105号办公用房房地产</t>
    <phoneticPr fontId="144" type="noConversion"/>
  </si>
  <si>
    <t>X京房权证朝其字第555323号</t>
    <phoneticPr fontId="144" type="noConversion"/>
  </si>
  <si>
    <t>北京市朝阳区东三环中路59号楼1103号办公用房房地产</t>
    <phoneticPr fontId="144" type="noConversion"/>
  </si>
  <si>
    <t>X京房权证朝其字第555325号</t>
    <phoneticPr fontId="144" type="noConversion"/>
  </si>
  <si>
    <t>北京市朝阳区东三环中路59号楼1202号办公用房房地产</t>
    <phoneticPr fontId="144" type="noConversion"/>
  </si>
  <si>
    <t>X京房权证朝其字第555327号</t>
    <phoneticPr fontId="144" type="noConversion"/>
  </si>
  <si>
    <t>北京市朝阳区东三环中路59号楼1102号办公用房房地产</t>
    <phoneticPr fontId="144" type="noConversion"/>
  </si>
  <si>
    <t>X京房权证朝其字第555329号</t>
    <phoneticPr fontId="144" type="noConversion"/>
  </si>
  <si>
    <t>北京市朝阳区东三环中路59号楼1706号办公用房房地产</t>
    <phoneticPr fontId="144" type="noConversion"/>
  </si>
  <si>
    <t>X京房权证朝其字第555331号</t>
    <phoneticPr fontId="144" type="noConversion"/>
  </si>
  <si>
    <t>北京市朝阳区东三环中路59号楼1705号办公用房房地产</t>
    <phoneticPr fontId="144" type="noConversion"/>
  </si>
  <si>
    <t>X京房权证朝其字第555335号</t>
    <phoneticPr fontId="144" type="noConversion"/>
  </si>
  <si>
    <t>北京市朝阳区东三环中路59号楼1703号办公用房房地产</t>
    <phoneticPr fontId="144" type="noConversion"/>
  </si>
  <si>
    <t>X京房权证朝其字第555337号</t>
    <phoneticPr fontId="144" type="noConversion"/>
  </si>
  <si>
    <t>北京市朝阳区东三环中路59号楼1702号办公用房房地产</t>
    <phoneticPr fontId="144" type="noConversion"/>
  </si>
  <si>
    <t>X京房权证朝其字第555341号</t>
    <phoneticPr fontId="144" type="noConversion"/>
  </si>
  <si>
    <t>北京市朝阳区东三环中路59号楼1701号办公用房房地产</t>
    <phoneticPr fontId="144" type="noConversion"/>
  </si>
  <si>
    <t>X京房权证朝其字第555345号</t>
    <phoneticPr fontId="144" type="noConversion"/>
  </si>
  <si>
    <t>北京市朝阳区东三环中路59号楼2306号办公用房房地产</t>
    <phoneticPr fontId="144" type="noConversion"/>
  </si>
  <si>
    <t>X京房权证朝其字第555166号</t>
    <phoneticPr fontId="144" type="noConversion"/>
  </si>
  <si>
    <t>北京市朝阳区东三环中路59号楼1906号办公用房房地产</t>
    <phoneticPr fontId="144" type="noConversion"/>
  </si>
  <si>
    <t>X京房权证朝其字第555169号</t>
    <phoneticPr fontId="144" type="noConversion"/>
  </si>
  <si>
    <t>北京市朝阳区东三环中路59号楼2305号办公用房房地产</t>
    <phoneticPr fontId="144" type="noConversion"/>
  </si>
  <si>
    <t>X京房权证朝其字第555170号</t>
    <phoneticPr fontId="144" type="noConversion"/>
  </si>
  <si>
    <t>北京市朝阳区东三环中路59号楼1101号办公用房房地产</t>
    <phoneticPr fontId="144" type="noConversion"/>
  </si>
  <si>
    <t>X京房权证朝其字第555172号</t>
    <phoneticPr fontId="144" type="noConversion"/>
  </si>
  <si>
    <t>北京市朝阳区东三环中路59号楼906号办公用房房地产</t>
    <phoneticPr fontId="144" type="noConversion"/>
  </si>
  <si>
    <t>X京房权证朝其字第555175号</t>
    <phoneticPr fontId="144" type="noConversion"/>
  </si>
  <si>
    <t>北京市朝阳区东三环中路59号楼903号办公用房房地产</t>
    <phoneticPr fontId="144" type="noConversion"/>
  </si>
  <si>
    <t>X京房权证朝其字第555177号</t>
    <phoneticPr fontId="144" type="noConversion"/>
  </si>
  <si>
    <t>北京市朝阳区东三环中路59号楼901号办公用房房地产</t>
    <phoneticPr fontId="144" type="noConversion"/>
  </si>
  <si>
    <t>X京房权证朝其字第555178号</t>
    <phoneticPr fontId="144" type="noConversion"/>
  </si>
  <si>
    <t>北京市朝阳区东三环中路59号楼801号办公用房房地产</t>
    <phoneticPr fontId="144" type="noConversion"/>
  </si>
  <si>
    <t>北京市朝阳区东三环中路59号楼1602号办公用房房地产</t>
    <phoneticPr fontId="144" type="noConversion"/>
  </si>
  <si>
    <t>X京房权证朝其字第555180号</t>
  </si>
  <si>
    <t>X京房权证朝其字第555179号</t>
    <phoneticPr fontId="144" type="noConversion"/>
  </si>
  <si>
    <t>X京房权证朝其字第555181号</t>
  </si>
  <si>
    <t>北京市朝阳区东三环中路59号楼1603号办公用房房地产</t>
    <phoneticPr fontId="144" type="noConversion"/>
  </si>
  <si>
    <t>北京市朝阳区东三环中路59号楼1605号办公用房房地产</t>
    <phoneticPr fontId="144" type="noConversion"/>
  </si>
  <si>
    <t>合计</t>
    <phoneticPr fontId="144" type="noConversion"/>
  </si>
  <si>
    <t>刘梅</t>
  </si>
  <si>
    <t>吴薇</t>
  </si>
  <si>
    <t>北京京城机电控股有限责任公司</t>
    <phoneticPr fontId="7" type="noConversion"/>
  </si>
  <si>
    <t>房地产市场价值</t>
  </si>
  <si>
    <t>北京市</t>
  </si>
  <si>
    <t>2017 年 委 托 房 产 租 赁 合 同 一 览 表</t>
    <phoneticPr fontId="4" type="noConversion"/>
  </si>
  <si>
    <t>2017年到期</t>
    <phoneticPr fontId="4" type="noConversion"/>
  </si>
  <si>
    <t>2018年到期</t>
    <phoneticPr fontId="4" type="noConversion"/>
  </si>
  <si>
    <t>2019年到期</t>
    <phoneticPr fontId="4" type="noConversion"/>
  </si>
  <si>
    <t>2020年到期</t>
    <phoneticPr fontId="4" type="noConversion"/>
  </si>
  <si>
    <t>2021年到期</t>
    <phoneticPr fontId="4" type="noConversion"/>
  </si>
  <si>
    <t>2022年到期</t>
    <phoneticPr fontId="4" type="noConversion"/>
  </si>
  <si>
    <t>2023年及以后到期</t>
    <phoneticPr fontId="4" type="noConversion"/>
  </si>
  <si>
    <t xml:space="preserve">        单位：万元</t>
  </si>
  <si>
    <t>序号</t>
  </si>
  <si>
    <t>房间号或     房产地址</t>
  </si>
  <si>
    <t>租户全称</t>
  </si>
  <si>
    <t>租期（年）</t>
  </si>
  <si>
    <t>起始日期</t>
  </si>
  <si>
    <t>到期日期</t>
  </si>
  <si>
    <t>建筑面积 （㎡）</t>
  </si>
  <si>
    <t>年租金</t>
  </si>
  <si>
    <t>年租金
（含物业）</t>
    <phoneticPr fontId="4" type="noConversion"/>
  </si>
  <si>
    <t>单位租金  （元/㎡天）</t>
  </si>
  <si>
    <t>支付方式  （月）</t>
  </si>
  <si>
    <t>押金
（万元）</t>
    <phoneticPr fontId="4" type="noConversion"/>
  </si>
  <si>
    <t>递增</t>
    <phoneticPr fontId="4" type="noConversion"/>
  </si>
  <si>
    <t>1月</t>
  </si>
  <si>
    <t>2月</t>
  </si>
  <si>
    <t>3月</t>
  </si>
  <si>
    <t>4月</t>
  </si>
  <si>
    <t>5月</t>
  </si>
  <si>
    <t>6月</t>
  </si>
  <si>
    <t>7月</t>
  </si>
  <si>
    <t>8月</t>
  </si>
  <si>
    <t>9月</t>
  </si>
  <si>
    <t>10月</t>
  </si>
  <si>
    <t>11月</t>
  </si>
  <si>
    <t>12月</t>
  </si>
  <si>
    <t xml:space="preserve">合计       </t>
  </si>
  <si>
    <t>免租期</t>
    <phoneticPr fontId="4" type="noConversion"/>
  </si>
  <si>
    <t>备注</t>
  </si>
  <si>
    <t>京城机电大厦</t>
    <phoneticPr fontId="4" type="noConversion"/>
  </si>
  <si>
    <t>北京铜麒麟珠宝公司</t>
    <phoneticPr fontId="4" type="noConversion"/>
  </si>
  <si>
    <t>2015.1.1</t>
    <phoneticPr fontId="4" type="noConversion"/>
  </si>
  <si>
    <t>2017.12.31</t>
    <phoneticPr fontId="4" type="noConversion"/>
  </si>
  <si>
    <t>JCDS-043</t>
    <phoneticPr fontId="4" type="noConversion"/>
  </si>
  <si>
    <t>505
506</t>
    <phoneticPr fontId="4" type="noConversion"/>
  </si>
  <si>
    <t>星河都市安科技（北京）有限公司</t>
    <phoneticPr fontId="4" type="noConversion"/>
  </si>
  <si>
    <t>2014.12.18</t>
    <phoneticPr fontId="4" type="noConversion"/>
  </si>
  <si>
    <t>2017.12.17</t>
    <phoneticPr fontId="4" type="noConversion"/>
  </si>
  <si>
    <t>2个月</t>
    <phoneticPr fontId="4" type="noConversion"/>
  </si>
  <si>
    <t>JCDS-042</t>
    <phoneticPr fontId="4" type="noConversion"/>
  </si>
  <si>
    <t>601A</t>
    <phoneticPr fontId="4" type="noConversion"/>
  </si>
  <si>
    <t>圣龙锦天（北京）国际传媒广告有限公司</t>
    <phoneticPr fontId="4" type="noConversion"/>
  </si>
  <si>
    <t>2016.1.1</t>
    <phoneticPr fontId="4" type="noConversion"/>
  </si>
  <si>
    <t>2017.12.31</t>
    <phoneticPr fontId="4" type="noConversion"/>
  </si>
  <si>
    <t>0.5个月</t>
    <phoneticPr fontId="4" type="noConversion"/>
  </si>
  <si>
    <t>JCDS-48</t>
    <phoneticPr fontId="4" type="noConversion"/>
  </si>
  <si>
    <t>601B</t>
    <phoneticPr fontId="4" type="noConversion"/>
  </si>
  <si>
    <t>北京森德国际旅行社有限公司</t>
    <phoneticPr fontId="4" type="noConversion"/>
  </si>
  <si>
    <t>1.5个月</t>
    <phoneticPr fontId="4" type="noConversion"/>
  </si>
  <si>
    <t>JCDS-49</t>
    <phoneticPr fontId="4" type="noConversion"/>
  </si>
  <si>
    <t>北京京城置地有限公司</t>
    <phoneticPr fontId="4" type="noConversion"/>
  </si>
  <si>
    <t>2017.5.1</t>
    <phoneticPr fontId="4" type="noConversion"/>
  </si>
  <si>
    <t>2018.1.31</t>
    <phoneticPr fontId="4" type="noConversion"/>
  </si>
  <si>
    <t>1个月</t>
    <phoneticPr fontId="4" type="noConversion"/>
  </si>
  <si>
    <t>JCDS-060</t>
    <phoneticPr fontId="4" type="noConversion"/>
  </si>
  <si>
    <t>603A</t>
    <phoneticPr fontId="4" type="noConversion"/>
  </si>
  <si>
    <t>北京京城置地有限公司</t>
    <phoneticPr fontId="4" type="noConversion"/>
  </si>
  <si>
    <t>2016.2.1</t>
    <phoneticPr fontId="4" type="noConversion"/>
  </si>
  <si>
    <t>2018.1.31</t>
    <phoneticPr fontId="4" type="noConversion"/>
  </si>
  <si>
    <t>JCDS-50</t>
    <phoneticPr fontId="4" type="noConversion"/>
  </si>
  <si>
    <t>北京绘本原创教育科技有限公司</t>
    <phoneticPr fontId="4" type="noConversion"/>
  </si>
  <si>
    <t>2016.12.20</t>
    <phoneticPr fontId="4" type="noConversion"/>
  </si>
  <si>
    <t>2018.12.19</t>
    <phoneticPr fontId="4" type="noConversion"/>
  </si>
  <si>
    <t>JCDS-057</t>
    <phoneticPr fontId="4" type="noConversion"/>
  </si>
  <si>
    <t>每月1日</t>
    <phoneticPr fontId="4" type="noConversion"/>
  </si>
  <si>
    <t>北京帆一体育健身服务有限公司</t>
    <phoneticPr fontId="4" type="noConversion"/>
  </si>
  <si>
    <t>2017.1.15</t>
    <phoneticPr fontId="4" type="noConversion"/>
  </si>
  <si>
    <t>2022.1.14</t>
    <phoneticPr fontId="4" type="noConversion"/>
  </si>
  <si>
    <t>F、S：8；
T、F：8.4；
F：8.8</t>
    <phoneticPr fontId="4" type="noConversion"/>
  </si>
  <si>
    <t>2个月</t>
    <phoneticPr fontId="4" type="noConversion"/>
  </si>
  <si>
    <t>JCDS-058</t>
    <phoneticPr fontId="4" type="noConversion"/>
  </si>
  <si>
    <t>浙江东阳新媒诚品文化传媒股份有限公司</t>
    <phoneticPr fontId="4" type="noConversion"/>
  </si>
  <si>
    <t>2015.11.1</t>
    <phoneticPr fontId="4" type="noConversion"/>
  </si>
  <si>
    <t>2017.10.31</t>
    <phoneticPr fontId="4" type="noConversion"/>
  </si>
  <si>
    <t>1个月</t>
    <phoneticPr fontId="4" type="noConversion"/>
  </si>
  <si>
    <t>JCDS-47</t>
    <phoneticPr fontId="4" type="noConversion"/>
  </si>
  <si>
    <t>冠群驰骋投资管理（北京）有限公司</t>
    <phoneticPr fontId="4" type="noConversion"/>
  </si>
  <si>
    <t>2017.5.1</t>
    <phoneticPr fontId="4" type="noConversion"/>
  </si>
  <si>
    <t>2017.5.31</t>
    <phoneticPr fontId="4" type="noConversion"/>
  </si>
  <si>
    <t>1个月</t>
    <phoneticPr fontId="4" type="noConversion"/>
  </si>
  <si>
    <t>JCDS-045</t>
    <phoneticPr fontId="4" type="noConversion"/>
  </si>
  <si>
    <t>北京盛世融通担保有限公司</t>
    <phoneticPr fontId="4" type="noConversion"/>
  </si>
  <si>
    <t>2016.5.20</t>
    <phoneticPr fontId="4" type="noConversion"/>
  </si>
  <si>
    <t>2017.5.19</t>
    <phoneticPr fontId="4" type="noConversion"/>
  </si>
  <si>
    <t>20天</t>
    <phoneticPr fontId="4" type="noConversion"/>
  </si>
  <si>
    <t>JCDS-055</t>
    <phoneticPr fontId="4" type="noConversion"/>
  </si>
  <si>
    <t>北京浩信投资管理有限公司</t>
    <phoneticPr fontId="4" type="noConversion"/>
  </si>
  <si>
    <t>2017.1.23</t>
    <phoneticPr fontId="4" type="noConversion"/>
  </si>
  <si>
    <t>2019.1.22</t>
    <phoneticPr fontId="4" type="noConversion"/>
  </si>
  <si>
    <t>2个月</t>
    <phoneticPr fontId="4" type="noConversion"/>
  </si>
  <si>
    <t>JCDS-059</t>
    <phoneticPr fontId="4" type="noConversion"/>
  </si>
  <si>
    <t>1101.1105.1106</t>
    <phoneticPr fontId="4" type="noConversion"/>
  </si>
  <si>
    <t>北京五谷日记健康科技有限公司</t>
    <phoneticPr fontId="4" type="noConversion"/>
  </si>
  <si>
    <t>2016.3.28</t>
    <phoneticPr fontId="4" type="noConversion"/>
  </si>
  <si>
    <t>2018.3.27</t>
    <phoneticPr fontId="4" type="noConversion"/>
  </si>
  <si>
    <t>2个月</t>
    <phoneticPr fontId="4" type="noConversion"/>
  </si>
  <si>
    <t>JCDS-052</t>
    <phoneticPr fontId="4" type="noConversion"/>
  </si>
  <si>
    <t>1102.1103-A</t>
    <phoneticPr fontId="4" type="noConversion"/>
  </si>
  <si>
    <t>北京玖乐教育科技有限公司</t>
    <phoneticPr fontId="4" type="noConversion"/>
  </si>
  <si>
    <t>2017.6.1</t>
    <phoneticPr fontId="4" type="noConversion"/>
  </si>
  <si>
    <t>2019.5.31</t>
    <phoneticPr fontId="4" type="noConversion"/>
  </si>
  <si>
    <t>JCDS-062</t>
    <phoneticPr fontId="4" type="noConversion"/>
  </si>
  <si>
    <t>1103-B</t>
    <phoneticPr fontId="4" type="noConversion"/>
  </si>
  <si>
    <t>北京玖月奇迹文化传播有限公司</t>
    <phoneticPr fontId="4" type="noConversion"/>
  </si>
  <si>
    <t>2017.6.1</t>
    <phoneticPr fontId="4" type="noConversion"/>
  </si>
  <si>
    <t>2019.5.31</t>
    <phoneticPr fontId="4" type="noConversion"/>
  </si>
  <si>
    <t>JCDS-063</t>
  </si>
  <si>
    <t>12层</t>
    <phoneticPr fontId="4" type="noConversion"/>
  </si>
  <si>
    <t>北京精英远洋科技发展有限公司</t>
    <phoneticPr fontId="4" type="noConversion"/>
  </si>
  <si>
    <t>2016.5.20</t>
    <phoneticPr fontId="4" type="noConversion"/>
  </si>
  <si>
    <t>2020.5.19</t>
    <phoneticPr fontId="4" type="noConversion"/>
  </si>
  <si>
    <t>F、S：8    T、F:8.4</t>
    <phoneticPr fontId="4" type="noConversion"/>
  </si>
  <si>
    <t>JCDS-51</t>
    <phoneticPr fontId="4" type="noConversion"/>
  </si>
  <si>
    <t>北京炬力文化传媒有限公司</t>
    <phoneticPr fontId="4" type="noConversion"/>
  </si>
  <si>
    <t>2016.8.1</t>
    <phoneticPr fontId="4" type="noConversion"/>
  </si>
  <si>
    <t>2018.7.31</t>
    <phoneticPr fontId="4" type="noConversion"/>
  </si>
  <si>
    <t>45天</t>
    <phoneticPr fontId="4" type="noConversion"/>
  </si>
  <si>
    <t>JCDS-056</t>
    <phoneticPr fontId="4" type="noConversion"/>
  </si>
  <si>
    <t>小   计</t>
  </si>
  <si>
    <t>委托工厂</t>
    <phoneticPr fontId="4" type="noConversion"/>
  </si>
  <si>
    <t xml:space="preserve"> 亦庄开发区70M1-2</t>
    <phoneticPr fontId="4" type="noConversion"/>
  </si>
  <si>
    <t>北京ABB高压开关设备有限公司</t>
    <phoneticPr fontId="4" type="noConversion"/>
  </si>
  <si>
    <t>2016.6.2</t>
    <phoneticPr fontId="4" type="noConversion"/>
  </si>
  <si>
    <t>2021.6.1</t>
    <phoneticPr fontId="4" type="noConversion"/>
  </si>
  <si>
    <t>北京ABB高压开关设备有限公司</t>
    <phoneticPr fontId="4" type="noConversion"/>
  </si>
  <si>
    <t>2014.11.1</t>
    <phoneticPr fontId="4" type="noConversion"/>
  </si>
  <si>
    <t>2021.6.1</t>
    <phoneticPr fontId="4" type="noConversion"/>
  </si>
  <si>
    <t>顺义区林河</t>
    <phoneticPr fontId="4" type="noConversion"/>
  </si>
  <si>
    <t>北起多田野（北京）起重机有限公司</t>
    <phoneticPr fontId="4" type="noConversion"/>
  </si>
  <si>
    <t>2015.10.1</t>
    <phoneticPr fontId="4" type="noConversion"/>
  </si>
  <si>
    <t>2017.9.30</t>
    <phoneticPr fontId="4" type="noConversion"/>
  </si>
  <si>
    <t>合   计</t>
  </si>
  <si>
    <t>租赁面积</t>
    <phoneticPr fontId="144" type="noConversion"/>
  </si>
  <si>
    <t>物业费</t>
    <phoneticPr fontId="144" type="noConversion"/>
  </si>
  <si>
    <t>年租金</t>
    <phoneticPr fontId="144" type="noConversion"/>
  </si>
  <si>
    <t>505
506</t>
  </si>
  <si>
    <t>601A</t>
  </si>
  <si>
    <t>601B</t>
  </si>
  <si>
    <t>603A</t>
  </si>
  <si>
    <t>1101.1105.1106</t>
  </si>
  <si>
    <t>1102.1103-A</t>
  </si>
  <si>
    <t>1103-B</t>
  </si>
  <si>
    <t>12层</t>
  </si>
  <si>
    <t>X京房权证朝其字第555182号</t>
    <phoneticPr fontId="144" type="noConversion"/>
  </si>
  <si>
    <t>——</t>
    <phoneticPr fontId="144" type="noConversion"/>
  </si>
  <si>
    <r>
      <rPr>
        <sz val="12"/>
        <color theme="1"/>
        <rFont val="宋体"/>
        <family val="3"/>
        <charset val="134"/>
      </rPr>
      <t>朝阳区东三环中路</t>
    </r>
    <r>
      <rPr>
        <sz val="12"/>
        <color theme="1"/>
        <rFont val="Arial"/>
        <family val="2"/>
      </rPr>
      <t>59</t>
    </r>
    <r>
      <rPr>
        <sz val="12"/>
        <color theme="1"/>
        <rFont val="宋体"/>
        <family val="3"/>
        <charset val="134"/>
      </rPr>
      <t>号楼</t>
    </r>
    <r>
      <rPr>
        <sz val="12"/>
        <color theme="1"/>
        <rFont val="Arial"/>
        <family val="2"/>
      </rPr>
      <t>501</t>
    </r>
    <r>
      <rPr>
        <sz val="12"/>
        <color theme="1"/>
        <rFont val="宋体"/>
        <family val="3"/>
        <charset val="134"/>
      </rPr>
      <t>号等</t>
    </r>
    <r>
      <rPr>
        <sz val="12"/>
        <color theme="1"/>
        <rFont val="Arial"/>
        <family val="2"/>
      </rPr>
      <t>21</t>
    </r>
    <r>
      <rPr>
        <sz val="12"/>
        <color theme="1"/>
        <rFont val="宋体"/>
        <family val="3"/>
        <charset val="134"/>
      </rPr>
      <t>套办公用房</t>
    </r>
    <phoneticPr fontId="7" type="noConversion"/>
  </si>
  <si>
    <t>1-6层</t>
    <phoneticPr fontId="144" type="noConversion"/>
  </si>
  <si>
    <t>7-13层</t>
    <phoneticPr fontId="144" type="noConversion"/>
  </si>
  <si>
    <t>14-20层</t>
    <phoneticPr fontId="144" type="noConversion"/>
  </si>
  <si>
    <t>低区</t>
    <phoneticPr fontId="144" type="noConversion"/>
  </si>
  <si>
    <t>中区</t>
    <phoneticPr fontId="144" type="noConversion"/>
  </si>
  <si>
    <t>高区</t>
    <phoneticPr fontId="144" type="noConversion"/>
  </si>
  <si>
    <t>2017-1-1021</t>
    <phoneticPr fontId="7" type="noConversion"/>
  </si>
  <si>
    <t>核定资产</t>
  </si>
  <si>
    <t>企业</t>
  </si>
  <si>
    <t>出让</t>
  </si>
  <si>
    <t>《房屋所有权证》[X京房权证朝其字第555196号]</t>
    <phoneticPr fontId="7" type="noConversion"/>
  </si>
  <si>
    <t>办公</t>
    <phoneticPr fontId="7" type="noConversion"/>
  </si>
  <si>
    <t>复印件</t>
  </si>
  <si>
    <t>是</t>
  </si>
  <si>
    <t>地上</t>
  </si>
  <si>
    <t>办公楼</t>
  </si>
  <si>
    <t>成新度</t>
  </si>
  <si>
    <t>价值时点</t>
  </si>
  <si>
    <t>法定最高/出让年限</t>
  </si>
  <si>
    <t>终止日期</t>
  </si>
  <si>
    <t>剩余土地使用年限</t>
  </si>
  <si>
    <t>年期修正系数</t>
  </si>
  <si>
    <t>报酬率-土地</t>
  </si>
  <si>
    <t>收益法 (元)</t>
  </si>
  <si>
    <t>押一</t>
  </si>
  <si>
    <t>估价对象周边2公里范围内路网密集、有57、72、300路等多辆公交车经过，有1号线、7号线、10号线经过，周边停车便捷，综合评价交通便捷度好。</t>
    <phoneticPr fontId="42" type="noConversion"/>
  </si>
  <si>
    <t>估价对象所在区域公共配套设施齐备</t>
    <phoneticPr fontId="42" type="noConversion"/>
  </si>
  <si>
    <t>估价对象所在区域基础设施水平可达红线外“七通”</t>
    <phoneticPr fontId="26" type="noConversion"/>
  </si>
  <si>
    <t>城市支路</t>
  </si>
  <si>
    <t>城市支路</t>
    <phoneticPr fontId="26" type="noConversion"/>
  </si>
  <si>
    <t>现房</t>
  </si>
  <si>
    <t>典型户型修正</t>
  </si>
  <si>
    <t>典型户型修正</t>
    <phoneticPr fontId="17" type="noConversion"/>
  </si>
  <si>
    <t>售价</t>
  </si>
  <si>
    <t>京城机电大厦</t>
    <phoneticPr fontId="4" type="noConversion"/>
  </si>
  <si>
    <t>较好</t>
  </si>
  <si>
    <t>好</t>
  </si>
  <si>
    <t>七通</t>
  </si>
  <si>
    <t>一般</t>
  </si>
  <si>
    <t>城市支路—天力街</t>
    <phoneticPr fontId="33" type="noConversion"/>
  </si>
  <si>
    <t>高速路</t>
    <phoneticPr fontId="33" type="noConversion"/>
  </si>
  <si>
    <t>城市主干道</t>
    <phoneticPr fontId="33" type="noConversion"/>
  </si>
  <si>
    <t>城市次干道</t>
    <phoneticPr fontId="33" type="noConversion"/>
  </si>
  <si>
    <t>城市支路</t>
    <phoneticPr fontId="33" type="noConversion"/>
  </si>
  <si>
    <t>高区</t>
  </si>
  <si>
    <t>高区</t>
    <phoneticPr fontId="33" type="noConversion"/>
  </si>
  <si>
    <t>中区</t>
  </si>
  <si>
    <t>中区</t>
    <phoneticPr fontId="33" type="noConversion"/>
  </si>
  <si>
    <t>低区</t>
  </si>
  <si>
    <t>低区</t>
    <phoneticPr fontId="33" type="noConversion"/>
  </si>
  <si>
    <t>写字楼办公</t>
  </si>
  <si>
    <t>写字楼办公</t>
    <phoneticPr fontId="33" type="noConversion"/>
  </si>
  <si>
    <t>钢混</t>
  </si>
  <si>
    <t>钢混</t>
    <phoneticPr fontId="33" type="noConversion"/>
  </si>
  <si>
    <t>砖混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</si>
  <si>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</si>
  <si>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</si>
  <si>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</si>
  <si>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</si>
  <si>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</si>
  <si>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</si>
  <si>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r>
      <t>5A</t>
    </r>
    <r>
      <rPr>
        <sz val="11"/>
        <color indexed="8"/>
        <rFont val="宋体"/>
        <family val="3"/>
        <charset val="134"/>
      </rPr>
      <t>级</t>
    </r>
    <phoneticPr fontId="33" type="noConversion"/>
  </si>
  <si>
    <t>甲级</t>
  </si>
  <si>
    <t>甲级</t>
    <phoneticPr fontId="33" type="noConversion"/>
  </si>
  <si>
    <t>乙级</t>
    <phoneticPr fontId="33" type="noConversion"/>
  </si>
  <si>
    <t>丙级</t>
    <phoneticPr fontId="33" type="noConversion"/>
  </si>
  <si>
    <t>专业物业管理</t>
    <phoneticPr fontId="33" type="noConversion"/>
  </si>
  <si>
    <t>普通物业管理</t>
    <phoneticPr fontId="33" type="noConversion"/>
  </si>
  <si>
    <t>无</t>
  </si>
  <si>
    <t>无</t>
    <phoneticPr fontId="33" type="noConversion"/>
  </si>
  <si>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</si>
  <si>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</si>
  <si>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</si>
  <si>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</si>
  <si>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</si>
  <si>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</si>
  <si>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超高层</t>
    <phoneticPr fontId="33" type="noConversion"/>
  </si>
  <si>
    <t>标准层高</t>
  </si>
  <si>
    <t>标准层高</t>
    <phoneticPr fontId="33" type="noConversion"/>
  </si>
  <si>
    <r>
      <rPr>
        <b/>
        <sz val="11"/>
        <rFont val="宋体"/>
        <family val="3"/>
        <charset val="134"/>
      </rPr>
      <t>估价对象</t>
    </r>
    <r>
      <rPr>
        <b/>
        <sz val="11"/>
        <rFont val="Arial"/>
        <family val="2"/>
      </rPr>
      <t>501</t>
    </r>
    <r>
      <rPr>
        <b/>
        <sz val="11"/>
        <rFont val="宋体"/>
        <family val="3"/>
        <charset val="134"/>
      </rPr>
      <t>号办公用房的比较价值</t>
    </r>
    <phoneticPr fontId="4" type="noConversion"/>
  </si>
  <si>
    <t>30-40（含）</t>
  </si>
  <si>
    <t>办公</t>
    <phoneticPr fontId="33" type="noConversion"/>
  </si>
  <si>
    <t>非生产用房</t>
  </si>
  <si>
    <t>办公项目</t>
  </si>
  <si>
    <t>否</t>
  </si>
  <si>
    <t>通路</t>
  </si>
  <si>
    <t>通电</t>
  </si>
  <si>
    <t>通上水</t>
  </si>
  <si>
    <t>通讯</t>
  </si>
  <si>
    <t>通下水</t>
  </si>
  <si>
    <t>燃气</t>
  </si>
  <si>
    <t>比较法-办公 (租金)</t>
    <phoneticPr fontId="17" type="noConversion"/>
  </si>
  <si>
    <t>租金</t>
  </si>
  <si>
    <t>佳龙大厦</t>
    <phoneticPr fontId="4" type="noConversion"/>
  </si>
  <si>
    <t>乐成中心</t>
    <phoneticPr fontId="4" type="noConversion"/>
  </si>
  <si>
    <t>百环大厦</t>
    <phoneticPr fontId="4" type="noConversion"/>
  </si>
  <si>
    <t>正常</t>
    <phoneticPr fontId="144" type="noConversion"/>
  </si>
  <si>
    <t>办公</t>
    <phoneticPr fontId="144" type="noConversion"/>
  </si>
  <si>
    <t>城市快速路—东三环</t>
    <phoneticPr fontId="144" type="noConversion"/>
  </si>
  <si>
    <t>城市支路—八棵杨北街</t>
    <phoneticPr fontId="144" type="noConversion"/>
  </si>
  <si>
    <t>甲级</t>
    <phoneticPr fontId="144" type="noConversion"/>
  </si>
  <si>
    <t>专业物业管理</t>
    <phoneticPr fontId="144" type="noConversion"/>
  </si>
  <si>
    <t>六通</t>
    <phoneticPr fontId="144" type="noConversion"/>
  </si>
  <si>
    <t>标准层高</t>
    <phoneticPr fontId="144" type="noConversion"/>
  </si>
  <si>
    <t>普通装修</t>
    <phoneticPr fontId="144" type="noConversion"/>
  </si>
  <si>
    <t>较好</t>
    <phoneticPr fontId="144" type="noConversion"/>
  </si>
  <si>
    <t>城市快速路</t>
  </si>
  <si>
    <t>城市快速路</t>
    <phoneticPr fontId="144" type="noConversion"/>
  </si>
  <si>
    <t>5A级</t>
  </si>
  <si>
    <t>普通物业管理</t>
  </si>
  <si>
    <t>区域有一定数量大型绿化，自然环境一般：周边有一定数量图书馆，歌剧院等，无高等院校等，人文环境一般；综合评价环境状况一般。</t>
    <phoneticPr fontId="42" type="noConversion"/>
  </si>
  <si>
    <t>《房屋所有权证》证号</t>
    <phoneticPr fontId="144" type="noConversion"/>
  </si>
  <si>
    <t>规划用途</t>
    <phoneticPr fontId="144" type="noConversion"/>
  </si>
  <si>
    <t>——</t>
    <phoneticPr fontId="144" type="noConversion"/>
  </si>
  <si>
    <t>富力双子座B座</t>
    <phoneticPr fontId="4" type="noConversion"/>
  </si>
  <si>
    <t>正常</t>
    <phoneticPr fontId="33" type="noConversion"/>
  </si>
  <si>
    <t>办公</t>
    <phoneticPr fontId="33" type="noConversion"/>
  </si>
  <si>
    <t>正常</t>
    <phoneticPr fontId="33" type="noConversion"/>
  </si>
  <si>
    <t>正常</t>
    <phoneticPr fontId="33" type="noConversion"/>
  </si>
  <si>
    <t>办公</t>
    <phoneticPr fontId="33" type="noConversion"/>
  </si>
  <si>
    <t>较好</t>
    <phoneticPr fontId="33" type="noConversion"/>
  </si>
  <si>
    <t>估价对象位于国贸商圈，周边办公楼项目较多，有富力中心，乐成中心、佳龙大厦等，入驻率较高，办公集聚程度较好</t>
    <phoneticPr fontId="26" type="noConversion"/>
  </si>
  <si>
    <t>富尔大厦</t>
    <phoneticPr fontId="33" type="noConversion"/>
  </si>
  <si>
    <t>好</t>
    <phoneticPr fontId="33" type="noConversion"/>
  </si>
  <si>
    <t>建外SOHO</t>
    <phoneticPr fontId="4" type="noConversion"/>
  </si>
  <si>
    <t>城市支路</t>
    <phoneticPr fontId="33" type="noConversion"/>
  </si>
  <si>
    <t>快速路</t>
  </si>
  <si>
    <t>快速路</t>
    <phoneticPr fontId="33" type="noConversion"/>
  </si>
  <si>
    <t>写字楼办公</t>
    <phoneticPr fontId="33" type="noConversion"/>
  </si>
  <si>
    <r>
      <t>501</t>
    </r>
    <r>
      <rPr>
        <sz val="10"/>
        <color indexed="8"/>
        <rFont val="宋体"/>
        <family val="3"/>
        <charset val="134"/>
      </rPr>
      <t>等</t>
    </r>
    <r>
      <rPr>
        <sz val="10"/>
        <color indexed="8"/>
        <rFont val="Arial"/>
        <family val="2"/>
      </rPr>
      <t>21</t>
    </r>
    <r>
      <rPr>
        <sz val="10"/>
        <color indexed="8"/>
        <rFont val="宋体"/>
        <family val="3"/>
        <charset val="134"/>
      </rPr>
      <t>套办公用房</t>
    </r>
    <phoneticPr fontId="4" type="noConversion"/>
  </si>
  <si>
    <t>501等21套办公用房</t>
  </si>
  <si>
    <t>北京京城机电控股有限责任公司</t>
    <phoneticPr fontId="7" type="noConversion"/>
  </si>
  <si>
    <r>
      <rPr>
        <sz val="12"/>
        <rFont val="宋体"/>
        <family val="3"/>
        <charset val="134"/>
      </rPr>
      <t>办公</t>
    </r>
    <r>
      <rPr>
        <sz val="12"/>
        <rFont val="Arial"/>
        <family val="2"/>
      </rPr>
      <t>32.16</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</si>
</sst>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 numFmtId="198" formatCode="0.0"/>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name val="仿宋"/>
      <family val="3"/>
      <charset val="134"/>
    </font>
    <font>
      <sz val="12"/>
      <name val="仿宋"/>
      <family val="3"/>
      <charset val="134"/>
    </font>
    <font>
      <b/>
      <sz val="16"/>
      <name val="仿宋"/>
      <family val="3"/>
      <charset val="134"/>
    </font>
    <font>
      <sz val="10"/>
      <name val="仿宋"/>
      <family val="3"/>
      <charset val="134"/>
    </font>
    <font>
      <sz val="8"/>
      <name val="仿宋"/>
      <family val="3"/>
      <charset val="134"/>
    </font>
    <font>
      <b/>
      <sz val="10"/>
      <name val="仿宋"/>
      <family val="3"/>
      <charset val="134"/>
    </font>
    <font>
      <sz val="12"/>
      <color rgb="FFFF0000"/>
      <name val="仿宋"/>
      <family val="3"/>
      <charset val="134"/>
    </font>
    <font>
      <sz val="10"/>
      <color indexed="10"/>
      <name val="仿宋"/>
      <family val="3"/>
      <charset val="134"/>
    </font>
    <font>
      <sz val="6"/>
      <name val="仿宋"/>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4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wrapText="1"/>
      <protection locked="0"/>
    </xf>
    <xf numFmtId="49" fontId="134" fillId="0" borderId="4" xfId="0" applyNumberFormat="1" applyFont="1" applyFill="1" applyBorder="1" applyAlignment="1" applyProtection="1">
      <alignment horizontal="left" vertical="center"/>
      <protection locked="0"/>
    </xf>
    <xf numFmtId="0" fontId="256" fillId="0" borderId="0" xfId="0" applyFont="1" applyBorder="1" applyAlignment="1">
      <alignment horizontal="center" vertical="center"/>
    </xf>
    <xf numFmtId="0" fontId="256" fillId="0" borderId="0" xfId="0" applyFont="1" applyBorder="1">
      <alignment vertical="center"/>
    </xf>
    <xf numFmtId="0" fontId="257" fillId="0" borderId="0" xfId="0" applyFont="1" applyBorder="1" applyAlignment="1">
      <alignment vertical="center"/>
    </xf>
    <xf numFmtId="0" fontId="83" fillId="0" borderId="0" xfId="0" applyFont="1" applyFill="1" applyBorder="1" applyAlignment="1">
      <alignment vertical="center"/>
    </xf>
    <xf numFmtId="0" fontId="83" fillId="0" borderId="0" xfId="0" applyFont="1" applyFill="1" applyBorder="1" applyAlignment="1">
      <alignment horizontal="left" vertical="center"/>
    </xf>
    <xf numFmtId="0" fontId="83" fillId="0" borderId="60" xfId="0" applyFont="1" applyFill="1" applyBorder="1" applyAlignment="1">
      <alignment vertical="center"/>
    </xf>
    <xf numFmtId="0" fontId="256" fillId="0" borderId="0" xfId="0" applyFont="1" applyFill="1" applyBorder="1" applyAlignment="1">
      <alignment horizontal="center" vertical="center"/>
    </xf>
    <xf numFmtId="0" fontId="259" fillId="0" borderId="3" xfId="0" applyFont="1" applyBorder="1" applyAlignment="1">
      <alignment horizontal="center" vertical="center" wrapText="1"/>
    </xf>
    <xf numFmtId="0" fontId="259" fillId="0" borderId="1" xfId="0" applyFont="1" applyBorder="1" applyAlignment="1">
      <alignment horizontal="center" vertical="center" wrapText="1"/>
    </xf>
    <xf numFmtId="0" fontId="259"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57" fillId="0" borderId="0" xfId="0" applyFont="1" applyBorder="1" applyAlignment="1">
      <alignment horizontal="center"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Fill="1" applyBorder="1" applyAlignment="1">
      <alignment horizontal="center" vertical="center"/>
    </xf>
    <xf numFmtId="0" fontId="260" fillId="0" borderId="1" xfId="0" applyNumberFormat="1" applyFont="1" applyBorder="1" applyAlignment="1">
      <alignment horizontal="center" vertical="center"/>
    </xf>
    <xf numFmtId="0" fontId="257" fillId="0" borderId="1" xfId="0" applyFont="1" applyBorder="1" applyAlignment="1">
      <alignment horizontal="center" vertical="center"/>
    </xf>
    <xf numFmtId="0" fontId="257" fillId="0" borderId="0" xfId="0" applyFont="1" applyBorder="1" applyAlignment="1">
      <alignment horizontal="center" vertical="center"/>
    </xf>
    <xf numFmtId="0" fontId="259" fillId="0" borderId="3"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3" fillId="0" borderId="1" xfId="0" applyFont="1" applyFill="1" applyBorder="1" applyAlignment="1">
      <alignment vertical="center" wrapText="1"/>
    </xf>
    <xf numFmtId="0" fontId="259" fillId="0" borderId="1" xfId="0" applyFont="1" applyFill="1" applyBorder="1" applyAlignment="1">
      <alignment horizontal="center" vertical="center"/>
    </xf>
    <xf numFmtId="0" fontId="259" fillId="0" borderId="1" xfId="0" applyFont="1" applyBorder="1" applyAlignment="1">
      <alignment horizontal="center" vertical="center"/>
    </xf>
    <xf numFmtId="179" fontId="259" fillId="0" borderId="1" xfId="0" applyNumberFormat="1" applyFont="1" applyBorder="1" applyAlignment="1">
      <alignment horizontal="center" vertical="center"/>
    </xf>
    <xf numFmtId="179" fontId="259"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xf>
    <xf numFmtId="179" fontId="261" fillId="0" borderId="1" xfId="0" applyNumberFormat="1" applyFont="1" applyBorder="1" applyAlignment="1">
      <alignment horizontal="center" vertical="center"/>
    </xf>
    <xf numFmtId="0" fontId="259" fillId="0" borderId="1" xfId="0" applyNumberFormat="1" applyFont="1" applyBorder="1" applyAlignment="1">
      <alignment horizontal="center" vertical="center"/>
    </xf>
    <xf numFmtId="0" fontId="83" fillId="0" borderId="1" xfId="0" applyFont="1" applyFill="1" applyBorder="1" applyAlignment="1">
      <alignment horizontal="justify" vertical="center" wrapText="1"/>
    </xf>
    <xf numFmtId="0" fontId="259" fillId="7" borderId="1" xfId="0" applyFont="1" applyFill="1" applyBorder="1" applyAlignment="1">
      <alignment horizontal="center" vertical="center"/>
    </xf>
    <xf numFmtId="0" fontId="259" fillId="7" borderId="1" xfId="0" applyFont="1" applyFill="1" applyBorder="1" applyAlignment="1">
      <alignment horizontal="center" vertical="center" wrapText="1"/>
    </xf>
    <xf numFmtId="179" fontId="259" fillId="7" borderId="1" xfId="0" applyNumberFormat="1" applyFont="1" applyFill="1" applyBorder="1" applyAlignment="1">
      <alignment horizontal="center" vertical="center"/>
    </xf>
    <xf numFmtId="177" fontId="259" fillId="7" borderId="1" xfId="0" applyNumberFormat="1" applyFont="1" applyFill="1" applyBorder="1" applyAlignment="1">
      <alignment horizontal="center" vertical="center"/>
    </xf>
    <xf numFmtId="0" fontId="259" fillId="7" borderId="1" xfId="0" applyFont="1" applyFill="1" applyBorder="1" applyAlignment="1">
      <alignment horizontal="left" vertical="center" wrapText="1"/>
    </xf>
    <xf numFmtId="179" fontId="261" fillId="7" borderId="1" xfId="0" applyNumberFormat="1" applyFont="1" applyFill="1" applyBorder="1" applyAlignment="1">
      <alignment horizontal="center" vertical="center"/>
    </xf>
    <xf numFmtId="197" fontId="262" fillId="7" borderId="0" xfId="0" applyNumberFormat="1" applyFont="1" applyFill="1" applyBorder="1" applyAlignment="1">
      <alignment horizontal="center" vertical="center"/>
    </xf>
    <xf numFmtId="179" fontId="263" fillId="0" borderId="1" xfId="0" applyNumberFormat="1" applyFont="1" applyBorder="1" applyAlignment="1">
      <alignment horizontal="center" vertical="center"/>
    </xf>
    <xf numFmtId="179" fontId="263"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wrapText="1"/>
    </xf>
    <xf numFmtId="0" fontId="83" fillId="0" borderId="1" xfId="0" applyFont="1" applyFill="1" applyBorder="1" applyAlignment="1">
      <alignment horizontal="left" vertical="center" wrapText="1"/>
    </xf>
    <xf numFmtId="177" fontId="259" fillId="0" borderId="1" xfId="0" applyNumberFormat="1" applyFont="1" applyFill="1" applyBorder="1" applyAlignment="1">
      <alignment horizontal="left" vertical="center" wrapText="1"/>
    </xf>
    <xf numFmtId="179" fontId="261" fillId="0" borderId="2" xfId="0" applyNumberFormat="1" applyFont="1" applyBorder="1" applyAlignment="1">
      <alignment horizontal="center" vertical="center"/>
    </xf>
    <xf numFmtId="0" fontId="259" fillId="7" borderId="1" xfId="0" applyNumberFormat="1" applyFont="1" applyFill="1" applyBorder="1" applyAlignment="1">
      <alignment horizontal="center" vertical="center"/>
    </xf>
    <xf numFmtId="0" fontId="257" fillId="7" borderId="0" xfId="0" applyFont="1" applyFill="1" applyBorder="1" applyAlignment="1">
      <alignment horizontal="center" vertical="center" wrapText="1"/>
    </xf>
    <xf numFmtId="2" fontId="259" fillId="0" borderId="1" xfId="0" applyNumberFormat="1" applyFont="1" applyBorder="1" applyAlignment="1">
      <alignment horizontal="center" vertical="center" wrapText="1"/>
    </xf>
    <xf numFmtId="0" fontId="261" fillId="0" borderId="1" xfId="0" applyFont="1" applyFill="1" applyBorder="1" applyAlignment="1">
      <alignment horizontal="center" vertical="center" wrapText="1"/>
    </xf>
    <xf numFmtId="0" fontId="261" fillId="0" borderId="1" xfId="0" applyFont="1" applyBorder="1" applyAlignment="1">
      <alignment horizontal="center" vertical="center"/>
    </xf>
    <xf numFmtId="179" fontId="261" fillId="0" borderId="1" xfId="0" applyNumberFormat="1" applyFont="1" applyFill="1" applyBorder="1" applyAlignment="1">
      <alignment horizontal="center" vertical="center"/>
    </xf>
    <xf numFmtId="43" fontId="261" fillId="0" borderId="1" xfId="0" applyNumberFormat="1" applyFont="1" applyBorder="1" applyAlignment="1">
      <alignment horizontal="center" vertical="center"/>
    </xf>
    <xf numFmtId="179" fontId="260" fillId="0" borderId="1" xfId="0" applyNumberFormat="1" applyFont="1" applyBorder="1" applyAlignment="1">
      <alignment vertical="center" wrapText="1"/>
    </xf>
    <xf numFmtId="0" fontId="257" fillId="0" borderId="0" xfId="0" applyFont="1" applyBorder="1" applyAlignment="1">
      <alignment horizontal="left" vertical="center" wrapText="1"/>
    </xf>
    <xf numFmtId="179" fontId="259" fillId="0" borderId="1" xfId="0" applyNumberFormat="1" applyFont="1" applyBorder="1" applyAlignment="1">
      <alignment vertical="center" wrapText="1"/>
    </xf>
    <xf numFmtId="0" fontId="261" fillId="0" borderId="1" xfId="0" applyFont="1" applyBorder="1" applyAlignment="1">
      <alignment horizontal="center" vertical="center" wrapText="1"/>
    </xf>
    <xf numFmtId="0" fontId="259" fillId="0" borderId="1" xfId="0" applyNumberFormat="1" applyFont="1" applyBorder="1" applyAlignment="1">
      <alignment horizontal="center" vertical="center" wrapText="1"/>
    </xf>
    <xf numFmtId="0" fontId="264" fillId="0" borderId="1" xfId="0" applyFont="1" applyBorder="1" applyAlignment="1">
      <alignment vertical="center" wrapText="1"/>
    </xf>
    <xf numFmtId="177" fontId="259"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259" fillId="7" borderId="1" xfId="0" applyNumberFormat="1" applyFont="1" applyFill="1" applyBorder="1" applyAlignment="1">
      <alignment horizontal="center" vertical="center" wrapText="1"/>
    </xf>
    <xf numFmtId="179" fontId="259" fillId="7" borderId="1" xfId="0" applyNumberFormat="1" applyFont="1" applyFill="1" applyBorder="1" applyAlignment="1">
      <alignment horizontal="center" vertical="center" wrapText="1"/>
    </xf>
    <xf numFmtId="179" fontId="259" fillId="0" borderId="1" xfId="0" applyNumberFormat="1" applyFont="1" applyFill="1" applyBorder="1" applyAlignment="1">
      <alignment horizontal="center" vertical="center" wrapText="1"/>
    </xf>
    <xf numFmtId="179" fontId="261" fillId="7" borderId="1" xfId="0" applyNumberFormat="1" applyFont="1" applyFill="1" applyBorder="1" applyAlignment="1">
      <alignment horizontal="center" vertical="center" wrapText="1"/>
    </xf>
    <xf numFmtId="0" fontId="259" fillId="7" borderId="1" xfId="0" applyNumberFormat="1" applyFont="1" applyFill="1" applyBorder="1" applyAlignment="1">
      <alignment horizontal="center" vertical="center" wrapText="1"/>
    </xf>
    <xf numFmtId="0" fontId="260" fillId="7" borderId="1" xfId="0" applyFont="1" applyFill="1" applyBorder="1" applyAlignment="1">
      <alignment horizontal="center" vertical="center" wrapText="1"/>
    </xf>
    <xf numFmtId="0" fontId="261" fillId="0" borderId="1" xfId="0" applyFont="1" applyBorder="1" applyAlignment="1">
      <alignment vertical="center" wrapText="1"/>
    </xf>
    <xf numFmtId="179" fontId="261" fillId="0" borderId="1" xfId="0" applyNumberFormat="1" applyFont="1" applyFill="1" applyBorder="1" applyAlignment="1">
      <alignment horizontal="center" vertical="center" wrapText="1"/>
    </xf>
    <xf numFmtId="0" fontId="259" fillId="0" borderId="3" xfId="0" applyFont="1" applyBorder="1">
      <alignment vertical="center"/>
    </xf>
    <xf numFmtId="0" fontId="259" fillId="0" borderId="1" xfId="0" applyFont="1" applyBorder="1">
      <alignment vertical="center"/>
    </xf>
    <xf numFmtId="0" fontId="257" fillId="0" borderId="0" xfId="0" applyFont="1" applyBorder="1">
      <alignment vertical="center"/>
    </xf>
    <xf numFmtId="0" fontId="100" fillId="0" borderId="0" xfId="0" applyFont="1">
      <alignment vertical="center"/>
    </xf>
    <xf numFmtId="0" fontId="259" fillId="9" borderId="1" xfId="0" applyFont="1" applyFill="1" applyBorder="1" applyAlignment="1">
      <alignment horizontal="center" vertical="center"/>
    </xf>
    <xf numFmtId="179" fontId="0" fillId="0" borderId="0" xfId="0" applyNumberFormat="1">
      <alignment vertical="center"/>
    </xf>
    <xf numFmtId="0" fontId="0" fillId="0" borderId="0" xfId="0" applyAlignment="1">
      <alignment horizontal="center" vertical="center"/>
    </xf>
    <xf numFmtId="179" fontId="0" fillId="0" borderId="1" xfId="0" applyNumberFormat="1" applyBorder="1" applyAlignment="1">
      <alignment horizontal="center" vertical="center"/>
    </xf>
    <xf numFmtId="0" fontId="0" fillId="5"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114" fillId="0" borderId="1" xfId="0" applyFont="1" applyBorder="1" applyAlignment="1">
      <alignment horizontal="center" vertical="center"/>
    </xf>
    <xf numFmtId="0" fontId="114" fillId="0" borderId="0" xfId="0" applyFont="1">
      <alignment vertical="center"/>
    </xf>
    <xf numFmtId="0" fontId="114" fillId="0" borderId="1" xfId="0"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58" fontId="114" fillId="0" borderId="0" xfId="0" applyNumberFormat="1" applyFont="1">
      <alignment vertical="center"/>
    </xf>
    <xf numFmtId="0" fontId="119" fillId="6" borderId="26" xfId="0" applyFont="1" applyFill="1" applyBorder="1" applyAlignment="1"/>
    <xf numFmtId="184" fontId="265" fillId="0" borderId="67" xfId="0" applyNumberFormat="1" applyFont="1" applyFill="1" applyBorder="1" applyAlignment="1" applyProtection="1">
      <alignment horizontal="center" vertical="center"/>
      <protection locked="0"/>
    </xf>
    <xf numFmtId="0" fontId="119" fillId="0" borderId="0" xfId="0" applyFont="1" applyAlignment="1"/>
    <xf numFmtId="180" fontId="266" fillId="6" borderId="6" xfId="1" applyNumberFormat="1" applyFont="1" applyFill="1" applyBorder="1" applyAlignment="1" applyProtection="1">
      <alignment horizontal="center" vertical="center" wrapText="1"/>
    </xf>
    <xf numFmtId="0" fontId="265" fillId="6" borderId="9" xfId="0" applyFont="1" applyFill="1" applyBorder="1" applyAlignment="1" applyProtection="1">
      <alignment horizontal="center" vertical="center" wrapText="1"/>
    </xf>
    <xf numFmtId="179" fontId="265" fillId="6" borderId="9" xfId="0" applyNumberFormat="1" applyFont="1" applyFill="1" applyBorder="1" applyAlignment="1" applyProtection="1">
      <alignment horizontal="center" vertical="center" wrapText="1"/>
    </xf>
    <xf numFmtId="0" fontId="265" fillId="6" borderId="10" xfId="0" applyFont="1" applyFill="1" applyBorder="1" applyAlignment="1" applyProtection="1">
      <alignment horizontal="center" vertical="center" wrapText="1"/>
    </xf>
    <xf numFmtId="177" fontId="265" fillId="5" borderId="25" xfId="1" applyNumberFormat="1" applyFont="1" applyFill="1" applyBorder="1" applyAlignment="1" applyProtection="1">
      <alignment horizontal="center" vertical="center"/>
      <protection locked="0"/>
    </xf>
    <xf numFmtId="184" fontId="265" fillId="0" borderId="32" xfId="0" applyNumberFormat="1" applyFont="1" applyFill="1" applyBorder="1" applyAlignment="1" applyProtection="1">
      <alignment horizontal="center" vertical="center"/>
      <protection locked="0"/>
    </xf>
    <xf numFmtId="179" fontId="266" fillId="6" borderId="32" xfId="1" applyNumberFormat="1" applyFont="1" applyFill="1" applyBorder="1" applyAlignment="1" applyProtection="1">
      <alignment horizontal="center" vertical="center"/>
    </xf>
    <xf numFmtId="180" fontId="266" fillId="6" borderId="32" xfId="1" applyNumberFormat="1" applyFont="1" applyFill="1" applyBorder="1" applyAlignment="1" applyProtection="1">
      <alignment horizontal="center" vertical="center"/>
    </xf>
    <xf numFmtId="181" fontId="119" fillId="0" borderId="49" xfId="0" applyNumberFormat="1" applyFont="1" applyFill="1" applyBorder="1" applyAlignment="1" applyProtection="1">
      <alignment horizontal="center" vertical="center"/>
      <protection locked="0"/>
    </xf>
    <xf numFmtId="0" fontId="99" fillId="0" borderId="24" xfId="0" applyFont="1" applyBorder="1" applyAlignment="1" applyProtection="1">
      <alignment horizontal="center" vertical="center" wrapText="1"/>
      <protection locked="0"/>
    </xf>
    <xf numFmtId="49" fontId="99" fillId="0" borderId="24" xfId="0" applyNumberFormat="1" applyFont="1" applyFill="1" applyBorder="1" applyAlignment="1" applyProtection="1">
      <alignment horizontal="center" vertical="center" wrapText="1"/>
      <protection locked="0"/>
    </xf>
    <xf numFmtId="0" fontId="99" fillId="0" borderId="49" xfId="0" applyFont="1" applyBorder="1" applyAlignment="1" applyProtection="1">
      <alignment horizontal="center" vertical="center"/>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54" fillId="0" borderId="42" xfId="0" applyNumberFormat="1"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4" fontId="0" fillId="0" borderId="0" xfId="0" applyNumberFormat="1">
      <alignment vertical="center"/>
    </xf>
    <xf numFmtId="14" fontId="114" fillId="0" borderId="0" xfId="0" applyNumberFormat="1" applyFont="1" applyAlignment="1">
      <alignment horizontal="center" vertical="center"/>
    </xf>
    <xf numFmtId="49" fontId="138" fillId="2" borderId="26"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138" fillId="0" borderId="0" xfId="0" applyFont="1" applyFill="1" applyAlignment="1" applyProtection="1">
      <alignment horizontal="center" vertical="center"/>
      <protection locked="0"/>
    </xf>
    <xf numFmtId="2" fontId="54" fillId="6" borderId="38" xfId="0" applyNumberFormat="1" applyFont="1" applyFill="1" applyBorder="1" applyAlignment="1" applyProtection="1">
      <alignment vertical="center" wrapText="1"/>
    </xf>
    <xf numFmtId="198" fontId="54" fillId="6" borderId="47" xfId="0" applyNumberFormat="1" applyFont="1" applyFill="1" applyBorder="1" applyAlignment="1" applyProtection="1">
      <alignmen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0" fontId="100" fillId="0" borderId="2" xfId="0" applyFont="1" applyBorder="1" applyAlignment="1">
      <alignment horizontal="center" vertical="center"/>
    </xf>
    <xf numFmtId="184" fontId="65" fillId="16" borderId="1" xfId="0" applyNumberFormat="1" applyFont="1" applyFill="1" applyBorder="1" applyAlignment="1" applyProtection="1">
      <alignment horizontal="center" vertical="center" shrinkToFit="1"/>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59" fillId="0" borderId="60" xfId="0" applyFont="1" applyBorder="1" applyAlignment="1">
      <alignment vertical="center"/>
    </xf>
    <xf numFmtId="0" fontId="259" fillId="0" borderId="0" xfId="0" applyFont="1" applyBorder="1" applyAlignment="1">
      <alignment vertical="center"/>
    </xf>
    <xf numFmtId="0" fontId="261" fillId="0" borderId="54" xfId="0" applyFont="1" applyBorder="1" applyAlignment="1">
      <alignment horizontal="center" vertical="center"/>
    </xf>
    <xf numFmtId="0" fontId="261" fillId="0" borderId="3" xfId="0" applyFont="1" applyBorder="1" applyAlignment="1">
      <alignment horizontal="center" vertical="center"/>
    </xf>
    <xf numFmtId="0" fontId="261" fillId="0" borderId="3" xfId="0" applyFont="1" applyFill="1" applyBorder="1" applyAlignment="1">
      <alignment horizontal="center" vertical="center" wrapText="1"/>
    </xf>
    <xf numFmtId="0" fontId="261" fillId="0" borderId="1" xfId="0" applyFont="1" applyFill="1" applyBorder="1" applyAlignment="1">
      <alignment horizontal="center" vertical="center" wrapText="1"/>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258" fillId="0" borderId="0" xfId="0" applyFont="1" applyBorder="1" applyAlignment="1">
      <alignment horizontal="center" vertical="center"/>
    </xf>
    <xf numFmtId="0" fontId="83" fillId="0" borderId="0" xfId="0" applyFont="1" applyFill="1" applyBorder="1" applyAlignment="1">
      <alignment horizontal="left" vertical="center"/>
    </xf>
    <xf numFmtId="0" fontId="114" fillId="0" borderId="1"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9" fontId="0" fillId="0" borderId="15" xfId="0" applyNumberForma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北京市朝阳区东三环中路59号楼501号等21套办公用房房地产市场价值预评估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康正预评字2017-1-1021号</v>
      </c>
    </row>
    <row r="6" spans="1:2" s="1594" customFormat="1" ht="15" thickTop="1">
      <c r="A6" s="1592" t="s">
        <v>1225</v>
      </c>
      <c r="B6" s="1593" t="str">
        <f>'预评函-1'!A4</f>
        <v>受贵公司委托，我公司对北京市朝阳区东三环中路59号楼501号等21套办公用房房地产市场价值进行了预评估。</v>
      </c>
    </row>
    <row r="7" spans="1:2" s="1597" customFormat="1">
      <c r="A7" s="1595" t="s">
        <v>1265</v>
      </c>
      <c r="B7" s="1596" t="str">
        <f>'预评函-1'!A7</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26907</v>
      </c>
    </row>
    <row r="21" spans="1:2" s="1597" customFormat="1">
      <c r="A21" s="1595" t="s">
        <v>1236</v>
      </c>
      <c r="B21" s="1596">
        <f ca="1">'预评函-2'!D7</f>
        <v>38656</v>
      </c>
    </row>
    <row r="22" spans="1:2" s="1597" customFormat="1">
      <c r="A22" s="1595" t="s">
        <v>1237</v>
      </c>
      <c r="B22" s="1596" t="str">
        <f ca="1">'预评函-2'!D6</f>
        <v>贰亿陆仟玖佰零柒万元整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26907</v>
      </c>
    </row>
    <row r="31" spans="1:2" s="1597" customFormat="1">
      <c r="A31" s="1595" t="s">
        <v>1275</v>
      </c>
      <c r="B31" s="1596">
        <f ca="1">'预评函-2'!D15</f>
        <v>38656</v>
      </c>
    </row>
    <row r="32" spans="1:2" s="1597" customFormat="1">
      <c r="A32" s="1595" t="s">
        <v>1242</v>
      </c>
      <c r="B32" s="1596" t="str">
        <f ca="1">'预评函-2'!D14</f>
        <v>贰亿陆仟玖佰零柒万元整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北京市朝阳区东三环中路59号楼501号等21套办公用房房地产</v>
      </c>
    </row>
    <row r="42" spans="1:2" s="1597" customFormat="1">
      <c r="A42" s="1595" t="s">
        <v>1289</v>
      </c>
      <c r="B42" s="1596" t="str">
        <f>'预评函-3'!B2</f>
        <v>建筑面积</v>
      </c>
    </row>
    <row r="43" spans="1:2" s="1597" customFormat="1">
      <c r="A43" s="1595" t="s">
        <v>1290</v>
      </c>
      <c r="B43" s="1596">
        <f>'预评函-3'!B4</f>
        <v>6960.5900000000011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3318</v>
      </c>
      <c r="C19" s="2019"/>
    </row>
    <row r="20" spans="1:3">
      <c r="A20" s="2018" t="s">
        <v>1771</v>
      </c>
      <c r="B20" s="2018" t="s">
        <v>3377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控股有限责任公司拟使用北京市朝阳区东三环中路59号楼501号等21套办公用房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7"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7"/>
      <c r="B54" s="2026" t="s">
        <v>864</v>
      </c>
      <c r="C54" s="2023" t="s">
        <v>1282</v>
      </c>
    </row>
    <row r="55" spans="1:4">
      <c r="A55" s="3107"/>
      <c r="B55" s="2026" t="s">
        <v>865</v>
      </c>
      <c r="C55" s="2023" t="s">
        <v>1283</v>
      </c>
    </row>
    <row r="56" spans="1:4">
      <c r="A56" s="3107"/>
      <c r="B56" s="2026" t="s">
        <v>866</v>
      </c>
      <c r="C56" s="2023" t="s">
        <v>1287</v>
      </c>
    </row>
    <row r="57" spans="1:4">
      <c r="A57" s="3107"/>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15" sqref="G15"/>
    </sheetView>
  </sheetViews>
  <sheetFormatPr defaultColWidth="10" defaultRowHeight="18" customHeight="1"/>
  <cols>
    <col min="1" max="1" width="14.875" style="2036" customWidth="1"/>
    <col min="2" max="2" width="17"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3108" t="str">
        <f>IF(B10="北京市","北京市",C10)&amp;F10&amp;IF(结果表!G1="在建","出让国有建设用地使用权及在建建筑物",IF(结果表!G1="土地","出让国有建设用地使用权",))&amp;B9&amp;"预评估"</f>
        <v>北京市朝阳区东三环中路59号楼501号等21套办公用房房地产市场价值预评估</v>
      </c>
      <c r="C1" s="3109"/>
      <c r="D1" s="3109"/>
      <c r="E1" s="3109"/>
      <c r="F1" s="3109"/>
      <c r="G1" s="3109"/>
      <c r="H1" s="3109"/>
      <c r="I1" s="3110"/>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北京市朝阳区东三环中路59号楼501号等21套办公用房房地产市场价值</v>
      </c>
    </row>
    <row r="2" spans="1:19" ht="18" customHeight="1">
      <c r="A2" s="2030" t="s">
        <v>1779</v>
      </c>
      <c r="B2" s="1042" t="s">
        <v>3292</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北京市朝阳区东三环中路59号楼501号等21套办公用房房地产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3127</v>
      </c>
      <c r="C4" s="1040">
        <f ca="1">SUMIF(注册房地产估价师,B4,估价师及机构信息!B3:B24)</f>
        <v>1120140022</v>
      </c>
      <c r="D4" s="2043" t="s">
        <v>3128</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30" customHeight="1" thickTop="1">
      <c r="A5" s="2048" t="s">
        <v>1783</v>
      </c>
      <c r="B5" s="2932" t="s">
        <v>3129</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30" customHeight="1">
      <c r="A7" s="2051" t="s">
        <v>1785</v>
      </c>
      <c r="B7" s="2933" t="s">
        <v>3417</v>
      </c>
      <c r="C7" s="2053"/>
      <c r="D7" s="2054"/>
      <c r="E7" s="2038"/>
      <c r="F7" s="2046"/>
      <c r="G7" s="2046"/>
      <c r="H7" s="2046"/>
      <c r="I7" s="2046"/>
      <c r="J7" s="2046"/>
      <c r="K7" s="2056"/>
      <c r="L7" s="2032"/>
      <c r="M7" s="2032"/>
      <c r="N7" s="2033"/>
      <c r="O7" s="2034"/>
      <c r="P7" s="2033"/>
      <c r="Q7" s="2033"/>
      <c r="R7" s="2033"/>
    </row>
    <row r="8" spans="1:19" ht="18" customHeight="1">
      <c r="A8" s="2051" t="s">
        <v>1786</v>
      </c>
      <c r="B8" s="2057" t="s">
        <v>3293</v>
      </c>
      <c r="C8" s="2058"/>
      <c r="D8" s="3111" t="s">
        <v>1787</v>
      </c>
      <c r="E8" s="2059"/>
      <c r="F8" s="2060"/>
      <c r="G8" s="2030"/>
      <c r="H8" s="2030"/>
      <c r="I8" s="2030"/>
      <c r="J8" s="2046"/>
      <c r="K8" s="2047"/>
      <c r="L8" s="2032"/>
      <c r="M8" s="2032"/>
      <c r="N8" s="2033"/>
      <c r="O8" s="2034"/>
      <c r="P8" s="2033"/>
      <c r="Q8" s="2033"/>
      <c r="R8" s="2033"/>
    </row>
    <row r="9" spans="1:19" ht="18" customHeight="1" thickBot="1">
      <c r="A9" s="2044" t="s">
        <v>1788</v>
      </c>
      <c r="B9" s="2061" t="s">
        <v>3130</v>
      </c>
      <c r="C9" s="2062"/>
      <c r="D9" s="3112"/>
      <c r="E9" s="2061"/>
      <c r="F9" s="2063"/>
      <c r="G9" s="2064"/>
      <c r="H9" s="2064"/>
      <c r="I9" s="2064"/>
      <c r="J9" s="2046"/>
      <c r="K9" s="2056"/>
      <c r="L9" s="2032"/>
      <c r="M9" s="2032"/>
      <c r="N9" s="2033"/>
      <c r="O9" s="2034"/>
      <c r="P9" s="2033"/>
      <c r="Q9" s="2033"/>
      <c r="R9" s="2033"/>
    </row>
    <row r="10" spans="1:19" ht="18" customHeight="1" thickTop="1">
      <c r="A10" s="2065" t="s">
        <v>1789</v>
      </c>
      <c r="B10" s="2066" t="s">
        <v>3131</v>
      </c>
      <c r="C10" s="2067"/>
      <c r="D10" s="2050"/>
      <c r="E10" s="2068" t="s">
        <v>1790</v>
      </c>
      <c r="F10" s="2934" t="s">
        <v>3285</v>
      </c>
      <c r="G10" s="2069"/>
      <c r="H10" s="2070"/>
      <c r="I10" s="2050"/>
      <c r="J10" s="2046"/>
      <c r="K10" s="2056"/>
      <c r="L10" s="2032"/>
      <c r="M10" s="2032"/>
      <c r="N10" s="2033"/>
      <c r="O10" s="2034"/>
      <c r="P10" s="2033"/>
      <c r="Q10" s="2033"/>
      <c r="R10" s="2033"/>
    </row>
    <row r="11" spans="1:19" ht="18" customHeight="1">
      <c r="A11" s="2071" t="s">
        <v>1791</v>
      </c>
      <c r="B11" s="2072" t="s">
        <v>3294</v>
      </c>
      <c r="C11" s="2073"/>
      <c r="D11" s="2074"/>
      <c r="E11" s="2046"/>
      <c r="F11" s="2046"/>
      <c r="G11" s="2046"/>
      <c r="H11" s="2046"/>
      <c r="I11" s="2046"/>
      <c r="J11" s="2046"/>
      <c r="K11" s="2056"/>
      <c r="L11" s="2032"/>
      <c r="M11" s="2032"/>
      <c r="N11" s="2033"/>
      <c r="O11" s="2034"/>
      <c r="P11" s="2033"/>
      <c r="Q11" s="2033"/>
      <c r="R11" s="2033"/>
    </row>
    <row r="12" spans="1:19" ht="18" customHeight="1">
      <c r="A12" s="2075" t="s">
        <v>1792</v>
      </c>
      <c r="B12" s="2072" t="s">
        <v>3295</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3063">
        <v>54789</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32.159999999999997</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118" t="s">
        <v>3297</v>
      </c>
      <c r="C16" s="3119"/>
      <c r="D16" s="3120"/>
      <c r="E16" s="2087" t="s">
        <v>1804</v>
      </c>
      <c r="F16" s="3121" t="s">
        <v>3418</v>
      </c>
      <c r="G16" s="3122"/>
      <c r="H16" s="3122"/>
      <c r="I16" s="3123"/>
      <c r="J16" s="2033"/>
      <c r="K16" s="2084"/>
      <c r="L16" s="2085"/>
      <c r="M16" s="2085"/>
      <c r="N16" s="2086"/>
      <c r="O16" s="2085"/>
      <c r="P16" s="2086"/>
      <c r="Q16" s="2033"/>
      <c r="R16" s="2033"/>
    </row>
    <row r="17" spans="1:22" ht="18" customHeight="1">
      <c r="A17" s="2088" t="s">
        <v>1805</v>
      </c>
      <c r="B17" s="2039" t="s">
        <v>1806</v>
      </c>
      <c r="C17" s="1057">
        <f>'数据-汇总表'!E3</f>
        <v>6960.5900000000011</v>
      </c>
      <c r="D17" s="2089" t="s">
        <v>1807</v>
      </c>
      <c r="E17" s="3124" t="s">
        <v>3296</v>
      </c>
      <c r="F17" s="3125"/>
      <c r="G17" s="3125"/>
      <c r="H17" s="3125"/>
      <c r="I17" s="3126"/>
      <c r="J17" s="2033"/>
      <c r="K17" s="2090"/>
      <c r="L17" s="2085"/>
      <c r="M17" s="2085"/>
      <c r="N17" s="2086"/>
      <c r="O17" s="2085"/>
      <c r="P17" s="2086"/>
      <c r="Q17" s="2033"/>
      <c r="R17" s="2033"/>
      <c r="S17" s="2033"/>
      <c r="T17" s="2033"/>
      <c r="U17" s="2033"/>
      <c r="V17" s="2033"/>
    </row>
    <row r="18" spans="1:22" ht="36" customHeight="1" thickBot="1">
      <c r="A18" s="2091" t="s">
        <v>70</v>
      </c>
      <c r="B18" s="2042" t="s">
        <v>1808</v>
      </c>
      <c r="C18" s="1447">
        <f>'数据-汇总表'!D3</f>
        <v>0</v>
      </c>
      <c r="D18" s="2092" t="s">
        <v>1807</v>
      </c>
      <c r="E18" s="3127"/>
      <c r="F18" s="3128"/>
      <c r="G18" s="3128"/>
      <c r="H18" s="3128"/>
      <c r="I18" s="3129"/>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c r="D19" s="2094" t="s">
        <v>1811</v>
      </c>
      <c r="E19" s="2095"/>
      <c r="F19" s="2096" t="str">
        <f>IF(AND(C19="是",E19="否"),"是否提供他项权证或相关说明","")</f>
        <v/>
      </c>
      <c r="G19" s="2097"/>
      <c r="H19" s="2046"/>
      <c r="I19" s="2046"/>
      <c r="J19" s="2046"/>
      <c r="K19" s="2056"/>
      <c r="L19" s="2032"/>
      <c r="M19" s="2032"/>
      <c r="N19" s="2086"/>
      <c r="O19" s="2085"/>
      <c r="P19" s="2086"/>
      <c r="Q19" s="2033"/>
      <c r="R19" s="2033"/>
      <c r="S19" s="2033"/>
      <c r="T19" s="2033"/>
      <c r="U19" s="2033"/>
      <c r="V19" s="2033"/>
    </row>
    <row r="20" spans="1:22" ht="18" customHeight="1">
      <c r="A20" s="2098" t="s">
        <v>1812</v>
      </c>
      <c r="B20" s="3114" t="s">
        <v>1813</v>
      </c>
      <c r="C20" s="3115"/>
      <c r="D20" s="3116" t="s">
        <v>1814</v>
      </c>
      <c r="E20" s="3117"/>
      <c r="F20" s="2099" t="s">
        <v>1815</v>
      </c>
      <c r="G20" s="2046"/>
      <c r="H20" s="2046"/>
      <c r="I20" s="2046"/>
      <c r="J20" s="2046"/>
      <c r="K20" s="3113"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3298</v>
      </c>
      <c r="D21" s="2102"/>
      <c r="E21" s="2103" t="s">
        <v>1818</v>
      </c>
      <c r="F21" s="2104"/>
      <c r="G21" s="2046"/>
      <c r="H21" s="2046"/>
      <c r="I21" s="2046"/>
      <c r="J21" s="2046"/>
      <c r="K21" s="31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6"/>
      <c r="O21" s="2085"/>
      <c r="P21" s="2086"/>
      <c r="Q21" s="2033"/>
      <c r="R21" s="2033"/>
      <c r="S21" s="2033"/>
      <c r="T21" s="2033"/>
      <c r="U21" s="2033"/>
      <c r="V21" s="2033"/>
    </row>
    <row r="22" spans="1:22" ht="24.75" customHeight="1" thickBot="1">
      <c r="A22" s="2098"/>
      <c r="B22" s="2105" t="s">
        <v>1819</v>
      </c>
      <c r="C22" s="2101" t="s">
        <v>1820</v>
      </c>
      <c r="D22" s="2030"/>
      <c r="E22" s="2030"/>
      <c r="F22" s="2106"/>
      <c r="G22" s="2046"/>
      <c r="H22" s="2046"/>
      <c r="I22" s="2046"/>
      <c r="J22" s="2046"/>
      <c r="K22" s="31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1821</v>
      </c>
      <c r="B23" s="184" t="s">
        <v>1822</v>
      </c>
      <c r="C23" s="2108"/>
      <c r="D23" s="2109" t="s">
        <v>1822</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1823</v>
      </c>
      <c r="C24" s="2113"/>
      <c r="D24" s="2107" t="s">
        <v>1823</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1824</v>
      </c>
      <c r="C25" s="2113"/>
      <c r="D25" s="2107" t="s">
        <v>1824</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1825</v>
      </c>
      <c r="C26" s="2117"/>
      <c r="D26" s="2118" t="s">
        <v>1826</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131" t="s">
        <v>1827</v>
      </c>
      <c r="B27" s="2065" t="s">
        <v>1828</v>
      </c>
      <c r="C27" s="2121" t="s">
        <v>3369</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131"/>
      <c r="B28" s="2039" t="s">
        <v>1829</v>
      </c>
      <c r="C28" s="2123" t="s">
        <v>3354</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131"/>
      <c r="B29" s="2039" t="s">
        <v>1830</v>
      </c>
      <c r="C29" s="2126" t="s">
        <v>3370</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132"/>
      <c r="B30" s="2039" t="s">
        <v>1831</v>
      </c>
      <c r="C30" s="3133"/>
      <c r="D30" s="3134"/>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135" t="s">
        <v>1832</v>
      </c>
      <c r="B31" s="2128" t="s">
        <v>3316</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136"/>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136"/>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1833</v>
      </c>
      <c r="B34" s="2135" t="s">
        <v>3371</v>
      </c>
      <c r="C34" s="2135" t="s">
        <v>3372</v>
      </c>
      <c r="D34" s="2135" t="s">
        <v>3374</v>
      </c>
      <c r="E34" s="2135" t="s">
        <v>3373</v>
      </c>
      <c r="F34" s="2135" t="s">
        <v>3375</v>
      </c>
      <c r="G34" s="2135" t="s">
        <v>3376</v>
      </c>
      <c r="H34" s="2135"/>
      <c r="I34" s="2046"/>
      <c r="J34" s="2046"/>
      <c r="K34" s="1799">
        <f>COUNTIF(B34:H34,"——")</f>
        <v>0</v>
      </c>
      <c r="L34" s="2076" t="s">
        <v>1834</v>
      </c>
      <c r="M34" s="2076" t="s">
        <v>1835</v>
      </c>
      <c r="N34" s="2076" t="s">
        <v>1836</v>
      </c>
      <c r="O34" s="2076" t="s">
        <v>1837</v>
      </c>
      <c r="P34" s="2076" t="s">
        <v>1838</v>
      </c>
      <c r="Q34" s="2076" t="s">
        <v>1839</v>
      </c>
      <c r="R34" s="2076" t="s">
        <v>1840</v>
      </c>
      <c r="S34" s="3130" t="s">
        <v>1841</v>
      </c>
      <c r="T34" s="2136" t="str">
        <f>NUMBERSTRING(7-K34,1)&amp;"通"</f>
        <v>七通</v>
      </c>
      <c r="U34" s="2033"/>
      <c r="V34" s="2033"/>
    </row>
    <row r="35" spans="1:22" ht="18" customHeight="1">
      <c r="A35" s="2137"/>
      <c r="B35" s="3137" t="s">
        <v>1842</v>
      </c>
      <c r="C35" s="3137"/>
      <c r="D35" s="3137"/>
      <c r="E35" s="3137"/>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0"/>
      <c r="T35" s="48" t="str">
        <f>IF(T34="一通",L35,IF(T34="二通",M35,IF(T34="三通",N35,IF(T34="四通",O35,IF(T34="五通",P35,IF(T34="六通",Q35,R35))))))</f>
        <v>通路、通电、通讯、通上水、通下水、燃气、</v>
      </c>
      <c r="U35" s="2033"/>
      <c r="V35" s="2033"/>
    </row>
    <row r="36" spans="1:22" ht="18" customHeight="1">
      <c r="A36" s="2139"/>
      <c r="B36" s="2138" t="s">
        <v>1843</v>
      </c>
      <c r="C36" s="2138" t="s">
        <v>1844</v>
      </c>
      <c r="D36" s="2138" t="s">
        <v>1845</v>
      </c>
      <c r="E36" s="2138" t="s">
        <v>1846</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1847</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1848</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1850</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1851</v>
      </c>
      <c r="B42" s="1799" t="s">
        <v>1852</v>
      </c>
      <c r="C42" s="1799" t="s">
        <v>1853</v>
      </c>
      <c r="D42" s="1799" t="s">
        <v>1854</v>
      </c>
      <c r="E42" s="1799" t="s">
        <v>1855</v>
      </c>
      <c r="F42" s="1799" t="s">
        <v>1856</v>
      </c>
      <c r="G42" s="1799" t="s">
        <v>1857</v>
      </c>
      <c r="H42" s="1799" t="s">
        <v>1858</v>
      </c>
      <c r="I42" s="1799" t="s">
        <v>1859</v>
      </c>
      <c r="J42" s="2154" t="s">
        <v>1860</v>
      </c>
      <c r="K42" s="2077" t="s">
        <v>1861</v>
      </c>
      <c r="L42" s="2077" t="s">
        <v>1862</v>
      </c>
      <c r="M42" s="2077" t="s">
        <v>1863</v>
      </c>
      <c r="N42" s="1799" t="s">
        <v>1864</v>
      </c>
      <c r="O42" s="1799" t="s">
        <v>1865</v>
      </c>
      <c r="P42" s="1799" t="s">
        <v>1866</v>
      </c>
      <c r="Q42" s="2076" t="s">
        <v>1867</v>
      </c>
      <c r="R42" s="2076" t="s">
        <v>1868</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1874</v>
      </c>
      <c r="AZ2" s="1273"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6960.5900000000011</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7"/>
      <c r="C5" s="1807"/>
      <c r="D5" s="1810"/>
      <c r="E5" s="16" t="s">
        <v>1</v>
      </c>
      <c r="F5" s="16">
        <f>SUM(F13:F587)</f>
        <v>0</v>
      </c>
      <c r="G5" s="16">
        <f>SUM(G13:G587)</f>
        <v>6960.5900000000011</v>
      </c>
      <c r="H5" s="16">
        <f t="shared" ref="H5:AT5" si="0">SUM(H13:H656)</f>
        <v>6960.5900000000011</v>
      </c>
      <c r="I5" s="16">
        <f t="shared" si="0"/>
        <v>6960.5900000000011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6960.5900000000011</v>
      </c>
      <c r="BA5" s="18">
        <f t="shared" si="1"/>
        <v>6960.5900000000011</v>
      </c>
      <c r="BB5" s="18">
        <f t="shared" si="1"/>
        <v>6960.5900000000011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1880</v>
      </c>
      <c r="B7" s="2111" t="s">
        <v>1881</v>
      </c>
      <c r="C7" s="2111" t="s">
        <v>1882</v>
      </c>
      <c r="D7" s="2111" t="s">
        <v>1883</v>
      </c>
      <c r="E7" s="2111" t="s">
        <v>1884</v>
      </c>
      <c r="F7" s="2111"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1887</v>
      </c>
      <c r="AV7" s="23" t="s">
        <v>1888</v>
      </c>
      <c r="AW7" s="2168" t="s">
        <v>1889</v>
      </c>
      <c r="AX7" s="23" t="s">
        <v>1882</v>
      </c>
      <c r="AY7" s="1807"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2"/>
      <c r="K8" s="1822"/>
      <c r="L8" s="1822"/>
      <c r="M8" s="1822"/>
      <c r="N8" s="1822"/>
      <c r="O8" s="1822"/>
      <c r="P8" s="1822"/>
      <c r="Q8" s="1822"/>
      <c r="R8" s="1822"/>
      <c r="S8" s="1822"/>
      <c r="T8" s="1822"/>
      <c r="U8" s="1822"/>
      <c r="V8" s="2188"/>
      <c r="W8" s="1822"/>
      <c r="X8" s="1822"/>
      <c r="Y8" s="1822"/>
      <c r="Z8" s="1822"/>
      <c r="AA8" s="2188"/>
      <c r="AB8" s="2189"/>
      <c r="AC8" s="984" t="s">
        <v>1893</v>
      </c>
      <c r="AD8" s="2190"/>
      <c r="AE8" s="2182"/>
      <c r="AF8" s="1822"/>
      <c r="AG8" s="1822"/>
      <c r="AH8" s="1822"/>
      <c r="AI8" s="1822"/>
      <c r="AJ8" s="1822"/>
      <c r="AK8" s="1822"/>
      <c r="AL8" s="1822"/>
      <c r="AM8" s="1822"/>
      <c r="AN8" s="1822"/>
      <c r="AO8" s="1822"/>
      <c r="AP8" s="1822"/>
      <c r="AQ8" s="1822"/>
      <c r="AR8" s="1822"/>
      <c r="AS8" s="1822"/>
      <c r="AT8" s="1295" t="s">
        <v>1894</v>
      </c>
      <c r="AU8" s="2184" t="s">
        <v>1895</v>
      </c>
      <c r="AV8" s="1295"/>
      <c r="AW8" s="2167"/>
      <c r="AX8" s="1295"/>
      <c r="AY8" s="2168"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1898</v>
      </c>
      <c r="I9" s="2193" t="s">
        <v>3300</v>
      </c>
      <c r="J9" s="984"/>
      <c r="K9" s="2193"/>
      <c r="L9" s="984"/>
      <c r="M9" s="2193"/>
      <c r="N9" s="984"/>
      <c r="O9" s="2193"/>
      <c r="P9" s="984"/>
      <c r="Q9" s="2193"/>
      <c r="R9" s="984"/>
      <c r="S9" s="2193"/>
      <c r="T9" s="984"/>
      <c r="U9" s="2193"/>
      <c r="V9" s="984"/>
      <c r="W9" s="2193"/>
      <c r="X9" s="2194"/>
      <c r="Y9" s="2193"/>
      <c r="Z9" s="984"/>
      <c r="AA9" s="2193"/>
      <c r="AB9" s="984"/>
      <c r="AC9" s="2185"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5"/>
      <c r="AT9" s="2184"/>
      <c r="AU9" s="2184" t="s">
        <v>1901</v>
      </c>
      <c r="AV9" s="1295"/>
      <c r="AW9" s="2167"/>
      <c r="AX9" s="1295"/>
      <c r="AY9" s="28"/>
      <c r="AZ9" s="28" t="s">
        <v>1891</v>
      </c>
      <c r="BA9" s="2196" t="s">
        <v>1902</v>
      </c>
      <c r="BB9" s="2197"/>
      <c r="BC9" s="1341"/>
      <c r="BD9" s="1341"/>
      <c r="BE9" s="1341"/>
      <c r="BF9" s="1341"/>
      <c r="BG9" s="1341"/>
      <c r="BH9" s="1341"/>
      <c r="BI9" s="1341"/>
      <c r="BJ9" s="1341"/>
      <c r="BK9" s="2198"/>
      <c r="BL9" s="15" t="s">
        <v>1903</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1904</v>
      </c>
      <c r="AE10" s="2200"/>
      <c r="AF10" s="15" t="s">
        <v>1904</v>
      </c>
      <c r="AG10" s="2200"/>
      <c r="AH10" s="15" t="s">
        <v>1905</v>
      </c>
      <c r="AI10" s="2200"/>
      <c r="AJ10" s="15" t="s">
        <v>1905</v>
      </c>
      <c r="AK10" s="2200"/>
      <c r="AL10" s="15" t="s">
        <v>1906</v>
      </c>
      <c r="AM10" s="1301"/>
      <c r="AN10" s="15" t="s">
        <v>1906</v>
      </c>
      <c r="AO10" s="1301"/>
      <c r="AP10" s="15" t="s">
        <v>1907</v>
      </c>
      <c r="AQ10" s="1301"/>
      <c r="AR10" s="15" t="s">
        <v>1907</v>
      </c>
      <c r="AS10" s="1301"/>
      <c r="AT10" s="2184"/>
      <c r="AU10" s="2184"/>
      <c r="AV10" s="1295"/>
      <c r="AW10" s="2167"/>
      <c r="AX10" s="1295"/>
      <c r="AY10" s="28"/>
      <c r="AZ10" s="28"/>
      <c r="BA10" s="2201" t="s">
        <v>1898</v>
      </c>
      <c r="BB10" s="2202"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t="s">
        <v>3301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1908</v>
      </c>
      <c r="AE11" s="1823"/>
      <c r="AF11" s="2206" t="s">
        <v>1908</v>
      </c>
      <c r="AG11" s="1823"/>
      <c r="AH11" s="2206" t="s">
        <v>1909</v>
      </c>
      <c r="AI11" s="2207"/>
      <c r="AJ11" s="2206" t="s">
        <v>1909</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1"/>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1275" t="s">
        <v>3415</v>
      </c>
      <c r="D13" s="2215" t="s">
        <v>3299</v>
      </c>
      <c r="E13" s="16">
        <f>IF($C$3="是",ROUND($A$3*G13/$B$3,2),ROUND($A$3*(G13-AT13)/$B$3,2))</f>
        <v>0</v>
      </c>
      <c r="F13" s="32"/>
      <c r="G13" s="33">
        <f>H13+AC13+AT13</f>
        <v>6960.5900000000011</v>
      </c>
      <c r="H13" s="20">
        <f>SUMIF(I$12:AB$12,"总值",I13:AB13)</f>
        <v>6960.5900000000011</v>
      </c>
      <c r="I13" s="2216">
        <f>清单及结果!D23</f>
        <v>6960.5900000000011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501等21套办公用房</v>
      </c>
      <c r="AY13" s="1810">
        <f>ROUND($AY$6*AZ13/$AZ$5,2)</f>
        <v>0</v>
      </c>
      <c r="AZ13" s="16">
        <f>BA13+BL13</f>
        <v>6960.5900000000011</v>
      </c>
      <c r="BA13" s="16">
        <f>SUM(BB13:BK13)</f>
        <v>6960.5900000000011</v>
      </c>
      <c r="BB13" s="16">
        <f>IF($D13="是",I13-J13,0)</f>
        <v>6960.5900000000011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5"/>
      <c r="C1" s="1395"/>
      <c r="D1" s="1395"/>
      <c r="E1" s="1395"/>
      <c r="F1" s="1395"/>
      <c r="G1" s="1395"/>
      <c r="H1" s="1395"/>
      <c r="I1" s="1395"/>
      <c r="J1" s="1395"/>
      <c r="K1" s="1395"/>
      <c r="L1" s="1395"/>
      <c r="M1" s="1395"/>
      <c r="N1" s="1395"/>
      <c r="O1" s="1395"/>
      <c r="P1" s="1395"/>
    </row>
    <row r="2" spans="1:16" ht="15">
      <c r="A2" s="3149" t="s">
        <v>1938</v>
      </c>
      <c r="B2" s="3149"/>
      <c r="C2" s="3149"/>
      <c r="D2" s="970" t="s">
        <v>1914</v>
      </c>
      <c r="E2" s="2229" t="s">
        <v>1915</v>
      </c>
      <c r="F2" s="1395"/>
      <c r="G2" s="2230"/>
      <c r="H2" s="2231"/>
      <c r="I2" s="2232" t="s">
        <v>1939</v>
      </c>
      <c r="J2" s="1395"/>
      <c r="K2" s="1395"/>
      <c r="L2" s="1395"/>
      <c r="M2" s="1395"/>
      <c r="N2" s="1430"/>
      <c r="O2" s="1395"/>
      <c r="P2" s="1395"/>
    </row>
    <row r="3" spans="1:16" ht="15.75" thickBot="1">
      <c r="A3" s="3150" t="s">
        <v>1912</v>
      </c>
      <c r="B3" s="3150"/>
      <c r="C3" s="3150"/>
      <c r="D3" s="46">
        <f>'数据-基础表'!AY6</f>
        <v>0</v>
      </c>
      <c r="E3" s="46">
        <f>'数据-基础表'!AZ5</f>
        <v>6960.5900000000011</v>
      </c>
      <c r="F3" s="1395"/>
      <c r="G3" s="1402"/>
      <c r="H3" s="1250" t="s">
        <v>1913</v>
      </c>
      <c r="I3" s="55" t="e">
        <f>ROUND('数据-基础表'!B3/'数据-基础表'!A3,2)</f>
        <v>#DIV/0!</v>
      </c>
      <c r="J3" s="1395"/>
      <c r="K3" s="1395"/>
      <c r="L3" s="1395"/>
      <c r="M3" s="1395"/>
      <c r="N3" s="1430"/>
      <c r="O3" s="1395"/>
      <c r="P3" s="1395"/>
    </row>
    <row r="4" spans="1:16" ht="15">
      <c r="A4" s="3151"/>
      <c r="B4" s="3152"/>
      <c r="C4" s="3153"/>
      <c r="D4" s="2233" t="s">
        <v>1914</v>
      </c>
      <c r="E4" s="2234" t="s">
        <v>1915</v>
      </c>
      <c r="F4" s="1395"/>
      <c r="G4" s="2235" t="s">
        <v>1940</v>
      </c>
      <c r="H4" s="1250" t="s">
        <v>1920</v>
      </c>
      <c r="I4" s="55" t="e">
        <f>ROUND(SUMIF('数据-基础表'!I9:AS9,"地上",'数据-基础表'!I5:AS5)/'数据-基础表'!A3,2)</f>
        <v>#DIV/0!</v>
      </c>
      <c r="J4" s="1395"/>
      <c r="K4" s="1395"/>
      <c r="L4" s="1395"/>
      <c r="M4" s="1395"/>
      <c r="N4" s="1430"/>
      <c r="O4" s="1395"/>
      <c r="P4" s="1395"/>
    </row>
    <row r="5" spans="1:16">
      <c r="A5" s="47" t="s">
        <v>1916</v>
      </c>
      <c r="B5" s="3154" t="s">
        <v>1917</v>
      </c>
      <c r="C5" s="3154"/>
      <c r="D5" s="48">
        <f>ROUND($D$3*E5/$E$3,2)</f>
        <v>0</v>
      </c>
      <c r="E5" s="49">
        <f>SUMIF('数据-基础表'!$11:$11,"住宅",'数据-基础表'!$5:$5)</f>
        <v>0</v>
      </c>
      <c r="F5" s="1395"/>
      <c r="G5" s="1402"/>
      <c r="H5" s="1250" t="s">
        <v>1913</v>
      </c>
      <c r="I5" s="55" t="e">
        <f>ROUND(E31/D31,2)</f>
        <v>#DIV/0!</v>
      </c>
      <c r="J5" s="1395"/>
      <c r="K5" s="1395"/>
      <c r="L5" s="1395"/>
      <c r="M5" s="1395"/>
      <c r="N5" s="1395"/>
      <c r="O5" s="1395"/>
      <c r="P5" s="1395"/>
    </row>
    <row r="6" spans="1:16" ht="15" thickBot="1">
      <c r="A6" s="2236"/>
      <c r="B6" s="3154" t="s">
        <v>1918</v>
      </c>
      <c r="C6" s="3154"/>
      <c r="D6" s="48">
        <f>ROUND($D$3*E6/$E$3,2)</f>
        <v>0</v>
      </c>
      <c r="E6" s="49">
        <f>E3-E5</f>
        <v>6960.5900000000011</v>
      </c>
      <c r="F6" s="1395"/>
      <c r="G6" s="2237" t="s">
        <v>1919</v>
      </c>
      <c r="H6" s="1402" t="s">
        <v>1920</v>
      </c>
      <c r="I6" s="942" t="e">
        <f>ROUND(F31/D31,2)</f>
        <v>#DIV/0!</v>
      </c>
      <c r="J6" s="1395"/>
      <c r="K6" s="1395"/>
      <c r="L6" s="1395"/>
      <c r="M6" s="1395"/>
      <c r="N6" s="1395"/>
      <c r="O6" s="1395"/>
      <c r="P6" s="1395"/>
    </row>
    <row r="7" spans="1:16" ht="15">
      <c r="A7" s="3146"/>
      <c r="B7" s="3147"/>
      <c r="C7" s="3148"/>
      <c r="D7" s="2233" t="s">
        <v>1914</v>
      </c>
      <c r="E7" s="2238" t="s">
        <v>1921</v>
      </c>
      <c r="F7" s="1395"/>
      <c r="G7" s="2230"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6960.5900000000011</v>
      </c>
      <c r="F8" s="1395"/>
      <c r="G8" s="2239"/>
      <c r="H8" s="2239"/>
      <c r="I8" s="1395"/>
      <c r="J8" s="1395"/>
      <c r="K8" s="1395"/>
      <c r="L8" s="1395"/>
      <c r="M8" s="1395"/>
      <c r="N8" s="1395"/>
      <c r="O8" s="1395"/>
      <c r="P8" s="1395"/>
    </row>
    <row r="9" spans="1:16">
      <c r="A9" s="2240"/>
      <c r="B9" s="2241"/>
      <c r="C9" s="48" t="s">
        <v>1926</v>
      </c>
      <c r="D9" s="48">
        <f t="shared" si="0"/>
        <v>0</v>
      </c>
      <c r="E9" s="52">
        <v>0</v>
      </c>
      <c r="F9" s="1395"/>
      <c r="G9" s="2239"/>
      <c r="H9" s="2239"/>
      <c r="I9" s="1395"/>
      <c r="J9" s="1395"/>
      <c r="K9" s="1395"/>
      <c r="L9" s="1395"/>
      <c r="M9" s="1395"/>
      <c r="N9" s="1395"/>
      <c r="O9" s="1395"/>
      <c r="P9" s="1395"/>
    </row>
    <row r="10" spans="1:16">
      <c r="A10" s="2240"/>
      <c r="B10" s="2241"/>
      <c r="C10" s="48" t="s">
        <v>1935</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1927</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1928</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1929</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1941</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1936</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1930</v>
      </c>
      <c r="D16" s="50">
        <f>SUM(D8:D15)</f>
        <v>0</v>
      </c>
      <c r="E16" s="53">
        <f>SUM(E8:E15)</f>
        <v>6960.5900000000011</v>
      </c>
      <c r="F16" s="1395"/>
      <c r="G16" s="2239"/>
      <c r="H16" s="2242" t="s">
        <v>1942</v>
      </c>
      <c r="I16" s="2243"/>
      <c r="J16" s="1395"/>
      <c r="K16" s="3143" t="s">
        <v>1942</v>
      </c>
      <c r="L16" s="3144"/>
      <c r="M16" s="3144"/>
      <c r="N16" s="3144"/>
      <c r="O16" s="3144"/>
      <c r="P16" s="3145"/>
    </row>
    <row r="17" spans="1:19" ht="15">
      <c r="A17" s="2244" t="s">
        <v>1943</v>
      </c>
      <c r="B17" s="2245" t="s">
        <v>1944</v>
      </c>
      <c r="C17" s="2246" t="s">
        <v>1945</v>
      </c>
      <c r="D17" s="2247" t="s">
        <v>1933</v>
      </c>
      <c r="E17" s="2248" t="s">
        <v>1934</v>
      </c>
      <c r="F17" s="2249"/>
      <c r="G17" s="2250"/>
      <c r="H17" s="2251" t="s">
        <v>1946</v>
      </c>
      <c r="I17" s="2252" t="s">
        <v>1931</v>
      </c>
      <c r="J17" s="1395"/>
      <c r="K17" s="3140" t="s">
        <v>1947</v>
      </c>
      <c r="L17" s="3141"/>
      <c r="M17" s="3142"/>
      <c r="N17" s="3140" t="s">
        <v>1948</v>
      </c>
      <c r="O17" s="3141"/>
      <c r="P17" s="3142"/>
      <c r="R17" s="2230" t="s">
        <v>1949</v>
      </c>
      <c r="S17" s="64"/>
    </row>
    <row r="18" spans="1:19" ht="15">
      <c r="A18" s="2240"/>
      <c r="B18" s="2253"/>
      <c r="C18" s="2254"/>
      <c r="D18" s="2255"/>
      <c r="E18" s="2256" t="s">
        <v>1950</v>
      </c>
      <c r="F18" s="2257" t="s">
        <v>1951</v>
      </c>
      <c r="G18" s="2258" t="s">
        <v>1952</v>
      </c>
      <c r="H18" s="1265" t="s">
        <v>1953</v>
      </c>
      <c r="I18" s="2259" t="s">
        <v>1954</v>
      </c>
      <c r="J18" s="1395"/>
      <c r="K18" s="1265" t="s">
        <v>1955</v>
      </c>
      <c r="L18" s="2260" t="s">
        <v>1956</v>
      </c>
      <c r="M18" s="1049" t="s">
        <v>1957</v>
      </c>
      <c r="N18" s="1265" t="s">
        <v>1955</v>
      </c>
      <c r="O18" s="2260" t="s">
        <v>1956</v>
      </c>
      <c r="P18" s="1049" t="s">
        <v>1957</v>
      </c>
      <c r="R18" s="1250" t="s">
        <v>1958</v>
      </c>
      <c r="S18" s="1250" t="s">
        <v>1959</v>
      </c>
    </row>
    <row r="19" spans="1:19">
      <c r="A19" s="2261"/>
      <c r="B19" s="50" t="s">
        <v>1932</v>
      </c>
      <c r="C19" s="2262" t="str">
        <f>'数据-基础表'!C13</f>
        <v>501等21套办公用房</v>
      </c>
      <c r="D19" s="48">
        <f>ROUND($D$3*E19/$E$3,2)</f>
        <v>0</v>
      </c>
      <c r="E19" s="56">
        <f t="shared" ref="E19:E26" si="1">SUM(F19:G19)</f>
        <v>6960.5900000000011</v>
      </c>
      <c r="F19" s="57">
        <f>'数据-基础表'!I13</f>
        <v>6960.5900000000011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6960.5900000000011</v>
      </c>
    </row>
    <row r="20" spans="1:19">
      <c r="A20" s="2265"/>
      <c r="B20" s="50" t="s">
        <v>1960</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1960</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1961</v>
      </c>
      <c r="D27" s="1396">
        <f>SUM(D19:D26)</f>
        <v>0</v>
      </c>
      <c r="E27" s="1397">
        <f>IF(SUM(E19:E26)='数据-基础表'!BA5,SUM(E19:E26),IF(F27="地上面积有误","面积有误","地下面积有误"))</f>
        <v>6960.5900000000011</v>
      </c>
      <c r="F27" s="1396">
        <f>IF(SUM(F19:F26)=E8,SUM(F19:F26),"地上面积有误")</f>
        <v>6960.5900000000011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6960.5900000000011</v>
      </c>
    </row>
    <row r="28" spans="1:19">
      <c r="A28" s="2265"/>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1962</v>
      </c>
      <c r="C29" s="2269"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1965</v>
      </c>
      <c r="D31" s="729">
        <f>D27+D30</f>
        <v>0</v>
      </c>
      <c r="E31" s="729">
        <f>E27+E30</f>
        <v>6960.5900000000011</v>
      </c>
      <c r="F31" s="730">
        <f>F27+F30</f>
        <v>6960.5900000000011</v>
      </c>
      <c r="G31" s="731">
        <f>G27+G30</f>
        <v>0</v>
      </c>
      <c r="H31" s="1395"/>
      <c r="I31" s="1395"/>
      <c r="J31" s="1395"/>
      <c r="K31" s="1395"/>
      <c r="L31" s="1395"/>
      <c r="M31" s="1395"/>
      <c r="N31" s="1395"/>
      <c r="O31" s="1395"/>
      <c r="P31" s="1395"/>
    </row>
    <row r="32" spans="1:19">
      <c r="A32" s="2235"/>
      <c r="B32" s="2235" t="s">
        <v>1966</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54" sqref="B5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1967</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1968</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1969</v>
      </c>
      <c r="B4" s="2283"/>
      <c r="C4" s="2284"/>
      <c r="D4" s="2285"/>
      <c r="E4" s="2284" t="s">
        <v>1970</v>
      </c>
      <c r="F4" s="2284"/>
      <c r="G4" s="2284"/>
      <c r="H4" s="2284"/>
      <c r="I4" s="2284"/>
      <c r="J4" s="2286"/>
      <c r="K4" s="2287"/>
      <c r="L4" s="2288"/>
      <c r="M4" s="2284"/>
      <c r="N4" s="2284" t="s">
        <v>1971</v>
      </c>
      <c r="O4" s="2284"/>
      <c r="P4" s="2284"/>
      <c r="Q4" s="2284"/>
      <c r="R4" s="2284"/>
      <c r="S4" s="2286"/>
      <c r="T4" s="2289" t="str">
        <f>'数据-汇总表'!I17</f>
        <v>按面积比例</v>
      </c>
      <c r="U4" s="2283" t="s">
        <v>1972</v>
      </c>
      <c r="V4" s="2284"/>
      <c r="W4" s="2284"/>
      <c r="X4" s="2284"/>
      <c r="Y4" s="2286"/>
      <c r="Z4" s="2246" t="s">
        <v>1973</v>
      </c>
      <c r="AA4" s="2246"/>
      <c r="AB4" s="2246"/>
      <c r="AC4" s="2246"/>
      <c r="AD4" s="2246"/>
      <c r="AE4" s="2244" t="s">
        <v>1974</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1975</v>
      </c>
      <c r="B5" s="2292" t="s">
        <v>1976</v>
      </c>
      <c r="C5" s="2293" t="s">
        <v>1977</v>
      </c>
      <c r="D5" s="2294" t="s">
        <v>1978</v>
      </c>
      <c r="E5" s="1271" t="s">
        <v>1979</v>
      </c>
      <c r="F5" s="2295" t="s">
        <v>1980</v>
      </c>
      <c r="G5" s="1271" t="s">
        <v>1981</v>
      </c>
      <c r="H5" s="1271" t="s">
        <v>1982</v>
      </c>
      <c r="I5" s="1271" t="s">
        <v>1983</v>
      </c>
      <c r="J5" s="2296" t="s">
        <v>1984</v>
      </c>
      <c r="K5" s="2297" t="s">
        <v>1985</v>
      </c>
      <c r="L5" s="2298" t="s">
        <v>1986</v>
      </c>
      <c r="M5" s="2299" t="s">
        <v>1987</v>
      </c>
      <c r="N5" s="2300" t="s">
        <v>3302</v>
      </c>
      <c r="O5" s="2298" t="s">
        <v>1988</v>
      </c>
      <c r="P5" s="2301" t="s">
        <v>1989</v>
      </c>
      <c r="Q5" s="69" t="s">
        <v>1990</v>
      </c>
      <c r="R5" s="2302" t="s">
        <v>1991</v>
      </c>
      <c r="S5" s="2303" t="s">
        <v>1992</v>
      </c>
      <c r="T5" s="2304" t="s">
        <v>1993</v>
      </c>
      <c r="U5" s="1270" t="s">
        <v>1994</v>
      </c>
      <c r="V5" s="1271" t="s">
        <v>1995</v>
      </c>
      <c r="W5" s="1271" t="s">
        <v>1996</v>
      </c>
      <c r="X5" s="71"/>
      <c r="Y5" s="70" t="s">
        <v>1997</v>
      </c>
      <c r="Z5" s="2305" t="s">
        <v>1994</v>
      </c>
      <c r="AA5" s="1271" t="s">
        <v>1995</v>
      </c>
      <c r="AB5" s="1271" t="s">
        <v>1996</v>
      </c>
      <c r="AC5" s="71"/>
      <c r="AD5" s="71" t="s">
        <v>1997</v>
      </c>
      <c r="AE5" s="1270" t="s">
        <v>1998</v>
      </c>
      <c r="AF5" s="1271" t="s">
        <v>1999</v>
      </c>
      <c r="AG5" s="70" t="s">
        <v>2000</v>
      </c>
      <c r="AH5" s="1270" t="s">
        <v>2001</v>
      </c>
      <c r="AI5" s="2305" t="s">
        <v>2002</v>
      </c>
      <c r="AJ5" s="2305" t="s">
        <v>2003</v>
      </c>
      <c r="AK5" s="1271" t="s">
        <v>2004</v>
      </c>
      <c r="AL5" s="1271" t="s">
        <v>2005</v>
      </c>
      <c r="AM5" s="70" t="s">
        <v>2006</v>
      </c>
      <c r="AN5" s="2306" t="s">
        <v>2007</v>
      </c>
      <c r="AO5" s="2076" t="s">
        <v>2008</v>
      </c>
      <c r="AP5" s="1252" t="s">
        <v>2009</v>
      </c>
      <c r="AQ5" s="2307" t="s">
        <v>2010</v>
      </c>
      <c r="AR5" s="2307"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501等21套办公用房</v>
      </c>
      <c r="B6" s="2309" t="str">
        <f>IF(A6=0,"","经营性")</f>
        <v>经营性</v>
      </c>
      <c r="C6" s="2310" t="s">
        <v>27</v>
      </c>
      <c r="D6" s="1054">
        <f>SUMIF(项目基本情况!D$12:I$12,C6,项目基本情况!D$14:I$14)</f>
        <v>50</v>
      </c>
      <c r="E6" s="1051">
        <f>IF(B6="","",SUMIF(项目基本情况!D$12:I$12,C6,项目基本情况!D$13:I$13))</f>
        <v>54789</v>
      </c>
      <c r="F6" s="72">
        <f>SUMIF(项目基本情况!D$12:I$12,C6,项目基本情况!D$15:I$15)</f>
        <v>32.159999999999997</v>
      </c>
      <c r="G6" s="73">
        <f>IF(ISERROR(ROUND(POWER(1+H6,D6-F6)*(POWER(1+H6,F6)-1)/(POWER(1+H6,D6)-1),3)),0,ROUND(POWER(1+H6,D6-F6)*(POWER(1+H6,F6)-1)/(POWER(1+H6,D6)-1),3))</f>
        <v>0.86699999999999999</v>
      </c>
      <c r="H6" s="802">
        <v>0.05</v>
      </c>
      <c r="I6" s="802">
        <v>5.5E-2</v>
      </c>
      <c r="J6" s="74">
        <v>0.08</v>
      </c>
      <c r="K6" s="1254">
        <f>SUMIF('数据-汇总表'!C$19:C$33,A6,'数据-汇总表'!E$19:E$33)</f>
        <v>6960.5900000000011</v>
      </c>
      <c r="L6" s="803">
        <v>3000</v>
      </c>
      <c r="M6" s="75">
        <f t="shared" ref="M6:M14" si="0">ROUND(K6*L6/10000,0)</f>
        <v>2088</v>
      </c>
      <c r="N6" s="801">
        <f>ROUND((60-(2017-2005))/60,2)</f>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租约!I54</f>
        <v>7.28</v>
      </c>
      <c r="V6" s="79">
        <v>0</v>
      </c>
      <c r="W6" s="79">
        <v>0</v>
      </c>
      <c r="X6" s="1264"/>
      <c r="Y6" s="80">
        <f>N6</f>
        <v>0.8</v>
      </c>
      <c r="Z6" s="81">
        <f>ROUND('比较法-办公 (租金)'!C49*(1+AA6)^AF6,2)</f>
        <v>7.82</v>
      </c>
      <c r="AA6" s="74">
        <v>0.02</v>
      </c>
      <c r="AB6" s="74">
        <v>0.15</v>
      </c>
      <c r="AC6" s="1264"/>
      <c r="AD6" s="82">
        <f>ROUND(((60-(2022-2005))/60),2)</f>
        <v>0.72</v>
      </c>
      <c r="AE6" s="1265">
        <f ca="1">IF(AN6="",0,SUMIF(INDIRECT("'"&amp;AN6&amp;"'"&amp;"!E:E"),$AE$5,INDIRECT("'"&amp;AN6&amp;"'"&amp;"!F:F")))</f>
        <v>32.159999999999997</v>
      </c>
      <c r="AF6" s="1808">
        <f>租约!Q34</f>
        <v>4.18</v>
      </c>
      <c r="AG6" s="147">
        <f ca="1">IF(AF6="",0,AE6-AF6)</f>
        <v>27.979999999999997</v>
      </c>
      <c r="AH6" s="83"/>
      <c r="AI6" s="85">
        <v>365</v>
      </c>
      <c r="AJ6" s="86"/>
      <c r="AK6" s="87">
        <v>0.02</v>
      </c>
      <c r="AL6" s="88">
        <v>2E-3</v>
      </c>
      <c r="AM6" s="89">
        <v>0.02</v>
      </c>
      <c r="AN6" s="2311" t="s">
        <v>3309</v>
      </c>
      <c r="AO6" s="55">
        <f ca="1">SUMIF(INDIRECT("'"&amp;AN6&amp;"'"&amp;"!A:A"),"总价",INDIRECT("'"&amp;AN6&amp;"'"&amp;"!B:B"))</f>
        <v>26371</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2012</v>
      </c>
      <c r="B14" s="2309" t="s">
        <v>2013</v>
      </c>
      <c r="C14" s="2314"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2014</v>
      </c>
      <c r="B15" s="2309" t="s">
        <v>2013</v>
      </c>
      <c r="C15" s="2314"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2016</v>
      </c>
      <c r="B16" s="97"/>
      <c r="C16" s="1008"/>
      <c r="D16" s="2316"/>
      <c r="E16" s="97"/>
      <c r="F16" s="97"/>
      <c r="G16" s="98">
        <f>ROUND(SUMPRODUCT(G6:G13,K6:K13)/SUMPRODUCT((G6:G13&gt;0)*(K6:K13)),3)</f>
        <v>0.86699999999999999</v>
      </c>
      <c r="H16" s="99">
        <f>ROUND(SUMPRODUCT(H6:H13,K6:K13)/SUMPRODUCT((H6:H13&gt;0)*(K6:K13)),3)</f>
        <v>0.05</v>
      </c>
      <c r="I16" s="100"/>
      <c r="J16" s="100"/>
      <c r="K16" s="101">
        <f>SUM(K6:K15)</f>
        <v>6960.5900000000011</v>
      </c>
      <c r="L16" s="102">
        <f>ROUND(M16*10000/SUM(K6:K14),0)</f>
        <v>3000</v>
      </c>
      <c r="M16" s="102">
        <f>SUM(M6:M14)</f>
        <v>2088</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2"/>
      <c r="C18" s="2279"/>
      <c r="D18" s="2280"/>
      <c r="E18" s="2279"/>
      <c r="F18" s="2279"/>
      <c r="G18" s="2279"/>
      <c r="H18" s="2279"/>
      <c r="I18" s="2279"/>
      <c r="J18" s="2279"/>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2018</v>
      </c>
      <c r="B19" s="112">
        <v>0</v>
      </c>
      <c r="C19" s="2279" t="s">
        <v>2019</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2020</v>
      </c>
      <c r="B20" s="113">
        <v>2</v>
      </c>
      <c r="C20" s="2279" t="s">
        <v>2021</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2022</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2023</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2024</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2025</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2026</v>
      </c>
      <c r="B26" s="2322" t="s">
        <v>2027</v>
      </c>
      <c r="C26" s="2323" t="s">
        <v>2028</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2029</v>
      </c>
      <c r="B27" s="116"/>
      <c r="C27" s="1768" t="s">
        <v>2030</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2031</v>
      </c>
      <c r="B28" s="119"/>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2032</v>
      </c>
      <c r="B29" s="121"/>
      <c r="C29" s="1768" t="s">
        <v>2033</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2034</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2035</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2036</v>
      </c>
      <c r="B32" s="725">
        <v>0</v>
      </c>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2037</v>
      </c>
      <c r="B33" s="726">
        <v>0.05</v>
      </c>
      <c r="C33" s="1767" t="s">
        <v>2038</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2039</v>
      </c>
      <c r="B34" s="122">
        <v>0</v>
      </c>
      <c r="C34" s="1767" t="s">
        <v>2040</v>
      </c>
      <c r="D34" s="2280" t="s">
        <v>2041</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2042</v>
      </c>
      <c r="B35" s="119">
        <v>200</v>
      </c>
      <c r="C35" s="1767" t="s">
        <v>2043</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2044</v>
      </c>
      <c r="B36" s="123">
        <v>1.4999999999999999E-2</v>
      </c>
      <c r="C36" s="1767" t="s">
        <v>2045</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2046</v>
      </c>
      <c r="B37" s="124">
        <v>0.03</v>
      </c>
      <c r="C37" s="1767" t="s">
        <v>2047</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2048</v>
      </c>
      <c r="B38" s="122">
        <v>0.03</v>
      </c>
      <c r="C38" s="1767" t="s">
        <v>2047</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2049</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2050</v>
      </c>
      <c r="B40" s="1303">
        <f ca="1">存贷款利率!G1</f>
        <v>4.7500000000000001E-2</v>
      </c>
      <c r="C40" s="1767" t="s">
        <v>2051</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2052</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2053</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2054</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2055</v>
      </c>
      <c r="B44" s="128">
        <v>7.0000000000000007E-2</v>
      </c>
      <c r="C44" s="1767" t="s">
        <v>2056</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2057</v>
      </c>
      <c r="B45" s="126">
        <v>0.03</v>
      </c>
      <c r="C45" s="1768" t="s">
        <v>2058</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2059</v>
      </c>
      <c r="B46" s="126">
        <v>0.02</v>
      </c>
      <c r="C46" s="1768" t="s">
        <v>2060</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2061</v>
      </c>
      <c r="B47" s="129"/>
      <c r="C47" s="1768" t="s">
        <v>2062</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2063</v>
      </c>
      <c r="B48" s="130">
        <v>0.03</v>
      </c>
      <c r="C48" s="1775" t="s">
        <v>2064</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2065</v>
      </c>
      <c r="B49" s="126">
        <v>5.0000000000000001E-4</v>
      </c>
      <c r="C49" s="1775" t="s">
        <v>2066</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2067</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2068</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2069</v>
      </c>
      <c r="B52" s="133">
        <f>SUMIF(A54:A63,B53,B54:B63)</f>
        <v>0</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2070</v>
      </c>
      <c r="B53" s="2338"/>
      <c r="C53" s="1430" t="s">
        <v>2071</v>
      </c>
      <c r="D53" s="2339" t="s">
        <v>2072</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2073</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2074</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2075</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2076</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2077</v>
      </c>
      <c r="B58" s="84"/>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2078</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2079</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2080</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2081</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2082</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8" sqref="J7:J8"/>
    </sheetView>
  </sheetViews>
  <sheetFormatPr defaultRowHeight="14.25"/>
  <cols>
    <col min="1" max="1" width="9.5" style="2371"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0"/>
    <col min="30" max="16384" width="9" style="2371"/>
  </cols>
  <sheetData>
    <row r="1" spans="1:29" s="2364" customFormat="1" ht="19.5" thickBot="1">
      <c r="A1" s="3155" t="s">
        <v>2083</v>
      </c>
      <c r="B1" s="3156"/>
      <c r="C1" s="3156"/>
      <c r="D1" s="3156"/>
      <c r="E1" s="3156"/>
      <c r="F1" s="3156"/>
      <c r="G1" s="315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2084</v>
      </c>
      <c r="D2" s="2368"/>
      <c r="E2" s="2369"/>
      <c r="F2" s="2288"/>
      <c r="G2" s="2367" t="s">
        <v>2085</v>
      </c>
      <c r="H2" s="2370"/>
      <c r="I2" s="2370"/>
      <c r="J2" s="2370"/>
      <c r="K2" s="2370"/>
      <c r="L2" s="2370"/>
      <c r="M2" s="2370"/>
      <c r="N2" s="2370"/>
      <c r="O2" s="2370"/>
      <c r="P2" s="2370"/>
      <c r="Q2" s="2370"/>
      <c r="R2" s="2370"/>
    </row>
    <row r="3" spans="1:29" ht="27">
      <c r="A3" s="416" t="s">
        <v>2086</v>
      </c>
      <c r="B3" s="1271" t="s">
        <v>2087</v>
      </c>
      <c r="C3" s="2372"/>
      <c r="D3" s="2373"/>
      <c r="E3" s="432" t="s">
        <v>2086</v>
      </c>
      <c r="F3" s="2374" t="s">
        <v>2088</v>
      </c>
      <c r="G3" s="2375"/>
      <c r="H3" s="2370"/>
      <c r="I3" s="2370"/>
      <c r="J3" s="2370"/>
      <c r="K3" s="2370"/>
      <c r="L3" s="2370"/>
      <c r="M3" s="2370"/>
      <c r="N3" s="2370"/>
      <c r="O3" s="2370"/>
      <c r="P3" s="2370"/>
      <c r="Q3" s="2370"/>
      <c r="R3" s="2370"/>
    </row>
    <row r="4" spans="1:29" ht="15">
      <c r="A4" s="432"/>
      <c r="B4" s="1799" t="s">
        <v>2089</v>
      </c>
      <c r="C4" s="2376"/>
      <c r="D4" s="2373"/>
      <c r="E4" s="2377"/>
      <c r="F4" s="42" t="s">
        <v>2090</v>
      </c>
      <c r="G4" s="2378"/>
      <c r="H4" s="2370"/>
      <c r="I4" s="2370"/>
      <c r="J4" s="2370"/>
      <c r="K4" s="2370"/>
      <c r="L4" s="2370"/>
      <c r="M4" s="2370"/>
      <c r="N4" s="2370"/>
      <c r="O4" s="2370"/>
      <c r="P4" s="2370"/>
      <c r="Q4" s="2370"/>
      <c r="R4" s="2370"/>
    </row>
    <row r="5" spans="1:29" ht="67.5">
      <c r="A5" s="432"/>
      <c r="B5" s="1799" t="s">
        <v>2091</v>
      </c>
      <c r="C5" s="3037" t="s">
        <v>3407</v>
      </c>
      <c r="D5" s="2373"/>
      <c r="E5" s="2377"/>
      <c r="F5" s="1799" t="s">
        <v>2092</v>
      </c>
      <c r="G5" s="2378"/>
      <c r="H5" s="2370"/>
      <c r="I5" s="2370"/>
      <c r="J5" s="2370"/>
      <c r="K5" s="2370"/>
      <c r="L5" s="2370"/>
      <c r="M5" s="2370"/>
      <c r="N5" s="2370"/>
      <c r="O5" s="2370"/>
      <c r="P5" s="2370"/>
      <c r="Q5" s="2370"/>
      <c r="R5" s="2370"/>
    </row>
    <row r="6" spans="1:29" ht="81">
      <c r="A6" s="432"/>
      <c r="B6" s="1799" t="s">
        <v>2093</v>
      </c>
      <c r="C6" s="3036" t="s">
        <v>3311</v>
      </c>
      <c r="D6" s="2373"/>
      <c r="E6" s="2377"/>
      <c r="F6" s="1799" t="s">
        <v>2094</v>
      </c>
      <c r="G6" s="2378"/>
      <c r="H6" s="2370"/>
      <c r="I6" s="2370"/>
      <c r="J6" s="2370"/>
      <c r="K6" s="2370"/>
      <c r="L6" s="2370"/>
      <c r="M6" s="2370"/>
      <c r="N6" s="2370"/>
      <c r="O6" s="2370"/>
      <c r="P6" s="2370"/>
      <c r="Q6" s="2370"/>
      <c r="R6" s="2370"/>
    </row>
    <row r="7" spans="1:29" ht="27.75" thickBot="1">
      <c r="A7" s="432"/>
      <c r="B7" s="1799" t="s">
        <v>2092</v>
      </c>
      <c r="C7" s="3036" t="s">
        <v>3312</v>
      </c>
      <c r="D7" s="2379"/>
      <c r="E7" s="2380"/>
      <c r="F7" s="2381" t="s">
        <v>2095</v>
      </c>
      <c r="G7" s="2382"/>
      <c r="H7" s="2370"/>
      <c r="I7" s="2370"/>
      <c r="J7" s="2370"/>
      <c r="K7" s="2370"/>
      <c r="L7" s="2370"/>
      <c r="M7" s="2370"/>
      <c r="N7" s="2370"/>
      <c r="O7" s="2370"/>
      <c r="P7" s="2370"/>
      <c r="Q7" s="2370"/>
      <c r="R7" s="2370"/>
    </row>
    <row r="8" spans="1:29" ht="34.5" customHeight="1">
      <c r="A8" s="432"/>
      <c r="B8" s="1799" t="s">
        <v>2094</v>
      </c>
      <c r="C8" s="3036" t="s">
        <v>3313</v>
      </c>
      <c r="D8" s="2379"/>
      <c r="E8" s="2379"/>
      <c r="F8" s="1136"/>
      <c r="G8" s="1136"/>
      <c r="H8" s="2370"/>
      <c r="I8" s="2370"/>
      <c r="J8" s="2370"/>
      <c r="K8" s="2370"/>
      <c r="L8" s="2370"/>
      <c r="M8" s="2370"/>
      <c r="N8" s="2370"/>
      <c r="O8" s="2370"/>
      <c r="P8" s="2370"/>
      <c r="Q8" s="2370"/>
      <c r="R8" s="2370"/>
    </row>
    <row r="9" spans="1:29" ht="81">
      <c r="A9" s="432"/>
      <c r="B9" s="1799" t="s">
        <v>2096</v>
      </c>
      <c r="C9" s="3037" t="s">
        <v>3396</v>
      </c>
      <c r="D9" s="2373"/>
      <c r="E9" s="2379"/>
      <c r="F9" s="1136"/>
      <c r="G9" s="1136"/>
      <c r="H9" s="2370"/>
      <c r="I9" s="2370"/>
      <c r="J9" s="2370"/>
      <c r="K9" s="2370"/>
      <c r="L9" s="2370"/>
      <c r="M9" s="2370"/>
      <c r="N9" s="2370"/>
      <c r="O9" s="2370"/>
      <c r="P9" s="2370"/>
      <c r="Q9" s="2370"/>
      <c r="R9" s="2370"/>
    </row>
    <row r="10" spans="1:29" s="117" customFormat="1" ht="15.75" thickBot="1">
      <c r="A10" s="2383"/>
      <c r="B10" s="2384" t="s">
        <v>2097</v>
      </c>
      <c r="C10" s="3038" t="s">
        <v>3315</v>
      </c>
      <c r="D10" s="2373"/>
      <c r="E10" s="2373"/>
      <c r="F10" s="1136"/>
      <c r="G10" s="1136"/>
      <c r="H10" s="2385"/>
      <c r="I10" s="2386"/>
      <c r="J10" s="2387"/>
      <c r="K10" s="2385"/>
      <c r="L10" s="2386"/>
      <c r="M10" s="2387"/>
      <c r="N10" s="2385"/>
      <c r="O10" s="2386"/>
      <c r="P10" s="2387"/>
      <c r="Q10" s="2385"/>
      <c r="R10" s="2386"/>
      <c r="S10" s="2370"/>
      <c r="T10" s="2370"/>
      <c r="U10" s="2370"/>
      <c r="V10" s="2370"/>
      <c r="W10" s="2370"/>
      <c r="X10" s="2370"/>
      <c r="Y10" s="2370"/>
      <c r="Z10" s="2370"/>
      <c r="AA10" s="2370"/>
      <c r="AB10" s="2370"/>
      <c r="AC10" s="2370"/>
    </row>
    <row r="11" spans="1:29" s="117" customFormat="1" ht="15">
      <c r="A11" s="2388"/>
      <c r="B11" s="2379"/>
      <c r="C11" s="2373"/>
      <c r="D11" s="2373"/>
      <c r="E11" s="2373"/>
      <c r="F11" s="2379"/>
      <c r="G11" s="1154"/>
      <c r="H11" s="2385"/>
      <c r="I11" s="2386"/>
      <c r="J11" s="2387"/>
      <c r="K11" s="2385"/>
      <c r="L11" s="2386"/>
      <c r="M11" s="2387"/>
      <c r="N11" s="2385"/>
      <c r="O11" s="2386"/>
      <c r="P11" s="2387"/>
      <c r="Q11" s="2385"/>
      <c r="R11" s="2386"/>
      <c r="S11" s="2370"/>
      <c r="T11" s="2370"/>
      <c r="U11" s="2370"/>
      <c r="V11" s="2370"/>
      <c r="W11" s="2370"/>
      <c r="X11" s="2370"/>
      <c r="Y11" s="2370"/>
      <c r="Z11" s="2370"/>
      <c r="AA11" s="2370"/>
      <c r="AB11" s="2370"/>
      <c r="AC11" s="2370"/>
    </row>
    <row r="12" spans="1:29" s="2364" customFormat="1" ht="18">
      <c r="A12" s="2388"/>
      <c r="B12" s="2379"/>
      <c r="C12" s="2373"/>
      <c r="D12" s="2389"/>
      <c r="E12" s="2373"/>
      <c r="F12" s="2379"/>
      <c r="G12" s="1154"/>
      <c r="H12" s="2390"/>
      <c r="I12" s="2391"/>
      <c r="J12" s="2390"/>
      <c r="K12" s="2390"/>
      <c r="L12" s="2392"/>
      <c r="M12" s="2390"/>
      <c r="N12" s="2393"/>
      <c r="O12" s="2394"/>
      <c r="P12" s="2393"/>
      <c r="Q12" s="2393"/>
      <c r="R12" s="2362"/>
      <c r="S12" s="2363"/>
      <c r="T12" s="2363"/>
      <c r="U12" s="2363"/>
      <c r="V12" s="2363"/>
      <c r="W12" s="2363"/>
      <c r="X12" s="2363"/>
      <c r="Y12" s="2363"/>
      <c r="Z12" s="2363"/>
      <c r="AA12" s="2363"/>
      <c r="AB12" s="2363"/>
      <c r="AC12" s="2363"/>
    </row>
    <row r="13" spans="1:29" ht="19.5" thickBot="1">
      <c r="A13" s="2395" t="s">
        <v>2098</v>
      </c>
      <c r="B13" s="2389"/>
      <c r="C13" s="2389"/>
      <c r="D13" s="2396"/>
      <c r="E13" s="2389"/>
      <c r="F13" s="2389"/>
      <c r="G13" s="2389"/>
    </row>
    <row r="14" spans="1:29" ht="15.75" thickBot="1">
      <c r="A14" s="2400"/>
      <c r="B14" s="2401"/>
      <c r="C14" s="2402" t="s">
        <v>2099</v>
      </c>
      <c r="D14" s="2373"/>
      <c r="E14" s="2403"/>
      <c r="F14" s="2403"/>
      <c r="G14" s="2367" t="s">
        <v>2100</v>
      </c>
    </row>
    <row r="15" spans="1:29" ht="27">
      <c r="A15" s="68" t="s">
        <v>2101</v>
      </c>
      <c r="B15" s="1270" t="s">
        <v>2087</v>
      </c>
      <c r="C15" s="2404">
        <f>C3</f>
        <v>0</v>
      </c>
      <c r="D15" s="2373"/>
      <c r="E15" s="2405" t="s">
        <v>2102</v>
      </c>
      <c r="F15" s="1270" t="s">
        <v>2103</v>
      </c>
      <c r="G15" s="135">
        <f>G3</f>
        <v>0</v>
      </c>
    </row>
    <row r="16" spans="1:29" ht="15">
      <c r="A16" s="646"/>
      <c r="B16" s="2406" t="s">
        <v>2089</v>
      </c>
      <c r="C16" s="2407">
        <f>C4</f>
        <v>0</v>
      </c>
      <c r="D16" s="2373"/>
      <c r="E16" s="2408"/>
      <c r="F16" s="2409" t="s">
        <v>2090</v>
      </c>
      <c r="G16" s="136">
        <f>G4</f>
        <v>0</v>
      </c>
    </row>
    <row r="17" spans="1:18" ht="71.25">
      <c r="A17" s="646"/>
      <c r="B17" s="2406" t="s">
        <v>2091</v>
      </c>
      <c r="C17" s="2407" t="str">
        <f>C5</f>
        <v>估价对象位于国贸商圈，周边办公楼项目较多，有富力中心，乐成中心、佳龙大厦等，入驻率较高，办公集聚程度较好</v>
      </c>
      <c r="D17" s="2379"/>
      <c r="E17" s="2408"/>
      <c r="F17" s="2409" t="s">
        <v>2104</v>
      </c>
      <c r="G17" s="1573"/>
    </row>
    <row r="18" spans="1:18" ht="85.5">
      <c r="A18" s="646"/>
      <c r="B18" s="2409" t="s">
        <v>2093</v>
      </c>
      <c r="C18" s="136" t="str">
        <f>C6</f>
        <v>估价对象周边2公里范围内路网密集、有57、72、300路等多辆公交车经过，有1号线、7号线、10号线经过，周边停车便捷，综合评价交通便捷度好。</v>
      </c>
      <c r="D18" s="2379"/>
      <c r="E18" s="2408"/>
      <c r="F18" s="2409" t="s">
        <v>2095</v>
      </c>
      <c r="G18" s="136">
        <f>G7</f>
        <v>0</v>
      </c>
    </row>
    <row r="19" spans="1:18" ht="15">
      <c r="A19" s="646"/>
      <c r="B19" s="2409" t="s">
        <v>2105</v>
      </c>
      <c r="C19" s="1573"/>
      <c r="D19" s="2373"/>
      <c r="E19" s="2408"/>
      <c r="F19" s="1799" t="s">
        <v>2092</v>
      </c>
      <c r="G19" s="136">
        <f>G5</f>
        <v>0</v>
      </c>
    </row>
    <row r="20" spans="1:18" ht="85.5">
      <c r="A20" s="646"/>
      <c r="B20" s="2409" t="s">
        <v>2106</v>
      </c>
      <c r="C20" s="2407" t="str">
        <f>C9</f>
        <v>区域有一定数量大型绿化，自然环境一般：周边有一定数量图书馆，歌剧院等，无高等院校等，人文环境一般；综合评价环境状况一般。</v>
      </c>
      <c r="D20" s="2379"/>
      <c r="E20" s="2408"/>
      <c r="F20" s="1799" t="s">
        <v>2107</v>
      </c>
      <c r="G20" s="136">
        <f>G6</f>
        <v>0</v>
      </c>
    </row>
    <row r="21" spans="1:18" ht="28.5">
      <c r="A21" s="646"/>
      <c r="B21" s="1799" t="s">
        <v>2092</v>
      </c>
      <c r="C21" s="136" t="str">
        <f>C7</f>
        <v>估价对象所在区域公共配套设施齐备</v>
      </c>
      <c r="D21" s="2373"/>
      <c r="E21" s="2408"/>
      <c r="F21" s="2409" t="s">
        <v>2108</v>
      </c>
      <c r="G21" s="2410"/>
    </row>
    <row r="22" spans="1:18" ht="13.5" customHeight="1">
      <c r="A22" s="646"/>
      <c r="B22" s="1799" t="s">
        <v>2094</v>
      </c>
      <c r="C22" s="136" t="str">
        <f>C8</f>
        <v>估价对象所在区域基础设施水平可达红线外“七通”</v>
      </c>
      <c r="D22" s="2373"/>
      <c r="E22" s="2408"/>
      <c r="F22" s="2409" t="s">
        <v>2097</v>
      </c>
      <c r="G22" s="1573"/>
    </row>
    <row r="23" spans="1:18" s="2370" customFormat="1" ht="15.75" thickBot="1">
      <c r="A23" s="646"/>
      <c r="B23" s="2409" t="s">
        <v>2108</v>
      </c>
      <c r="C23" s="2410"/>
      <c r="D23" s="2397"/>
      <c r="E23" s="2411"/>
      <c r="F23" s="2412" t="s">
        <v>2109</v>
      </c>
      <c r="G23" s="2413"/>
      <c r="H23" s="2397"/>
      <c r="I23" s="2398"/>
      <c r="J23" s="2397"/>
      <c r="K23" s="2397"/>
      <c r="L23" s="2398"/>
      <c r="M23" s="2397"/>
      <c r="N23" s="2397"/>
      <c r="O23" s="2398"/>
      <c r="P23" s="2397"/>
      <c r="Q23" s="2397"/>
      <c r="R23" s="2399"/>
    </row>
    <row r="24" spans="1:18" s="2370" customFormat="1" ht="15.75" thickBot="1">
      <c r="A24" s="2414"/>
      <c r="B24" s="2412" t="s">
        <v>2110</v>
      </c>
      <c r="C24" s="137" t="str">
        <f>C10</f>
        <v>城市支路</v>
      </c>
      <c r="D24" s="2397"/>
      <c r="E24" s="2415"/>
      <c r="F24" s="2415"/>
      <c r="G24" s="2416"/>
      <c r="H24" s="2397"/>
      <c r="I24" s="2398"/>
      <c r="J24" s="2397"/>
      <c r="K24" s="2397"/>
      <c r="L24" s="2398"/>
      <c r="M24" s="2397"/>
      <c r="N24" s="2397"/>
      <c r="O24" s="2398"/>
      <c r="P24" s="2397"/>
      <c r="Q24" s="2397"/>
      <c r="R24" s="2399"/>
    </row>
    <row r="25" spans="1:18" s="2370" customFormat="1">
      <c r="B25" s="2397"/>
      <c r="C25" s="2397"/>
      <c r="D25" s="2397"/>
      <c r="H25" s="2397"/>
      <c r="I25" s="2398"/>
      <c r="J25" s="2397"/>
      <c r="K25" s="2397"/>
      <c r="L25" s="2398"/>
      <c r="M25" s="2397"/>
      <c r="N25" s="2397"/>
      <c r="O25" s="2398"/>
      <c r="P25" s="2397"/>
      <c r="Q25" s="2397"/>
      <c r="R25" s="2399"/>
    </row>
    <row r="26" spans="1:18" s="2370" customFormat="1">
      <c r="B26" s="2397"/>
      <c r="C26" s="2397"/>
      <c r="D26" s="2397"/>
      <c r="H26" s="2397"/>
      <c r="I26" s="2398"/>
      <c r="J26" s="2397"/>
      <c r="K26" s="2397"/>
      <c r="L26" s="2398"/>
      <c r="M26" s="2397"/>
      <c r="N26" s="2397"/>
      <c r="O26" s="2398"/>
      <c r="P26" s="2397"/>
      <c r="Q26" s="2397"/>
      <c r="R26" s="2399"/>
    </row>
    <row r="27" spans="1:18" s="2370" customFormat="1">
      <c r="B27" s="2397"/>
      <c r="C27" s="2397"/>
      <c r="D27" s="2397"/>
      <c r="H27" s="2397"/>
      <c r="I27" s="2398"/>
      <c r="J27" s="2397"/>
      <c r="K27" s="2397"/>
      <c r="L27" s="2398"/>
      <c r="M27" s="2397"/>
      <c r="N27" s="2397"/>
      <c r="O27" s="2398"/>
      <c r="P27" s="2397"/>
      <c r="Q27" s="2397"/>
      <c r="R27" s="2399"/>
    </row>
    <row r="28" spans="1:18" s="2370" customFormat="1">
      <c r="B28" s="2397"/>
      <c r="C28" s="2397"/>
      <c r="D28" s="2397"/>
      <c r="H28" s="2397"/>
      <c r="I28" s="2398"/>
      <c r="J28" s="2397"/>
      <c r="K28" s="2397"/>
      <c r="L28" s="2398"/>
      <c r="M28" s="2397"/>
      <c r="N28" s="2397"/>
      <c r="O28" s="2398"/>
      <c r="P28" s="2397"/>
      <c r="Q28" s="2397"/>
      <c r="R28" s="2399"/>
    </row>
    <row r="29" spans="1:18" s="2370" customFormat="1">
      <c r="B29" s="2397"/>
      <c r="C29" s="2397"/>
      <c r="D29" s="2397"/>
      <c r="H29" s="2397"/>
      <c r="I29" s="2398"/>
      <c r="J29" s="2397"/>
      <c r="K29" s="2397"/>
      <c r="L29" s="2398"/>
      <c r="M29" s="2397"/>
      <c r="N29" s="2397"/>
      <c r="O29" s="2398"/>
      <c r="P29" s="2397"/>
      <c r="Q29" s="2397"/>
      <c r="R29" s="2399"/>
    </row>
    <row r="30" spans="1:18" s="2370" customFormat="1">
      <c r="B30" s="2397"/>
      <c r="C30" s="2397"/>
      <c r="D30" s="2397"/>
      <c r="H30" s="2397"/>
      <c r="I30" s="2398"/>
      <c r="J30" s="2397"/>
      <c r="K30" s="2397"/>
      <c r="L30" s="2398"/>
      <c r="M30" s="2397"/>
      <c r="N30" s="2397"/>
      <c r="O30" s="2398"/>
      <c r="P30" s="2397"/>
      <c r="Q30" s="2397"/>
      <c r="R30" s="2399"/>
    </row>
    <row r="31" spans="1:18" s="2370" customFormat="1">
      <c r="B31" s="2397"/>
      <c r="C31" s="2397"/>
      <c r="D31" s="2397"/>
      <c r="H31" s="2397"/>
      <c r="I31" s="2398"/>
      <c r="J31" s="2397"/>
      <c r="K31" s="2397"/>
      <c r="L31" s="2398"/>
      <c r="M31" s="2397"/>
      <c r="N31" s="2397"/>
      <c r="O31" s="2398"/>
      <c r="P31" s="2397"/>
      <c r="Q31" s="2397"/>
      <c r="R31" s="2399"/>
    </row>
    <row r="32" spans="1:18" s="2370" customFormat="1">
      <c r="B32" s="2397"/>
      <c r="C32" s="2397"/>
      <c r="D32" s="2397"/>
      <c r="H32" s="2397"/>
      <c r="I32" s="2398"/>
      <c r="J32" s="2397"/>
      <c r="K32" s="2397"/>
      <c r="L32" s="2398"/>
      <c r="M32" s="2397"/>
      <c r="N32" s="2397"/>
      <c r="O32" s="2398"/>
      <c r="P32" s="2397"/>
      <c r="Q32" s="2397"/>
      <c r="R32" s="2399"/>
    </row>
    <row r="33" spans="2:18" s="2370" customFormat="1">
      <c r="B33" s="2397"/>
      <c r="C33" s="2397"/>
      <c r="D33" s="2397"/>
      <c r="H33" s="2397"/>
      <c r="I33" s="2398"/>
      <c r="J33" s="2397"/>
      <c r="K33" s="2397"/>
      <c r="L33" s="2398"/>
      <c r="M33" s="2397"/>
      <c r="N33" s="2397"/>
      <c r="O33" s="2398"/>
      <c r="P33" s="2397"/>
      <c r="Q33" s="2397"/>
      <c r="R33" s="2399"/>
    </row>
    <row r="34" spans="2:18" s="2370" customFormat="1">
      <c r="B34" s="2397"/>
      <c r="C34" s="2397"/>
      <c r="D34" s="2397"/>
      <c r="H34" s="2397"/>
      <c r="I34" s="2398"/>
      <c r="J34" s="2397"/>
      <c r="K34" s="2397"/>
      <c r="L34" s="2398"/>
      <c r="M34" s="2397"/>
      <c r="N34" s="2397"/>
      <c r="O34" s="2398"/>
      <c r="P34" s="2397"/>
      <c r="Q34" s="2397"/>
      <c r="R34" s="2399"/>
    </row>
    <row r="35" spans="2:18" s="2370" customFormat="1">
      <c r="B35" s="2397"/>
      <c r="C35" s="2397"/>
      <c r="D35" s="2397"/>
      <c r="H35" s="2397"/>
      <c r="I35" s="2398"/>
      <c r="J35" s="2397"/>
      <c r="K35" s="2397"/>
      <c r="L35" s="2398"/>
      <c r="M35" s="2397"/>
      <c r="N35" s="2397"/>
      <c r="O35" s="2398"/>
      <c r="P35" s="2397"/>
      <c r="Q35" s="2397"/>
      <c r="R35" s="2399"/>
    </row>
    <row r="36" spans="2:18" s="2370" customFormat="1">
      <c r="B36" s="2397"/>
      <c r="C36" s="2397"/>
      <c r="D36" s="2397"/>
      <c r="H36" s="2397"/>
      <c r="I36" s="2398"/>
      <c r="J36" s="2397"/>
      <c r="K36" s="2397"/>
      <c r="L36" s="2398"/>
      <c r="M36" s="2397"/>
      <c r="N36" s="2397"/>
      <c r="O36" s="2398"/>
      <c r="P36" s="2397"/>
      <c r="Q36" s="2397"/>
      <c r="R36" s="2399"/>
    </row>
    <row r="37" spans="2:18" s="2370" customFormat="1">
      <c r="B37" s="2397"/>
      <c r="C37" s="2397"/>
      <c r="D37" s="2397"/>
      <c r="H37" s="2397"/>
      <c r="I37" s="2398"/>
      <c r="J37" s="2397"/>
      <c r="K37" s="2397"/>
      <c r="L37" s="2398"/>
      <c r="M37" s="2397"/>
      <c r="N37" s="2397"/>
      <c r="O37" s="2398"/>
      <c r="P37" s="2397"/>
      <c r="Q37" s="2397"/>
      <c r="R37" s="2399"/>
    </row>
    <row r="38" spans="2:18" s="2370" customFormat="1">
      <c r="B38" s="2397"/>
      <c r="C38" s="2397"/>
      <c r="D38" s="2397"/>
      <c r="E38" s="2397"/>
      <c r="F38" s="2397"/>
      <c r="G38" s="2398"/>
      <c r="H38" s="2397"/>
      <c r="I38" s="2398"/>
      <c r="J38" s="2397"/>
      <c r="K38" s="2397"/>
      <c r="L38" s="2398"/>
      <c r="M38" s="2397"/>
      <c r="N38" s="2397"/>
      <c r="O38" s="2398"/>
      <c r="P38" s="2397"/>
      <c r="Q38" s="2397"/>
      <c r="R38" s="2399"/>
    </row>
    <row r="39" spans="2:18" s="2370" customFormat="1">
      <c r="B39" s="2397"/>
      <c r="C39" s="2397"/>
      <c r="D39" s="2397"/>
      <c r="E39" s="2397"/>
      <c r="F39" s="2397"/>
      <c r="G39" s="2398"/>
      <c r="H39" s="2397"/>
      <c r="I39" s="2398"/>
      <c r="J39" s="2397"/>
      <c r="K39" s="2397"/>
      <c r="L39" s="2398"/>
      <c r="M39" s="2397"/>
      <c r="N39" s="2397"/>
      <c r="O39" s="2398"/>
      <c r="P39" s="2397"/>
      <c r="Q39" s="2397"/>
      <c r="R39" s="2399"/>
    </row>
    <row r="40" spans="2:18" s="2370" customFormat="1">
      <c r="B40" s="2397"/>
      <c r="C40" s="2397"/>
      <c r="D40" s="2397"/>
      <c r="E40" s="2397"/>
      <c r="F40" s="2397"/>
      <c r="G40" s="2398"/>
      <c r="H40" s="2397"/>
      <c r="I40" s="2398"/>
      <c r="J40" s="2397"/>
      <c r="K40" s="2397"/>
      <c r="L40" s="2398"/>
      <c r="M40" s="2397"/>
      <c r="N40" s="2397"/>
      <c r="O40" s="2398"/>
      <c r="P40" s="2397"/>
      <c r="Q40" s="2397"/>
      <c r="R40" s="2399"/>
    </row>
    <row r="41" spans="2:18" s="2370" customFormat="1">
      <c r="B41" s="2397"/>
      <c r="C41" s="2397"/>
      <c r="D41" s="2397"/>
      <c r="E41" s="2397"/>
      <c r="F41" s="2397"/>
      <c r="G41" s="2398"/>
      <c r="H41" s="2397"/>
      <c r="I41" s="2398"/>
      <c r="J41" s="2397"/>
      <c r="K41" s="2397"/>
      <c r="L41" s="2398"/>
      <c r="M41" s="2397"/>
      <c r="N41" s="2397"/>
      <c r="O41" s="2398"/>
      <c r="P41" s="2397"/>
      <c r="Q41" s="2397"/>
      <c r="R41" s="2399"/>
    </row>
    <row r="42" spans="2:18" s="2370" customFormat="1">
      <c r="B42" s="2397"/>
      <c r="C42" s="2397"/>
      <c r="D42" s="2397"/>
      <c r="E42" s="2397"/>
      <c r="F42" s="2397"/>
      <c r="G42" s="2398"/>
      <c r="H42" s="2397"/>
      <c r="I42" s="2398"/>
      <c r="J42" s="2397"/>
      <c r="K42" s="2397"/>
      <c r="L42" s="2398"/>
      <c r="M42" s="2397"/>
      <c r="N42" s="2397"/>
      <c r="O42" s="2398"/>
      <c r="P42" s="2397"/>
      <c r="Q42" s="2397"/>
      <c r="R42" s="2399"/>
    </row>
    <row r="43" spans="2:18" s="2370" customFormat="1">
      <c r="B43" s="2397"/>
      <c r="C43" s="2397"/>
      <c r="D43" s="2397"/>
      <c r="E43" s="2397"/>
      <c r="F43" s="2397"/>
      <c r="G43" s="2398"/>
      <c r="H43" s="2397"/>
      <c r="I43" s="2398"/>
      <c r="J43" s="2397"/>
      <c r="K43" s="2397"/>
      <c r="L43" s="2398"/>
      <c r="M43" s="2397"/>
      <c r="N43" s="2397"/>
      <c r="O43" s="2398"/>
      <c r="P43" s="2397"/>
      <c r="Q43" s="2397"/>
      <c r="R43" s="2399"/>
    </row>
    <row r="44" spans="2:18" s="2370" customFormat="1">
      <c r="B44" s="2397"/>
      <c r="C44" s="2397"/>
      <c r="D44" s="2397"/>
      <c r="E44" s="2397"/>
      <c r="F44" s="2397"/>
      <c r="G44" s="2398"/>
      <c r="H44" s="2397"/>
      <c r="I44" s="2398"/>
      <c r="J44" s="2397"/>
      <c r="K44" s="2397"/>
      <c r="L44" s="2398"/>
      <c r="M44" s="2397"/>
      <c r="N44" s="2397"/>
      <c r="O44" s="2398"/>
      <c r="P44" s="2397"/>
      <c r="Q44" s="2397"/>
      <c r="R44" s="2399"/>
    </row>
    <row r="45" spans="2:18" s="2370" customFormat="1">
      <c r="B45" s="2397"/>
      <c r="C45" s="2397"/>
      <c r="D45" s="2397"/>
      <c r="E45" s="2397"/>
      <c r="F45" s="2397"/>
      <c r="G45" s="2398"/>
      <c r="H45" s="2397"/>
      <c r="I45" s="2398"/>
      <c r="J45" s="2397"/>
      <c r="K45" s="2397"/>
      <c r="L45" s="2398"/>
      <c r="M45" s="2397"/>
      <c r="N45" s="2397"/>
      <c r="O45" s="2398"/>
      <c r="P45" s="2397"/>
      <c r="Q45" s="2397"/>
      <c r="R45" s="2399"/>
    </row>
    <row r="46" spans="2:18" s="2370" customFormat="1">
      <c r="B46" s="2397"/>
      <c r="C46" s="2397"/>
      <c r="D46" s="2397"/>
      <c r="E46" s="2397"/>
      <c r="F46" s="2397"/>
      <c r="G46" s="2398"/>
      <c r="H46" s="2397"/>
      <c r="I46" s="2398"/>
      <c r="J46" s="2397"/>
      <c r="K46" s="2397"/>
      <c r="L46" s="2398"/>
      <c r="M46" s="2397"/>
      <c r="N46" s="2397"/>
      <c r="O46" s="2398"/>
      <c r="P46" s="2397"/>
      <c r="Q46" s="2397"/>
      <c r="R46" s="2399"/>
    </row>
    <row r="47" spans="2:18" s="2370" customFormat="1">
      <c r="B47" s="2397"/>
      <c r="C47" s="2397"/>
      <c r="D47" s="2397"/>
      <c r="E47" s="2397"/>
      <c r="F47" s="2397"/>
      <c r="G47" s="2398"/>
      <c r="H47" s="2397"/>
      <c r="I47" s="2398"/>
      <c r="J47" s="2397"/>
      <c r="K47" s="2397"/>
      <c r="L47" s="2398"/>
      <c r="M47" s="2397"/>
      <c r="N47" s="2397"/>
      <c r="O47" s="2398"/>
      <c r="P47" s="2397"/>
      <c r="Q47" s="2397"/>
      <c r="R47" s="2399"/>
    </row>
    <row r="48" spans="2:18" s="2370" customFormat="1">
      <c r="B48" s="2397"/>
      <c r="C48" s="2397"/>
      <c r="D48" s="2397"/>
      <c r="E48" s="2397"/>
      <c r="F48" s="2397"/>
      <c r="G48" s="2398"/>
      <c r="H48" s="2397"/>
      <c r="I48" s="2398"/>
      <c r="J48" s="2397"/>
      <c r="K48" s="2397"/>
      <c r="L48" s="2398"/>
      <c r="M48" s="2397"/>
      <c r="N48" s="2397"/>
      <c r="O48" s="2398"/>
      <c r="P48" s="2397"/>
      <c r="Q48" s="2397"/>
      <c r="R48" s="2399"/>
    </row>
    <row r="49" spans="2:18" s="2370" customFormat="1">
      <c r="B49" s="2397"/>
      <c r="C49" s="2397"/>
      <c r="D49" s="2397"/>
      <c r="E49" s="2397"/>
      <c r="F49" s="2397"/>
      <c r="G49" s="2398"/>
      <c r="H49" s="2397"/>
      <c r="I49" s="2398"/>
      <c r="J49" s="2397"/>
      <c r="K49" s="2397"/>
      <c r="L49" s="2398"/>
      <c r="M49" s="2397"/>
      <c r="N49" s="2397"/>
      <c r="O49" s="2398"/>
      <c r="P49" s="2397"/>
      <c r="Q49" s="2397"/>
      <c r="R49" s="2399"/>
    </row>
    <row r="50" spans="2:18" s="2370" customFormat="1">
      <c r="B50" s="2397"/>
      <c r="C50" s="2397"/>
      <c r="D50" s="2397"/>
      <c r="E50" s="2397"/>
      <c r="F50" s="2397"/>
      <c r="G50" s="2398"/>
      <c r="H50" s="2397"/>
      <c r="I50" s="2398"/>
      <c r="J50" s="2397"/>
      <c r="K50" s="2397"/>
      <c r="L50" s="2398"/>
      <c r="M50" s="2397"/>
      <c r="N50" s="2397"/>
      <c r="O50" s="2398"/>
      <c r="P50" s="2397"/>
      <c r="Q50" s="2397"/>
      <c r="R50" s="2399"/>
    </row>
    <row r="51" spans="2:18" s="2370" customFormat="1">
      <c r="B51" s="2397"/>
      <c r="C51" s="2397"/>
      <c r="D51" s="2397"/>
      <c r="E51" s="2397"/>
      <c r="F51" s="2397"/>
      <c r="G51" s="2398"/>
      <c r="H51" s="2397"/>
      <c r="I51" s="2398"/>
      <c r="J51" s="2397"/>
      <c r="K51" s="2397"/>
      <c r="L51" s="2398"/>
      <c r="M51" s="2397"/>
      <c r="N51" s="2397"/>
      <c r="O51" s="2398"/>
      <c r="P51" s="2397"/>
      <c r="Q51" s="2397"/>
      <c r="R51" s="2399"/>
    </row>
    <row r="52" spans="2:18" s="2370" customFormat="1">
      <c r="B52" s="2397"/>
      <c r="C52" s="2397"/>
      <c r="D52" s="2397"/>
      <c r="E52" s="2397"/>
      <c r="F52" s="2397"/>
      <c r="G52" s="2398"/>
      <c r="H52" s="2397"/>
      <c r="I52" s="2398"/>
      <c r="J52" s="2397"/>
      <c r="K52" s="2397"/>
      <c r="L52" s="2398"/>
      <c r="M52" s="2397"/>
      <c r="N52" s="2397"/>
      <c r="O52" s="2398"/>
      <c r="P52" s="2397"/>
      <c r="Q52" s="2397"/>
      <c r="R52" s="2399"/>
    </row>
    <row r="53" spans="2:18" s="2370" customFormat="1">
      <c r="B53" s="2397"/>
      <c r="C53" s="2397"/>
      <c r="D53" s="2397"/>
      <c r="E53" s="2397"/>
      <c r="F53" s="2397"/>
      <c r="G53" s="2398"/>
      <c r="H53" s="2397"/>
      <c r="I53" s="2398"/>
      <c r="J53" s="2397"/>
      <c r="K53" s="2397"/>
      <c r="L53" s="2398"/>
      <c r="M53" s="2397"/>
      <c r="N53" s="2397"/>
      <c r="O53" s="2398"/>
      <c r="P53" s="2397"/>
      <c r="Q53" s="2397"/>
      <c r="R53" s="2399"/>
    </row>
    <row r="54" spans="2:18" s="2370" customFormat="1">
      <c r="B54" s="2397"/>
      <c r="C54" s="2397"/>
      <c r="D54" s="2397"/>
      <c r="E54" s="2397"/>
      <c r="F54" s="2397"/>
      <c r="G54" s="2398"/>
      <c r="H54" s="2397"/>
      <c r="I54" s="2398"/>
      <c r="J54" s="2397"/>
      <c r="K54" s="2397"/>
      <c r="L54" s="2398"/>
      <c r="M54" s="2397"/>
      <c r="N54" s="2397"/>
      <c r="O54" s="2398"/>
      <c r="P54" s="2397"/>
      <c r="Q54" s="2397"/>
      <c r="R54" s="2399"/>
    </row>
    <row r="55" spans="2:18" s="2370" customFormat="1">
      <c r="B55" s="2397"/>
      <c r="C55" s="2397"/>
      <c r="D55" s="2397"/>
      <c r="E55" s="2397"/>
      <c r="F55" s="2397"/>
      <c r="G55" s="2398"/>
      <c r="H55" s="2397"/>
      <c r="I55" s="2398"/>
      <c r="J55" s="2397"/>
      <c r="K55" s="2397"/>
      <c r="L55" s="2398"/>
      <c r="M55" s="2397"/>
      <c r="N55" s="2397"/>
      <c r="O55" s="2398"/>
      <c r="P55" s="2397"/>
      <c r="Q55" s="2397"/>
      <c r="R55" s="2399"/>
    </row>
    <row r="56" spans="2:18" s="2370" customFormat="1">
      <c r="B56" s="2397"/>
      <c r="C56" s="2397"/>
      <c r="D56" s="2397"/>
      <c r="E56" s="2397"/>
      <c r="F56" s="2397"/>
      <c r="G56" s="2398"/>
      <c r="H56" s="2397"/>
      <c r="I56" s="2398"/>
      <c r="J56" s="2397"/>
      <c r="K56" s="2397"/>
      <c r="L56" s="2398"/>
      <c r="M56" s="2397"/>
      <c r="N56" s="2397"/>
      <c r="O56" s="2398"/>
      <c r="P56" s="2397"/>
      <c r="Q56" s="2397"/>
      <c r="R56" s="2399"/>
    </row>
    <row r="57" spans="2:18" s="2370" customFormat="1">
      <c r="B57" s="2397"/>
      <c r="C57" s="2397"/>
      <c r="D57" s="2397"/>
      <c r="E57" s="2397"/>
      <c r="F57" s="2397"/>
      <c r="G57" s="2398"/>
      <c r="H57" s="2397"/>
      <c r="I57" s="2398"/>
      <c r="J57" s="2397"/>
      <c r="K57" s="2397"/>
      <c r="L57" s="2398"/>
      <c r="M57" s="2397"/>
      <c r="N57" s="2397"/>
      <c r="O57" s="2398"/>
      <c r="P57" s="2397"/>
      <c r="Q57" s="2397"/>
      <c r="R57" s="2399"/>
    </row>
    <row r="58" spans="2:18" s="2370" customFormat="1">
      <c r="B58" s="2397"/>
      <c r="C58" s="2397"/>
      <c r="D58" s="2397"/>
      <c r="E58" s="2397"/>
      <c r="F58" s="2397"/>
      <c r="G58" s="2398"/>
      <c r="H58" s="2397"/>
      <c r="I58" s="2398"/>
      <c r="J58" s="2397"/>
      <c r="K58" s="2397"/>
      <c r="L58" s="2398"/>
      <c r="M58" s="2397"/>
      <c r="N58" s="2397"/>
      <c r="O58" s="2398"/>
      <c r="P58" s="2397"/>
      <c r="Q58" s="2397"/>
      <c r="R58" s="2399"/>
    </row>
    <row r="59" spans="2:18" s="2370" customFormat="1">
      <c r="B59" s="2397"/>
      <c r="C59" s="2397"/>
      <c r="D59" s="2397"/>
      <c r="E59" s="2397"/>
      <c r="F59" s="2397"/>
      <c r="G59" s="2398"/>
      <c r="H59" s="2397"/>
      <c r="I59" s="2398"/>
      <c r="J59" s="2397"/>
      <c r="K59" s="2397"/>
      <c r="L59" s="2398"/>
      <c r="M59" s="2397"/>
      <c r="N59" s="2397"/>
      <c r="O59" s="2398"/>
      <c r="P59" s="2397"/>
      <c r="Q59" s="2397"/>
      <c r="R59" s="2399"/>
    </row>
    <row r="60" spans="2:18" s="2370" customFormat="1">
      <c r="B60" s="2397"/>
      <c r="C60" s="2397"/>
      <c r="D60" s="2397"/>
      <c r="E60" s="2397"/>
      <c r="F60" s="2397"/>
      <c r="G60" s="2398"/>
      <c r="H60" s="2397"/>
      <c r="I60" s="2398"/>
      <c r="J60" s="2397"/>
      <c r="K60" s="2397"/>
      <c r="L60" s="2398"/>
      <c r="M60" s="2397"/>
      <c r="N60" s="2397"/>
      <c r="O60" s="2398"/>
      <c r="P60" s="2397"/>
      <c r="Q60" s="2397"/>
      <c r="R60" s="2399"/>
    </row>
    <row r="61" spans="2:18" s="2370" customFormat="1">
      <c r="B61" s="2397"/>
      <c r="C61" s="2397"/>
      <c r="D61" s="2397"/>
      <c r="E61" s="2397"/>
      <c r="F61" s="2397"/>
      <c r="G61" s="2398"/>
      <c r="H61" s="2397"/>
      <c r="I61" s="2398"/>
      <c r="J61" s="2397"/>
      <c r="K61" s="2397"/>
      <c r="L61" s="2398"/>
      <c r="M61" s="2397"/>
      <c r="N61" s="2397"/>
      <c r="O61" s="2398"/>
      <c r="P61" s="2397"/>
      <c r="Q61" s="2397"/>
      <c r="R61" s="2399"/>
    </row>
    <row r="62" spans="2:18" s="2370" customFormat="1">
      <c r="B62" s="2397"/>
      <c r="C62" s="2397"/>
      <c r="D62" s="2397"/>
      <c r="E62" s="2397"/>
      <c r="F62" s="2397"/>
      <c r="G62" s="2398"/>
      <c r="H62" s="2397"/>
      <c r="I62" s="2398"/>
      <c r="J62" s="2397"/>
      <c r="K62" s="2397"/>
      <c r="L62" s="2398"/>
      <c r="M62" s="2397"/>
      <c r="N62" s="2397"/>
      <c r="O62" s="2398"/>
      <c r="P62" s="2397"/>
      <c r="Q62" s="2397"/>
      <c r="R62" s="2399"/>
    </row>
    <row r="63" spans="2:18" s="2370" customFormat="1">
      <c r="B63" s="2397"/>
      <c r="C63" s="2397"/>
      <c r="D63" s="2397"/>
      <c r="E63" s="2397"/>
      <c r="F63" s="2397"/>
      <c r="G63" s="2398"/>
      <c r="H63" s="2397"/>
      <c r="I63" s="2398"/>
      <c r="J63" s="2397"/>
      <c r="K63" s="2397"/>
      <c r="L63" s="2398"/>
      <c r="M63" s="2397"/>
      <c r="N63" s="2397"/>
      <c r="O63" s="2398"/>
      <c r="P63" s="2397"/>
      <c r="Q63" s="2397"/>
      <c r="R63" s="2399"/>
    </row>
    <row r="64" spans="2:18" s="2370" customFormat="1">
      <c r="B64" s="2397"/>
      <c r="C64" s="2397"/>
      <c r="D64" s="2397"/>
      <c r="E64" s="2397"/>
      <c r="F64" s="2397"/>
      <c r="G64" s="2398"/>
      <c r="H64" s="2397"/>
      <c r="I64" s="2398"/>
      <c r="J64" s="2397"/>
      <c r="K64" s="2397"/>
      <c r="L64" s="2398"/>
      <c r="M64" s="2397"/>
      <c r="N64" s="2397"/>
      <c r="O64" s="2398"/>
      <c r="P64" s="2397"/>
      <c r="Q64" s="2397"/>
      <c r="R64" s="2399"/>
    </row>
    <row r="65" spans="2:18" s="2370" customFormat="1">
      <c r="B65" s="2397"/>
      <c r="C65" s="2397"/>
      <c r="D65" s="2397"/>
      <c r="E65" s="2397"/>
      <c r="F65" s="2397"/>
      <c r="G65" s="2398"/>
      <c r="H65" s="2397"/>
      <c r="I65" s="2398"/>
      <c r="J65" s="2397"/>
      <c r="K65" s="2397"/>
      <c r="L65" s="2398"/>
      <c r="M65" s="2397"/>
      <c r="N65" s="2397"/>
      <c r="O65" s="2398"/>
      <c r="P65" s="2397"/>
      <c r="Q65" s="2397"/>
      <c r="R65" s="2399"/>
    </row>
    <row r="66" spans="2:18" s="2370" customFormat="1">
      <c r="B66" s="2397"/>
      <c r="C66" s="2397"/>
      <c r="D66" s="2397"/>
      <c r="E66" s="2397"/>
      <c r="F66" s="2397"/>
      <c r="G66" s="2398"/>
      <c r="H66" s="2397"/>
      <c r="I66" s="2398"/>
      <c r="J66" s="2397"/>
      <c r="K66" s="2397"/>
      <c r="L66" s="2398"/>
      <c r="M66" s="2397"/>
      <c r="N66" s="2397"/>
      <c r="O66" s="2398"/>
      <c r="P66" s="2397"/>
      <c r="Q66" s="2397"/>
      <c r="R66" s="2399"/>
    </row>
    <row r="67" spans="2:18" s="2370" customFormat="1">
      <c r="B67" s="2397"/>
      <c r="C67" s="2397"/>
      <c r="D67" s="2397"/>
      <c r="E67" s="2397"/>
      <c r="F67" s="2397"/>
      <c r="G67" s="2398"/>
      <c r="H67" s="2397"/>
      <c r="I67" s="2398"/>
      <c r="J67" s="2397"/>
      <c r="K67" s="2397"/>
      <c r="L67" s="2398"/>
      <c r="M67" s="2397"/>
      <c r="N67" s="2397"/>
      <c r="O67" s="2398"/>
      <c r="P67" s="2397"/>
      <c r="Q67" s="2397"/>
      <c r="R67" s="2399"/>
    </row>
    <row r="68" spans="2:18" s="2370" customFormat="1">
      <c r="B68" s="2397"/>
      <c r="C68" s="2397"/>
      <c r="D68" s="2397"/>
      <c r="E68" s="2397"/>
      <c r="F68" s="2397"/>
      <c r="G68" s="2398"/>
      <c r="H68" s="2397"/>
      <c r="I68" s="2398"/>
      <c r="J68" s="2397"/>
      <c r="K68" s="2397"/>
      <c r="L68" s="2398"/>
      <c r="M68" s="2397"/>
      <c r="N68" s="2397"/>
      <c r="O68" s="2398"/>
      <c r="P68" s="2397"/>
      <c r="Q68" s="2397"/>
      <c r="R68" s="2399"/>
    </row>
    <row r="69" spans="2:18" s="2370" customFormat="1">
      <c r="B69" s="2397"/>
      <c r="C69" s="2397"/>
      <c r="D69" s="2397"/>
      <c r="E69" s="2397"/>
      <c r="F69" s="2397"/>
      <c r="G69" s="2398"/>
      <c r="H69" s="2397"/>
      <c r="I69" s="2398"/>
      <c r="J69" s="2397"/>
      <c r="K69" s="2397"/>
      <c r="L69" s="2398"/>
      <c r="M69" s="2397"/>
      <c r="N69" s="2397"/>
      <c r="O69" s="2398"/>
      <c r="P69" s="2397"/>
      <c r="Q69" s="2397"/>
      <c r="R69" s="2399"/>
    </row>
    <row r="70" spans="2:18" s="2370" customFormat="1">
      <c r="B70" s="2397"/>
      <c r="C70" s="2397"/>
      <c r="D70" s="2397"/>
      <c r="E70" s="2397"/>
      <c r="F70" s="2397"/>
      <c r="G70" s="2398"/>
      <c r="H70" s="2397"/>
      <c r="I70" s="2398"/>
      <c r="J70" s="2397"/>
      <c r="K70" s="2397"/>
      <c r="L70" s="2398"/>
      <c r="M70" s="2397"/>
      <c r="N70" s="2397"/>
      <c r="O70" s="2398"/>
      <c r="P70" s="2397"/>
      <c r="Q70" s="2397"/>
      <c r="R70" s="2399"/>
    </row>
    <row r="71" spans="2:18" s="2370" customFormat="1">
      <c r="B71" s="2397"/>
      <c r="C71" s="2397"/>
      <c r="D71" s="2397"/>
      <c r="E71" s="2397"/>
      <c r="F71" s="2397"/>
      <c r="G71" s="2398"/>
      <c r="H71" s="2397"/>
      <c r="I71" s="2398"/>
      <c r="J71" s="2397"/>
      <c r="K71" s="2397"/>
      <c r="L71" s="2398"/>
      <c r="M71" s="2397"/>
      <c r="N71" s="2397"/>
      <c r="O71" s="2398"/>
      <c r="P71" s="2397"/>
      <c r="Q71" s="2397"/>
      <c r="R71" s="2399"/>
    </row>
    <row r="72" spans="2:18" s="2370" customFormat="1">
      <c r="B72" s="2397"/>
      <c r="C72" s="2397"/>
      <c r="D72" s="2397"/>
      <c r="E72" s="2397"/>
      <c r="F72" s="2397"/>
      <c r="G72" s="2398"/>
      <c r="H72" s="2397"/>
      <c r="I72" s="2398"/>
      <c r="J72" s="2397"/>
      <c r="K72" s="2397"/>
      <c r="L72" s="2398"/>
      <c r="M72" s="2397"/>
      <c r="N72" s="2397"/>
      <c r="O72" s="2398"/>
      <c r="P72" s="2397"/>
      <c r="Q72" s="2397"/>
      <c r="R72" s="2399"/>
    </row>
    <row r="73" spans="2:18" s="2370" customFormat="1">
      <c r="B73" s="2397"/>
      <c r="C73" s="2397"/>
      <c r="D73" s="2397"/>
      <c r="E73" s="2397"/>
      <c r="F73" s="2397"/>
      <c r="G73" s="2398"/>
      <c r="H73" s="2397"/>
      <c r="I73" s="2398"/>
      <c r="J73" s="2397"/>
      <c r="K73" s="2397"/>
      <c r="L73" s="2398"/>
      <c r="M73" s="2397"/>
      <c r="N73" s="2397"/>
      <c r="O73" s="2398"/>
      <c r="P73" s="2397"/>
      <c r="Q73" s="2397"/>
      <c r="R73" s="2399"/>
    </row>
    <row r="74" spans="2:18" s="2370" customFormat="1">
      <c r="B74" s="2397"/>
      <c r="C74" s="2397"/>
      <c r="D74" s="2397"/>
      <c r="E74" s="2397"/>
      <c r="F74" s="2397"/>
      <c r="G74" s="2398"/>
      <c r="H74" s="2397"/>
      <c r="I74" s="2398"/>
      <c r="J74" s="2397"/>
      <c r="K74" s="2397"/>
      <c r="L74" s="2398"/>
      <c r="M74" s="2397"/>
      <c r="N74" s="2397"/>
      <c r="O74" s="2398"/>
      <c r="P74" s="2397"/>
      <c r="Q74" s="2397"/>
      <c r="R74" s="2399"/>
    </row>
    <row r="75" spans="2:18" s="2370" customFormat="1">
      <c r="B75" s="2397"/>
      <c r="C75" s="2397"/>
      <c r="D75" s="2397"/>
      <c r="E75" s="2397"/>
      <c r="F75" s="2397"/>
      <c r="G75" s="2398"/>
      <c r="H75" s="2397"/>
      <c r="I75" s="2398"/>
      <c r="J75" s="2397"/>
      <c r="K75" s="2397"/>
      <c r="L75" s="2398"/>
      <c r="M75" s="2397"/>
      <c r="N75" s="2397"/>
      <c r="O75" s="2398"/>
      <c r="P75" s="2397"/>
      <c r="Q75" s="2397"/>
      <c r="R75" s="2399"/>
    </row>
    <row r="76" spans="2:18" s="2370" customFormat="1">
      <c r="B76" s="2397"/>
      <c r="C76" s="2397"/>
      <c r="D76" s="2397"/>
      <c r="E76" s="2397"/>
      <c r="F76" s="2397"/>
      <c r="G76" s="2398"/>
      <c r="H76" s="2397"/>
      <c r="I76" s="2398"/>
      <c r="J76" s="2397"/>
      <c r="K76" s="2397"/>
      <c r="L76" s="2398"/>
      <c r="M76" s="2397"/>
      <c r="N76" s="2397"/>
      <c r="O76" s="2398"/>
      <c r="P76" s="2397"/>
      <c r="Q76" s="2397"/>
      <c r="R76" s="2399"/>
    </row>
    <row r="77" spans="2:18" s="2370" customFormat="1">
      <c r="B77" s="2397"/>
      <c r="C77" s="2397"/>
      <c r="D77" s="2397"/>
      <c r="E77" s="2397"/>
      <c r="F77" s="2397"/>
      <c r="G77" s="2398"/>
      <c r="H77" s="2397"/>
      <c r="I77" s="2398"/>
      <c r="J77" s="2397"/>
      <c r="K77" s="2397"/>
      <c r="L77" s="2398"/>
      <c r="M77" s="2397"/>
      <c r="N77" s="2397"/>
      <c r="O77" s="2398"/>
      <c r="P77" s="2397"/>
      <c r="Q77" s="2397"/>
      <c r="R77" s="2399"/>
    </row>
    <row r="78" spans="2:18" s="2370" customFormat="1">
      <c r="B78" s="2397"/>
      <c r="C78" s="2397"/>
      <c r="D78" s="2397"/>
      <c r="E78" s="2397"/>
      <c r="F78" s="2397"/>
      <c r="G78" s="2398"/>
      <c r="H78" s="2397"/>
      <c r="I78" s="2398"/>
      <c r="J78" s="2397"/>
      <c r="K78" s="2397"/>
      <c r="L78" s="2398"/>
      <c r="M78" s="2397"/>
      <c r="N78" s="2397"/>
      <c r="O78" s="2398"/>
      <c r="P78" s="2397"/>
      <c r="Q78" s="2397"/>
      <c r="R78" s="2399"/>
    </row>
    <row r="79" spans="2:18" s="2370" customFormat="1">
      <c r="B79" s="2397"/>
      <c r="C79" s="2397"/>
      <c r="D79" s="2397"/>
      <c r="E79" s="2397"/>
      <c r="F79" s="2397"/>
      <c r="G79" s="2398"/>
      <c r="H79" s="2397"/>
      <c r="I79" s="2398"/>
      <c r="J79" s="2397"/>
      <c r="K79" s="2397"/>
      <c r="L79" s="2398"/>
      <c r="M79" s="2397"/>
      <c r="N79" s="2397"/>
      <c r="O79" s="2398"/>
      <c r="P79" s="2397"/>
      <c r="Q79" s="2397"/>
      <c r="R79" s="2399"/>
    </row>
    <row r="80" spans="2:18" s="2370" customFormat="1">
      <c r="B80" s="2397"/>
      <c r="C80" s="2397"/>
      <c r="D80" s="2397"/>
      <c r="E80" s="2397"/>
      <c r="F80" s="2397"/>
      <c r="G80" s="2398"/>
      <c r="H80" s="2397"/>
      <c r="I80" s="2398"/>
      <c r="J80" s="2397"/>
      <c r="K80" s="2397"/>
      <c r="L80" s="2398"/>
      <c r="M80" s="2397"/>
      <c r="N80" s="2397"/>
      <c r="O80" s="2398"/>
      <c r="P80" s="2397"/>
      <c r="Q80" s="2397"/>
      <c r="R80" s="2399"/>
    </row>
    <row r="81" spans="2:18" s="2370" customFormat="1">
      <c r="B81" s="2397"/>
      <c r="C81" s="2397"/>
      <c r="D81" s="2397"/>
      <c r="E81" s="2397"/>
      <c r="F81" s="2397"/>
      <c r="G81" s="2398"/>
      <c r="H81" s="2397"/>
      <c r="I81" s="2398"/>
      <c r="J81" s="2397"/>
      <c r="K81" s="2397"/>
      <c r="L81" s="2398"/>
      <c r="M81" s="2397"/>
      <c r="N81" s="2397"/>
      <c r="O81" s="2398"/>
      <c r="P81" s="2397"/>
      <c r="Q81" s="2397"/>
      <c r="R81" s="2399"/>
    </row>
    <row r="82" spans="2:18" s="2370" customFormat="1">
      <c r="B82" s="2397"/>
      <c r="C82" s="2397"/>
      <c r="D82" s="2397"/>
      <c r="E82" s="2397"/>
      <c r="F82" s="2397"/>
      <c r="G82" s="2398"/>
      <c r="H82" s="2397"/>
      <c r="I82" s="2398"/>
      <c r="J82" s="2397"/>
      <c r="K82" s="2397"/>
      <c r="L82" s="2398"/>
      <c r="M82" s="2397"/>
      <c r="N82" s="2397"/>
      <c r="O82" s="2398"/>
      <c r="P82" s="2397"/>
      <c r="Q82" s="2397"/>
      <c r="R82" s="2399"/>
    </row>
    <row r="83" spans="2:18" s="2370" customFormat="1">
      <c r="B83" s="2397"/>
      <c r="C83" s="2397"/>
      <c r="D83" s="2397"/>
      <c r="E83" s="2397"/>
      <c r="F83" s="2397"/>
      <c r="G83" s="2398"/>
      <c r="H83" s="2397"/>
      <c r="I83" s="2398"/>
      <c r="J83" s="2397"/>
      <c r="K83" s="2397"/>
      <c r="L83" s="2398"/>
      <c r="M83" s="2397"/>
      <c r="N83" s="2397"/>
      <c r="O83" s="2398"/>
      <c r="P83" s="2397"/>
      <c r="Q83" s="2397"/>
      <c r="R83" s="2399"/>
    </row>
    <row r="84" spans="2:18" s="2370" customFormat="1">
      <c r="B84" s="2397"/>
      <c r="C84" s="2397"/>
      <c r="D84" s="2397"/>
      <c r="E84" s="2397"/>
      <c r="F84" s="2397"/>
      <c r="G84" s="2398"/>
      <c r="H84" s="2397"/>
      <c r="I84" s="2398"/>
      <c r="J84" s="2397"/>
      <c r="K84" s="2397"/>
      <c r="L84" s="2398"/>
      <c r="M84" s="2397"/>
      <c r="N84" s="2397"/>
      <c r="O84" s="2398"/>
      <c r="P84" s="2397"/>
      <c r="Q84" s="2397"/>
      <c r="R84" s="2399"/>
    </row>
    <row r="85" spans="2:18" s="2370" customFormat="1">
      <c r="B85" s="2397"/>
      <c r="C85" s="2397"/>
      <c r="D85" s="2397"/>
      <c r="E85" s="2397"/>
      <c r="F85" s="2397"/>
      <c r="G85" s="2398"/>
      <c r="H85" s="2397"/>
      <c r="I85" s="2398"/>
      <c r="J85" s="2397"/>
      <c r="K85" s="2397"/>
      <c r="L85" s="2398"/>
      <c r="M85" s="2397"/>
      <c r="N85" s="2397"/>
      <c r="O85" s="2398"/>
      <c r="P85" s="2397"/>
      <c r="Q85" s="2397"/>
      <c r="R85" s="2399"/>
    </row>
    <row r="86" spans="2:18" s="2370" customFormat="1">
      <c r="B86" s="2397"/>
      <c r="C86" s="2397"/>
      <c r="D86" s="2397"/>
      <c r="E86" s="2397"/>
      <c r="F86" s="2397"/>
      <c r="G86" s="2398"/>
      <c r="H86" s="2397"/>
      <c r="I86" s="2398"/>
      <c r="J86" s="2397"/>
      <c r="K86" s="2397"/>
      <c r="L86" s="2398"/>
      <c r="M86" s="2397"/>
      <c r="N86" s="2397"/>
      <c r="O86" s="2398"/>
      <c r="P86" s="2397"/>
      <c r="Q86" s="2397"/>
      <c r="R86" s="2399"/>
    </row>
    <row r="87" spans="2:18" s="2370" customFormat="1">
      <c r="B87" s="2397"/>
      <c r="C87" s="2397"/>
      <c r="D87" s="2397"/>
      <c r="E87" s="2397"/>
      <c r="F87" s="2397"/>
      <c r="G87" s="2398"/>
      <c r="H87" s="2397"/>
      <c r="I87" s="2398"/>
      <c r="J87" s="2397"/>
      <c r="K87" s="2397"/>
      <c r="L87" s="2398"/>
      <c r="M87" s="2397"/>
      <c r="N87" s="2397"/>
      <c r="O87" s="2398"/>
      <c r="P87" s="2397"/>
      <c r="Q87" s="2397"/>
      <c r="R87" s="2399"/>
    </row>
    <row r="88" spans="2:18" s="2370" customFormat="1">
      <c r="B88" s="2397"/>
      <c r="C88" s="2397"/>
      <c r="D88" s="2397"/>
      <c r="E88" s="2397"/>
      <c r="F88" s="2397"/>
      <c r="G88" s="2398"/>
      <c r="H88" s="2397"/>
      <c r="I88" s="2398"/>
      <c r="J88" s="2397"/>
      <c r="K88" s="2397"/>
      <c r="L88" s="2398"/>
      <c r="M88" s="2397"/>
      <c r="N88" s="2397"/>
      <c r="O88" s="2398"/>
      <c r="P88" s="2397"/>
      <c r="Q88" s="2397"/>
      <c r="R88" s="2399"/>
    </row>
    <row r="89" spans="2:18" s="2370" customFormat="1">
      <c r="B89" s="2397"/>
      <c r="C89" s="2397"/>
      <c r="D89" s="2397"/>
      <c r="E89" s="2397"/>
      <c r="F89" s="2397"/>
      <c r="G89" s="2398"/>
      <c r="H89" s="2397"/>
      <c r="I89" s="2398"/>
      <c r="J89" s="2397"/>
      <c r="K89" s="2397"/>
      <c r="L89" s="2398"/>
      <c r="M89" s="2397"/>
      <c r="N89" s="2397"/>
      <c r="O89" s="2398"/>
      <c r="P89" s="2397"/>
      <c r="Q89" s="2397"/>
      <c r="R89" s="2399"/>
    </row>
    <row r="90" spans="2:18" s="2370" customFormat="1">
      <c r="B90" s="2397"/>
      <c r="C90" s="2397"/>
      <c r="D90" s="2397"/>
      <c r="E90" s="2397"/>
      <c r="F90" s="2397"/>
      <c r="G90" s="2398"/>
      <c r="H90" s="2397"/>
      <c r="I90" s="2398"/>
      <c r="J90" s="2397"/>
      <c r="K90" s="2397"/>
      <c r="L90" s="2398"/>
      <c r="M90" s="2397"/>
      <c r="N90" s="2397"/>
      <c r="O90" s="2398"/>
      <c r="P90" s="2397"/>
      <c r="Q90" s="2397"/>
      <c r="R90" s="2399"/>
    </row>
    <row r="91" spans="2:18" s="2370" customFormat="1">
      <c r="B91" s="2397"/>
      <c r="C91" s="2397"/>
      <c r="D91" s="2397"/>
      <c r="E91" s="2397"/>
      <c r="F91" s="2397"/>
      <c r="G91" s="2398"/>
      <c r="H91" s="2397"/>
      <c r="I91" s="2398"/>
      <c r="J91" s="2397"/>
      <c r="K91" s="2397"/>
      <c r="L91" s="2398"/>
      <c r="M91" s="2397"/>
      <c r="N91" s="2397"/>
      <c r="O91" s="2398"/>
      <c r="P91" s="2397"/>
      <c r="Q91" s="2397"/>
      <c r="R91" s="2399"/>
    </row>
    <row r="92" spans="2:18" s="2370" customFormat="1">
      <c r="B92" s="2397"/>
      <c r="C92" s="2397"/>
      <c r="D92" s="2397"/>
      <c r="E92" s="2397"/>
      <c r="F92" s="2397"/>
      <c r="G92" s="2398"/>
      <c r="H92" s="2397"/>
      <c r="I92" s="2398"/>
      <c r="J92" s="2397"/>
      <c r="K92" s="2397"/>
      <c r="L92" s="2398"/>
      <c r="M92" s="2397"/>
      <c r="N92" s="2397"/>
      <c r="O92" s="2398"/>
      <c r="P92" s="2397"/>
      <c r="Q92" s="2397"/>
      <c r="R92" s="2399"/>
    </row>
    <row r="93" spans="2:18" s="2370" customFormat="1">
      <c r="B93" s="2397"/>
      <c r="C93" s="2397"/>
      <c r="D93" s="2397"/>
      <c r="E93" s="2397"/>
      <c r="F93" s="2397"/>
      <c r="G93" s="2398"/>
      <c r="H93" s="2397"/>
      <c r="I93" s="2398"/>
      <c r="J93" s="2397"/>
      <c r="K93" s="2397"/>
      <c r="L93" s="2398"/>
      <c r="M93" s="2397"/>
      <c r="N93" s="2397"/>
      <c r="O93" s="2398"/>
      <c r="P93" s="2397"/>
      <c r="Q93" s="2397"/>
      <c r="R93" s="2399"/>
    </row>
    <row r="94" spans="2:18" s="2370" customFormat="1">
      <c r="B94" s="2397"/>
      <c r="C94" s="2397"/>
      <c r="D94" s="2397"/>
      <c r="E94" s="2397"/>
      <c r="F94" s="2397"/>
      <c r="G94" s="2398"/>
      <c r="H94" s="2397"/>
      <c r="I94" s="2398"/>
      <c r="J94" s="2397"/>
      <c r="K94" s="2397"/>
      <c r="L94" s="2398"/>
      <c r="M94" s="2397"/>
      <c r="N94" s="2397"/>
      <c r="O94" s="2398"/>
      <c r="P94" s="2397"/>
      <c r="Q94" s="2397"/>
      <c r="R94" s="2399"/>
    </row>
    <row r="95" spans="2:18" s="2370" customFormat="1">
      <c r="B95" s="2397"/>
      <c r="C95" s="2397"/>
      <c r="D95" s="2397"/>
      <c r="E95" s="2397"/>
      <c r="F95" s="2397"/>
      <c r="G95" s="2398"/>
      <c r="H95" s="2397"/>
      <c r="I95" s="2398"/>
      <c r="J95" s="2397"/>
      <c r="K95" s="2397"/>
      <c r="L95" s="2398"/>
      <c r="M95" s="2397"/>
      <c r="N95" s="2397"/>
      <c r="O95" s="2398"/>
      <c r="P95" s="2397"/>
      <c r="Q95" s="2397"/>
      <c r="R95" s="2399"/>
    </row>
    <row r="96" spans="2:18" s="2370" customFormat="1">
      <c r="B96" s="2397"/>
      <c r="C96" s="2397"/>
      <c r="D96" s="2397"/>
      <c r="E96" s="2397"/>
      <c r="F96" s="2397"/>
      <c r="G96" s="2398"/>
      <c r="H96" s="2397"/>
      <c r="I96" s="2398"/>
      <c r="J96" s="2397"/>
      <c r="K96" s="2397"/>
      <c r="L96" s="2398"/>
      <c r="M96" s="2397"/>
      <c r="N96" s="2397"/>
      <c r="O96" s="2398"/>
      <c r="P96" s="2397"/>
      <c r="Q96" s="2397"/>
      <c r="R96" s="2399"/>
    </row>
    <row r="97" spans="2:18" s="2370" customFormat="1">
      <c r="B97" s="2397"/>
      <c r="C97" s="2397"/>
      <c r="D97" s="2397"/>
      <c r="E97" s="2397"/>
      <c r="F97" s="2397"/>
      <c r="G97" s="2398"/>
      <c r="H97" s="2397"/>
      <c r="I97" s="2398"/>
      <c r="J97" s="2397"/>
      <c r="K97" s="2397"/>
      <c r="L97" s="2398"/>
      <c r="M97" s="2397"/>
      <c r="N97" s="2397"/>
      <c r="O97" s="2398"/>
      <c r="P97" s="2397"/>
      <c r="Q97" s="2397"/>
      <c r="R97" s="2399"/>
    </row>
    <row r="98" spans="2:18" s="2370" customFormat="1">
      <c r="B98" s="2397"/>
      <c r="C98" s="2397"/>
      <c r="D98" s="2397"/>
      <c r="E98" s="2397"/>
      <c r="F98" s="2397"/>
      <c r="G98" s="2398"/>
      <c r="H98" s="2397"/>
      <c r="I98" s="2398"/>
      <c r="J98" s="2397"/>
      <c r="K98" s="2397"/>
      <c r="L98" s="2398"/>
      <c r="M98" s="2397"/>
      <c r="N98" s="2397"/>
      <c r="O98" s="2398"/>
      <c r="P98" s="2397"/>
      <c r="Q98" s="2397"/>
      <c r="R98" s="2399"/>
    </row>
    <row r="99" spans="2:18" s="2370" customFormat="1">
      <c r="B99" s="2397"/>
      <c r="C99" s="2397"/>
      <c r="D99" s="2397"/>
      <c r="E99" s="2397"/>
      <c r="F99" s="2397"/>
      <c r="G99" s="2398"/>
      <c r="H99" s="2397"/>
      <c r="I99" s="2398"/>
      <c r="J99" s="2397"/>
      <c r="K99" s="2397"/>
      <c r="L99" s="2398"/>
      <c r="M99" s="2397"/>
      <c r="N99" s="2397"/>
      <c r="O99" s="2398"/>
      <c r="P99" s="2397"/>
      <c r="Q99" s="2397"/>
      <c r="R99" s="2399"/>
    </row>
    <row r="100" spans="2:18" s="2370" customFormat="1">
      <c r="B100" s="2397"/>
      <c r="C100" s="2397"/>
      <c r="D100" s="2397"/>
      <c r="E100" s="2397"/>
      <c r="F100" s="2397"/>
      <c r="G100" s="2398"/>
      <c r="H100" s="2397"/>
      <c r="I100" s="2398"/>
      <c r="J100" s="2397"/>
      <c r="K100" s="2397"/>
      <c r="L100" s="2398"/>
      <c r="M100" s="2397"/>
      <c r="N100" s="2397"/>
      <c r="O100" s="2398"/>
      <c r="P100" s="2397"/>
      <c r="Q100" s="2397"/>
      <c r="R100" s="2399"/>
    </row>
    <row r="101" spans="2:18" s="2370" customFormat="1">
      <c r="B101" s="2397"/>
      <c r="C101" s="2397"/>
      <c r="D101" s="2397"/>
      <c r="E101" s="2397"/>
      <c r="F101" s="2397"/>
      <c r="G101" s="2398"/>
      <c r="H101" s="2397"/>
      <c r="I101" s="2398"/>
      <c r="J101" s="2397"/>
      <c r="K101" s="2397"/>
      <c r="L101" s="2398"/>
      <c r="M101" s="2397"/>
      <c r="N101" s="2397"/>
      <c r="O101" s="2398"/>
      <c r="P101" s="2397"/>
      <c r="Q101" s="2397"/>
      <c r="R101" s="2399"/>
    </row>
    <row r="102" spans="2:18" s="2370" customFormat="1">
      <c r="B102" s="2397"/>
      <c r="C102" s="2397"/>
      <c r="D102" s="2397"/>
      <c r="E102" s="2397"/>
      <c r="F102" s="2397"/>
      <c r="G102" s="2398"/>
      <c r="H102" s="2397"/>
      <c r="I102" s="2398"/>
      <c r="J102" s="2397"/>
      <c r="K102" s="2397"/>
      <c r="L102" s="2398"/>
      <c r="M102" s="2397"/>
      <c r="N102" s="2397"/>
      <c r="O102" s="2398"/>
      <c r="P102" s="2397"/>
      <c r="Q102" s="2397"/>
      <c r="R102" s="2399"/>
    </row>
    <row r="103" spans="2:18" s="2370" customFormat="1">
      <c r="B103" s="2397"/>
      <c r="C103" s="2397"/>
      <c r="D103" s="2397"/>
      <c r="E103" s="2397"/>
      <c r="F103" s="2397"/>
      <c r="G103" s="2398"/>
      <c r="H103" s="2397"/>
      <c r="I103" s="2398"/>
      <c r="J103" s="2397"/>
      <c r="K103" s="2397"/>
      <c r="L103" s="2398"/>
      <c r="M103" s="2397"/>
      <c r="N103" s="2397"/>
      <c r="O103" s="2398"/>
      <c r="P103" s="2397"/>
      <c r="Q103" s="2397"/>
      <c r="R103" s="2399"/>
    </row>
    <row r="104" spans="2:18" s="2370" customFormat="1">
      <c r="B104" s="2397"/>
      <c r="C104" s="2397"/>
      <c r="D104" s="2397"/>
      <c r="E104" s="2397"/>
      <c r="F104" s="2397"/>
      <c r="G104" s="2398"/>
      <c r="H104" s="2397"/>
      <c r="I104" s="2398"/>
      <c r="J104" s="2397"/>
      <c r="K104" s="2397"/>
      <c r="L104" s="2398"/>
      <c r="M104" s="2397"/>
      <c r="N104" s="2397"/>
      <c r="O104" s="2398"/>
      <c r="P104" s="2397"/>
      <c r="Q104" s="2397"/>
      <c r="R104" s="2399"/>
    </row>
    <row r="105" spans="2:18" s="2370" customFormat="1">
      <c r="B105" s="2397"/>
      <c r="C105" s="2397"/>
      <c r="D105" s="2397"/>
      <c r="E105" s="2397"/>
      <c r="F105" s="2397"/>
      <c r="G105" s="2398"/>
      <c r="H105" s="2397"/>
      <c r="I105" s="2398"/>
      <c r="J105" s="2397"/>
      <c r="K105" s="2397"/>
      <c r="L105" s="2398"/>
      <c r="M105" s="2397"/>
      <c r="N105" s="2397"/>
      <c r="O105" s="2398"/>
      <c r="P105" s="2397"/>
      <c r="Q105" s="2397"/>
      <c r="R105" s="2399"/>
    </row>
    <row r="106" spans="2:18" s="2370" customFormat="1">
      <c r="B106" s="2397"/>
      <c r="C106" s="2397"/>
      <c r="D106" s="2397"/>
      <c r="E106" s="2397"/>
      <c r="F106" s="2397"/>
      <c r="G106" s="2398"/>
      <c r="H106" s="2397"/>
      <c r="I106" s="2398"/>
      <c r="J106" s="2397"/>
      <c r="K106" s="2397"/>
      <c r="L106" s="2398"/>
      <c r="M106" s="2397"/>
      <c r="N106" s="2397"/>
      <c r="O106" s="2398"/>
      <c r="P106" s="2397"/>
      <c r="Q106" s="2397"/>
      <c r="R106" s="2399"/>
    </row>
    <row r="107" spans="2:18" s="2370" customFormat="1">
      <c r="B107" s="2397"/>
      <c r="C107" s="2397"/>
      <c r="D107" s="2397"/>
      <c r="E107" s="2397"/>
      <c r="F107" s="2397"/>
      <c r="G107" s="2398"/>
      <c r="H107" s="2397"/>
      <c r="I107" s="2398"/>
      <c r="J107" s="2397"/>
      <c r="K107" s="2397"/>
      <c r="L107" s="2398"/>
      <c r="M107" s="2397"/>
      <c r="N107" s="2397"/>
      <c r="O107" s="2398"/>
      <c r="P107" s="2397"/>
      <c r="Q107" s="2397"/>
      <c r="R107" s="2399"/>
    </row>
    <row r="108" spans="2:18" s="2370" customFormat="1">
      <c r="B108" s="2397"/>
      <c r="C108" s="2397"/>
      <c r="D108" s="2397"/>
      <c r="E108" s="2397"/>
      <c r="F108" s="2397"/>
      <c r="G108" s="2398"/>
      <c r="H108" s="2397"/>
      <c r="I108" s="2398"/>
      <c r="J108" s="2397"/>
      <c r="K108" s="2397"/>
      <c r="L108" s="2398"/>
      <c r="M108" s="2397"/>
      <c r="N108" s="2397"/>
      <c r="O108" s="2398"/>
      <c r="P108" s="2397"/>
      <c r="Q108" s="2397"/>
      <c r="R108" s="2399"/>
    </row>
    <row r="109" spans="2:18" s="2370" customFormat="1">
      <c r="B109" s="2397"/>
      <c r="C109" s="2397"/>
      <c r="D109" s="2397"/>
      <c r="E109" s="2397"/>
      <c r="F109" s="2397"/>
      <c r="G109" s="2398"/>
      <c r="H109" s="2397"/>
      <c r="I109" s="2398"/>
      <c r="J109" s="2397"/>
      <c r="K109" s="2397"/>
      <c r="L109" s="2398"/>
      <c r="M109" s="2397"/>
      <c r="N109" s="2397"/>
      <c r="O109" s="2398"/>
      <c r="P109" s="2397"/>
      <c r="Q109" s="2397"/>
      <c r="R109" s="2399"/>
    </row>
    <row r="110" spans="2:18" s="2370" customFormat="1">
      <c r="B110" s="2397"/>
      <c r="C110" s="2397"/>
      <c r="D110" s="2397"/>
      <c r="E110" s="2397"/>
      <c r="F110" s="2397"/>
      <c r="G110" s="2398"/>
      <c r="H110" s="2397"/>
      <c r="I110" s="2398"/>
      <c r="J110" s="2397"/>
      <c r="K110" s="2397"/>
      <c r="L110" s="2398"/>
      <c r="M110" s="2397"/>
      <c r="N110" s="2397"/>
      <c r="O110" s="2398"/>
      <c r="P110" s="2397"/>
      <c r="Q110" s="2397"/>
      <c r="R110" s="2399"/>
    </row>
    <row r="111" spans="2:18" s="2370" customFormat="1">
      <c r="B111" s="2397"/>
      <c r="C111" s="2397"/>
      <c r="D111" s="2397"/>
      <c r="E111" s="2397"/>
      <c r="F111" s="2397"/>
      <c r="G111" s="2398"/>
      <c r="H111" s="2397"/>
      <c r="I111" s="2398"/>
      <c r="J111" s="2397"/>
      <c r="K111" s="2397"/>
      <c r="L111" s="2398"/>
      <c r="M111" s="2397"/>
      <c r="N111" s="2397"/>
      <c r="O111" s="2398"/>
      <c r="P111" s="2397"/>
      <c r="Q111" s="2397"/>
      <c r="R111" s="2399"/>
    </row>
    <row r="112" spans="2:18" s="2370" customFormat="1">
      <c r="B112" s="2397"/>
      <c r="C112" s="2397"/>
      <c r="D112" s="2397"/>
      <c r="E112" s="2397"/>
      <c r="F112" s="2397"/>
      <c r="G112" s="2398"/>
      <c r="H112" s="2397"/>
      <c r="I112" s="2398"/>
      <c r="J112" s="2397"/>
      <c r="K112" s="2397"/>
      <c r="L112" s="2398"/>
      <c r="M112" s="2397"/>
      <c r="N112" s="2397"/>
      <c r="O112" s="2398"/>
      <c r="P112" s="2397"/>
      <c r="Q112" s="2397"/>
      <c r="R112" s="2399"/>
    </row>
    <row r="113" spans="2:18" s="2370" customFormat="1">
      <c r="B113" s="2397"/>
      <c r="C113" s="2397"/>
      <c r="D113" s="2397"/>
      <c r="E113" s="2397"/>
      <c r="F113" s="2397"/>
      <c r="G113" s="2398"/>
      <c r="H113" s="2397"/>
      <c r="I113" s="2398"/>
      <c r="J113" s="2397"/>
      <c r="K113" s="2397"/>
      <c r="L113" s="2398"/>
      <c r="M113" s="2397"/>
      <c r="N113" s="2397"/>
      <c r="O113" s="2398"/>
      <c r="P113" s="2397"/>
      <c r="Q113" s="2397"/>
      <c r="R113" s="2399"/>
    </row>
    <row r="114" spans="2:18" s="2370" customFormat="1">
      <c r="B114" s="2397"/>
      <c r="C114" s="2397"/>
      <c r="D114" s="2397"/>
      <c r="E114" s="2397"/>
      <c r="F114" s="2397"/>
      <c r="G114" s="2398"/>
      <c r="H114" s="2397"/>
      <c r="I114" s="2398"/>
      <c r="J114" s="2397"/>
      <c r="K114" s="2397"/>
      <c r="L114" s="2398"/>
      <c r="M114" s="2397"/>
      <c r="N114" s="2397"/>
      <c r="O114" s="2398"/>
      <c r="P114" s="2397"/>
      <c r="Q114" s="2397"/>
      <c r="R114" s="2399"/>
    </row>
    <row r="115" spans="2:18" s="2370" customFormat="1">
      <c r="B115" s="2397"/>
      <c r="C115" s="2397"/>
      <c r="D115" s="2397"/>
      <c r="E115" s="2397"/>
      <c r="F115" s="2397"/>
      <c r="G115" s="2398"/>
      <c r="H115" s="2397"/>
      <c r="I115" s="2398"/>
      <c r="J115" s="2397"/>
      <c r="K115" s="2397"/>
      <c r="L115" s="2398"/>
      <c r="M115" s="2397"/>
      <c r="N115" s="2397"/>
      <c r="O115" s="2398"/>
      <c r="P115" s="2397"/>
      <c r="Q115" s="2397"/>
      <c r="R115" s="2399"/>
    </row>
    <row r="116" spans="2:18" s="2370" customFormat="1">
      <c r="B116" s="2397"/>
      <c r="C116" s="2397"/>
      <c r="D116" s="2397"/>
      <c r="E116" s="2397"/>
      <c r="F116" s="2397"/>
      <c r="G116" s="2398"/>
      <c r="H116" s="2397"/>
      <c r="I116" s="2398"/>
      <c r="J116" s="2397"/>
      <c r="K116" s="2397"/>
      <c r="L116" s="2398"/>
      <c r="M116" s="2397"/>
      <c r="N116" s="2397"/>
      <c r="O116" s="2398"/>
      <c r="P116" s="2397"/>
      <c r="Q116" s="2397"/>
      <c r="R116" s="2399"/>
    </row>
    <row r="117" spans="2:18" s="2370" customFormat="1">
      <c r="B117" s="2397"/>
      <c r="C117" s="2397"/>
      <c r="D117" s="2397"/>
      <c r="E117" s="2397"/>
      <c r="F117" s="2397"/>
      <c r="G117" s="2398"/>
      <c r="H117" s="2397"/>
      <c r="I117" s="2398"/>
      <c r="J117" s="2397"/>
      <c r="K117" s="2397"/>
      <c r="L117" s="2398"/>
      <c r="M117" s="2397"/>
      <c r="N117" s="2397"/>
      <c r="O117" s="2398"/>
      <c r="P117" s="2397"/>
      <c r="Q117" s="2397"/>
      <c r="R117" s="2399"/>
    </row>
    <row r="118" spans="2:18" s="2370" customFormat="1">
      <c r="B118" s="2397"/>
      <c r="C118" s="2397"/>
      <c r="D118" s="2397"/>
      <c r="E118" s="2397"/>
      <c r="F118" s="2397"/>
      <c r="G118" s="2398"/>
      <c r="H118" s="2397"/>
      <c r="I118" s="2398"/>
      <c r="J118" s="2397"/>
      <c r="K118" s="2397"/>
      <c r="L118" s="2398"/>
      <c r="M118" s="2397"/>
      <c r="N118" s="2397"/>
      <c r="O118" s="2398"/>
      <c r="P118" s="2397"/>
      <c r="Q118" s="2397"/>
      <c r="R118" s="2399"/>
    </row>
    <row r="119" spans="2:18" s="2370" customFormat="1">
      <c r="B119" s="2397"/>
      <c r="C119" s="2397"/>
      <c r="D119" s="2397"/>
      <c r="E119" s="2397"/>
      <c r="F119" s="2397"/>
      <c r="G119" s="2398"/>
      <c r="H119" s="2397"/>
      <c r="I119" s="2398"/>
      <c r="J119" s="2397"/>
      <c r="K119" s="2397"/>
      <c r="L119" s="2398"/>
      <c r="M119" s="2397"/>
      <c r="N119" s="2397"/>
      <c r="O119" s="2398"/>
      <c r="P119" s="2397"/>
      <c r="Q119" s="2397"/>
      <c r="R119" s="2399"/>
    </row>
    <row r="120" spans="2:18" s="2370" customFormat="1">
      <c r="B120" s="2397"/>
      <c r="C120" s="2397"/>
      <c r="D120" s="2397"/>
      <c r="E120" s="2397"/>
      <c r="F120" s="2397"/>
      <c r="G120" s="2398"/>
      <c r="H120" s="2397"/>
      <c r="I120" s="2398"/>
      <c r="J120" s="2397"/>
      <c r="K120" s="2397"/>
      <c r="L120" s="2398"/>
      <c r="M120" s="2397"/>
      <c r="N120" s="2397"/>
      <c r="O120" s="2398"/>
      <c r="P120" s="2397"/>
      <c r="Q120" s="2397"/>
      <c r="R120" s="2399"/>
    </row>
    <row r="121" spans="2:18" s="2370" customFormat="1">
      <c r="B121" s="2397"/>
      <c r="C121" s="2397"/>
      <c r="D121" s="2397"/>
      <c r="E121" s="2397"/>
      <c r="F121" s="2397"/>
      <c r="G121" s="2398"/>
      <c r="H121" s="2397"/>
      <c r="I121" s="2398"/>
      <c r="J121" s="2397"/>
      <c r="K121" s="2397"/>
      <c r="L121" s="2398"/>
      <c r="M121" s="2397"/>
      <c r="N121" s="2397"/>
      <c r="O121" s="2398"/>
      <c r="P121" s="2397"/>
      <c r="Q121" s="2397"/>
      <c r="R121" s="2399"/>
    </row>
    <row r="122" spans="2:18" s="2370" customFormat="1">
      <c r="B122" s="2397"/>
      <c r="C122" s="2397"/>
      <c r="D122" s="2397"/>
      <c r="E122" s="2397"/>
      <c r="F122" s="2397"/>
      <c r="G122" s="2398"/>
      <c r="H122" s="2397"/>
      <c r="I122" s="2398"/>
      <c r="J122" s="2397"/>
      <c r="K122" s="2397"/>
      <c r="L122" s="2398"/>
      <c r="M122" s="2397"/>
      <c r="N122" s="2397"/>
      <c r="O122" s="2398"/>
      <c r="P122" s="2397"/>
      <c r="Q122" s="2397"/>
      <c r="R122" s="2399"/>
    </row>
    <row r="123" spans="2:18" s="2370" customFormat="1">
      <c r="B123" s="2397"/>
      <c r="C123" s="2397"/>
      <c r="D123" s="2397"/>
      <c r="E123" s="2397"/>
      <c r="F123" s="2397"/>
      <c r="G123" s="2398"/>
      <c r="H123" s="2397"/>
      <c r="I123" s="2398"/>
      <c r="J123" s="2397"/>
      <c r="K123" s="2397"/>
      <c r="L123" s="2398"/>
      <c r="M123" s="2397"/>
      <c r="N123" s="2397"/>
      <c r="O123" s="2398"/>
      <c r="P123" s="2397"/>
      <c r="Q123" s="2397"/>
      <c r="R123" s="2399"/>
    </row>
    <row r="124" spans="2:18" s="2370" customFormat="1">
      <c r="B124" s="2397"/>
      <c r="C124" s="2397"/>
      <c r="D124" s="2397"/>
      <c r="E124" s="2397"/>
      <c r="F124" s="2397"/>
      <c r="G124" s="2398"/>
      <c r="H124" s="2397"/>
      <c r="I124" s="2398"/>
      <c r="J124" s="2397"/>
      <c r="K124" s="2397"/>
      <c r="L124" s="2398"/>
      <c r="M124" s="2397"/>
      <c r="N124" s="2397"/>
      <c r="O124" s="2398"/>
      <c r="P124" s="2397"/>
      <c r="Q124" s="2397"/>
      <c r="R124" s="2399"/>
    </row>
    <row r="125" spans="2:18" s="2370" customFormat="1">
      <c r="B125" s="2397"/>
      <c r="C125" s="2397"/>
      <c r="D125" s="2397"/>
      <c r="E125" s="2397"/>
      <c r="F125" s="2397"/>
      <c r="G125" s="2398"/>
      <c r="H125" s="2397"/>
      <c r="I125" s="2398"/>
      <c r="J125" s="2397"/>
      <c r="K125" s="2397"/>
      <c r="L125" s="2398"/>
      <c r="M125" s="2397"/>
      <c r="N125" s="2397"/>
      <c r="O125" s="2398"/>
      <c r="P125" s="2397"/>
      <c r="Q125" s="2397"/>
      <c r="R125" s="2399"/>
    </row>
    <row r="126" spans="2:18" s="2370" customFormat="1">
      <c r="B126" s="2397"/>
      <c r="C126" s="2397"/>
      <c r="D126" s="2397"/>
      <c r="E126" s="2397"/>
      <c r="F126" s="2397"/>
      <c r="G126" s="2398"/>
      <c r="H126" s="2397"/>
      <c r="I126" s="2398"/>
      <c r="J126" s="2397"/>
      <c r="K126" s="2397"/>
      <c r="L126" s="2398"/>
      <c r="M126" s="2397"/>
      <c r="N126" s="2397"/>
      <c r="O126" s="2398"/>
      <c r="P126" s="2397"/>
      <c r="Q126" s="2397"/>
      <c r="R126" s="2399"/>
    </row>
    <row r="127" spans="2:18" s="2370" customFormat="1">
      <c r="B127" s="2397"/>
      <c r="C127" s="2397"/>
      <c r="D127" s="2397"/>
      <c r="E127" s="2397"/>
      <c r="F127" s="2397"/>
      <c r="G127" s="2398"/>
      <c r="H127" s="2397"/>
      <c r="I127" s="2398"/>
      <c r="J127" s="2397"/>
      <c r="K127" s="2397"/>
      <c r="L127" s="2398"/>
      <c r="M127" s="2397"/>
      <c r="N127" s="2397"/>
      <c r="O127" s="2398"/>
      <c r="P127" s="2397"/>
      <c r="Q127" s="2397"/>
      <c r="R127" s="2399"/>
    </row>
    <row r="128" spans="2:18" s="2370" customFormat="1">
      <c r="B128" s="2397"/>
      <c r="C128" s="2397"/>
      <c r="D128" s="2397"/>
      <c r="E128" s="2397"/>
      <c r="F128" s="2397"/>
      <c r="G128" s="2398"/>
      <c r="H128" s="2397"/>
      <c r="I128" s="2398"/>
      <c r="J128" s="2397"/>
      <c r="K128" s="2397"/>
      <c r="L128" s="2398"/>
      <c r="M128" s="2397"/>
      <c r="N128" s="2397"/>
      <c r="O128" s="2398"/>
      <c r="P128" s="2397"/>
      <c r="Q128" s="2397"/>
      <c r="R128" s="2399"/>
    </row>
    <row r="129" spans="2:18" s="2370" customFormat="1">
      <c r="B129" s="2397"/>
      <c r="C129" s="2397"/>
      <c r="D129" s="2397"/>
      <c r="E129" s="2397"/>
      <c r="F129" s="2397"/>
      <c r="G129" s="2398"/>
      <c r="H129" s="2397"/>
      <c r="I129" s="2398"/>
      <c r="J129" s="2397"/>
      <c r="K129" s="2397"/>
      <c r="L129" s="2398"/>
      <c r="M129" s="2397"/>
      <c r="N129" s="2397"/>
      <c r="O129" s="2398"/>
      <c r="P129" s="2397"/>
      <c r="Q129" s="2397"/>
      <c r="R129" s="2399"/>
    </row>
    <row r="130" spans="2:18" s="2370" customFormat="1">
      <c r="B130" s="2397"/>
      <c r="C130" s="2397"/>
      <c r="D130" s="2397"/>
      <c r="E130" s="2397"/>
      <c r="F130" s="2397"/>
      <c r="G130" s="2398"/>
      <c r="H130" s="2397"/>
      <c r="I130" s="2398"/>
      <c r="J130" s="2397"/>
      <c r="K130" s="2397"/>
      <c r="L130" s="2398"/>
      <c r="M130" s="2397"/>
      <c r="N130" s="2397"/>
      <c r="O130" s="2398"/>
      <c r="P130" s="2397"/>
      <c r="Q130" s="2397"/>
      <c r="R130" s="2399"/>
    </row>
    <row r="131" spans="2:18" s="2370" customFormat="1">
      <c r="B131" s="2397"/>
      <c r="C131" s="2397"/>
      <c r="D131" s="2397"/>
      <c r="E131" s="2397"/>
      <c r="F131" s="2397"/>
      <c r="G131" s="2398"/>
      <c r="H131" s="2397"/>
      <c r="I131" s="2398"/>
      <c r="J131" s="2397"/>
      <c r="K131" s="2397"/>
      <c r="L131" s="2398"/>
      <c r="M131" s="2397"/>
      <c r="N131" s="2397"/>
      <c r="O131" s="2398"/>
      <c r="P131" s="2397"/>
      <c r="Q131" s="2397"/>
      <c r="R131" s="2399"/>
    </row>
    <row r="132" spans="2:18" s="2370" customFormat="1">
      <c r="B132" s="2397"/>
      <c r="C132" s="2397"/>
      <c r="D132" s="2397"/>
      <c r="E132" s="2397"/>
      <c r="F132" s="2397"/>
      <c r="G132" s="2398"/>
      <c r="H132" s="2397"/>
      <c r="I132" s="2398"/>
      <c r="J132" s="2397"/>
      <c r="K132" s="2397"/>
      <c r="L132" s="2398"/>
      <c r="M132" s="2397"/>
      <c r="N132" s="2397"/>
      <c r="O132" s="2398"/>
      <c r="P132" s="2397"/>
      <c r="Q132" s="2397"/>
      <c r="R132" s="2399"/>
    </row>
    <row r="133" spans="2:18" s="2370" customFormat="1">
      <c r="B133" s="2397"/>
      <c r="C133" s="2397"/>
      <c r="D133" s="2397"/>
      <c r="E133" s="2397"/>
      <c r="F133" s="2397"/>
      <c r="G133" s="2398"/>
      <c r="H133" s="2397"/>
      <c r="I133" s="2398"/>
      <c r="J133" s="2397"/>
      <c r="K133" s="2397"/>
      <c r="L133" s="2398"/>
      <c r="M133" s="2397"/>
      <c r="N133" s="2397"/>
      <c r="O133" s="2398"/>
      <c r="P133" s="2397"/>
      <c r="Q133" s="2397"/>
      <c r="R133" s="2399"/>
    </row>
    <row r="134" spans="2:18" s="2370" customFormat="1">
      <c r="B134" s="2397"/>
      <c r="C134" s="2397"/>
      <c r="D134" s="2397"/>
      <c r="E134" s="2397"/>
      <c r="F134" s="2397"/>
      <c r="G134" s="2398"/>
      <c r="H134" s="2397"/>
      <c r="I134" s="2398"/>
      <c r="J134" s="2397"/>
      <c r="K134" s="2397"/>
      <c r="L134" s="2398"/>
      <c r="M134" s="2397"/>
      <c r="N134" s="2397"/>
      <c r="O134" s="2398"/>
      <c r="P134" s="2397"/>
      <c r="Q134" s="2397"/>
      <c r="R134" s="2399"/>
    </row>
    <row r="135" spans="2:18" s="2370" customFormat="1">
      <c r="B135" s="2397"/>
      <c r="C135" s="2397"/>
      <c r="D135" s="2397"/>
      <c r="E135" s="2397"/>
      <c r="F135" s="2397"/>
      <c r="G135" s="2398"/>
      <c r="H135" s="2397"/>
      <c r="I135" s="2398"/>
      <c r="J135" s="2397"/>
      <c r="K135" s="2397"/>
      <c r="L135" s="2398"/>
      <c r="M135" s="2397"/>
      <c r="N135" s="2397"/>
      <c r="O135" s="2398"/>
      <c r="P135" s="2397"/>
      <c r="Q135" s="2397"/>
      <c r="R135" s="2399"/>
    </row>
    <row r="136" spans="2:18" s="2370" customFormat="1">
      <c r="B136" s="2397"/>
      <c r="C136" s="2397"/>
      <c r="D136" s="2397"/>
      <c r="E136" s="2397"/>
      <c r="F136" s="2397"/>
      <c r="G136" s="2398"/>
      <c r="H136" s="2397"/>
      <c r="I136" s="2398"/>
      <c r="J136" s="2397"/>
      <c r="K136" s="2397"/>
      <c r="L136" s="2398"/>
      <c r="M136" s="2397"/>
      <c r="N136" s="2397"/>
      <c r="O136" s="2398"/>
      <c r="P136" s="2397"/>
      <c r="Q136" s="2397"/>
      <c r="R136" s="2399"/>
    </row>
    <row r="137" spans="2:18" s="2370" customFormat="1">
      <c r="B137" s="2397"/>
      <c r="C137" s="2397"/>
      <c r="D137" s="2397"/>
      <c r="E137" s="2397"/>
      <c r="F137" s="2397"/>
      <c r="G137" s="2398"/>
      <c r="H137" s="2397"/>
      <c r="I137" s="2398"/>
      <c r="J137" s="2397"/>
      <c r="K137" s="2397"/>
      <c r="L137" s="2398"/>
      <c r="M137" s="2397"/>
      <c r="N137" s="2397"/>
      <c r="O137" s="2398"/>
      <c r="P137" s="2397"/>
      <c r="Q137" s="2397"/>
      <c r="R137" s="2399"/>
    </row>
    <row r="138" spans="2:18" s="2370" customFormat="1">
      <c r="B138" s="2397"/>
      <c r="C138" s="2397"/>
      <c r="D138" s="2397"/>
      <c r="E138" s="2397"/>
      <c r="F138" s="2397"/>
      <c r="G138" s="2398"/>
      <c r="H138" s="2397"/>
      <c r="I138" s="2398"/>
      <c r="J138" s="2397"/>
      <c r="K138" s="2397"/>
      <c r="L138" s="2398"/>
      <c r="M138" s="2397"/>
      <c r="N138" s="2397"/>
      <c r="O138" s="2398"/>
      <c r="P138" s="2397"/>
      <c r="Q138" s="2397"/>
      <c r="R138" s="2399"/>
    </row>
    <row r="139" spans="2:18" s="2370" customFormat="1">
      <c r="B139" s="2397"/>
      <c r="C139" s="2397"/>
      <c r="D139" s="2397"/>
      <c r="E139" s="2397"/>
      <c r="F139" s="2397"/>
      <c r="G139" s="2398"/>
      <c r="H139" s="2397"/>
      <c r="I139" s="2398"/>
      <c r="J139" s="2397"/>
      <c r="K139" s="2397"/>
      <c r="L139" s="2398"/>
      <c r="M139" s="2397"/>
      <c r="N139" s="2397"/>
      <c r="O139" s="2398"/>
      <c r="P139" s="2397"/>
      <c r="Q139" s="2397"/>
      <c r="R139" s="2399"/>
    </row>
    <row r="140" spans="2:18" s="2370" customFormat="1">
      <c r="B140" s="2397"/>
      <c r="C140" s="2397"/>
      <c r="D140" s="2397"/>
      <c r="E140" s="2397"/>
      <c r="F140" s="2397"/>
      <c r="G140" s="2398"/>
      <c r="H140" s="2397"/>
      <c r="I140" s="2398"/>
      <c r="J140" s="2397"/>
      <c r="K140" s="2397"/>
      <c r="L140" s="2398"/>
      <c r="M140" s="2397"/>
      <c r="N140" s="2397"/>
      <c r="O140" s="2398"/>
      <c r="P140" s="2397"/>
      <c r="Q140" s="2397"/>
      <c r="R140" s="2399"/>
    </row>
    <row r="141" spans="2:18" s="2370" customFormat="1">
      <c r="B141" s="2397"/>
      <c r="C141" s="2397"/>
      <c r="D141" s="2397"/>
      <c r="E141" s="2397"/>
      <c r="F141" s="2397"/>
      <c r="G141" s="2398"/>
      <c r="H141" s="2397"/>
      <c r="I141" s="2398"/>
      <c r="J141" s="2397"/>
      <c r="K141" s="2397"/>
      <c r="L141" s="2398"/>
      <c r="M141" s="2397"/>
      <c r="N141" s="2397"/>
      <c r="O141" s="2398"/>
      <c r="P141" s="2397"/>
      <c r="Q141" s="2397"/>
      <c r="R141" s="2399"/>
    </row>
    <row r="142" spans="2:18" s="2370" customFormat="1">
      <c r="B142" s="2397"/>
      <c r="C142" s="2397"/>
      <c r="D142" s="2397"/>
      <c r="E142" s="2397"/>
      <c r="F142" s="2397"/>
      <c r="G142" s="2398"/>
      <c r="H142" s="2397"/>
      <c r="I142" s="2398"/>
      <c r="J142" s="2397"/>
      <c r="K142" s="2397"/>
      <c r="L142" s="2398"/>
      <c r="M142" s="2397"/>
      <c r="N142" s="2397"/>
      <c r="O142" s="2398"/>
      <c r="P142" s="2397"/>
      <c r="Q142" s="2397"/>
      <c r="R142" s="2399"/>
    </row>
    <row r="143" spans="2:18" s="2370" customFormat="1">
      <c r="B143" s="2397"/>
      <c r="C143" s="2397"/>
      <c r="D143" s="2397"/>
      <c r="E143" s="2397"/>
      <c r="F143" s="2397"/>
      <c r="G143" s="2398"/>
      <c r="H143" s="2397"/>
      <c r="I143" s="2398"/>
      <c r="J143" s="2397"/>
      <c r="K143" s="2397"/>
      <c r="L143" s="2398"/>
      <c r="M143" s="2397"/>
      <c r="N143" s="2397"/>
      <c r="O143" s="2398"/>
      <c r="P143" s="2397"/>
      <c r="Q143" s="2397"/>
      <c r="R143" s="2399"/>
    </row>
    <row r="144" spans="2:18" s="2370" customFormat="1">
      <c r="B144" s="2397"/>
      <c r="C144" s="2397"/>
      <c r="D144" s="2397"/>
      <c r="E144" s="2397"/>
      <c r="F144" s="2397"/>
      <c r="G144" s="2398"/>
      <c r="H144" s="2397"/>
      <c r="I144" s="2398"/>
      <c r="J144" s="2397"/>
      <c r="K144" s="2397"/>
      <c r="L144" s="2398"/>
      <c r="M144" s="2397"/>
      <c r="N144" s="2397"/>
      <c r="O144" s="2398"/>
      <c r="P144" s="2397"/>
      <c r="Q144" s="2397"/>
      <c r="R144" s="2399"/>
    </row>
    <row r="145" spans="2:18" s="2370" customFormat="1">
      <c r="B145" s="2397"/>
      <c r="C145" s="2397"/>
      <c r="D145" s="2397"/>
      <c r="E145" s="2397"/>
      <c r="F145" s="2397"/>
      <c r="G145" s="2398"/>
      <c r="H145" s="2397"/>
      <c r="I145" s="2398"/>
      <c r="J145" s="2397"/>
      <c r="K145" s="2397"/>
      <c r="L145" s="2398"/>
      <c r="M145" s="2397"/>
      <c r="N145" s="2397"/>
      <c r="O145" s="2398"/>
      <c r="P145" s="2397"/>
      <c r="Q145" s="2397"/>
      <c r="R145" s="2399"/>
    </row>
    <row r="146" spans="2:18" s="2370" customFormat="1">
      <c r="B146" s="2397"/>
      <c r="C146" s="2397"/>
      <c r="D146" s="2397"/>
      <c r="E146" s="2397"/>
      <c r="F146" s="2397"/>
      <c r="G146" s="2398"/>
      <c r="H146" s="2397"/>
      <c r="I146" s="2398"/>
      <c r="J146" s="2397"/>
      <c r="K146" s="2397"/>
      <c r="L146" s="2398"/>
      <c r="M146" s="2397"/>
      <c r="N146" s="2397"/>
      <c r="O146" s="2398"/>
      <c r="P146" s="2397"/>
      <c r="Q146" s="2397"/>
      <c r="R146" s="2399"/>
    </row>
    <row r="147" spans="2:18" s="2370" customFormat="1">
      <c r="B147" s="2397"/>
      <c r="C147" s="2397"/>
      <c r="D147" s="2397"/>
      <c r="E147" s="2397"/>
      <c r="F147" s="2397"/>
      <c r="G147" s="2398"/>
      <c r="H147" s="2397"/>
      <c r="I147" s="2398"/>
      <c r="J147" s="2397"/>
      <c r="K147" s="2397"/>
      <c r="L147" s="2398"/>
      <c r="M147" s="2397"/>
      <c r="N147" s="2397"/>
      <c r="O147" s="2398"/>
      <c r="P147" s="2397"/>
      <c r="Q147" s="2397"/>
      <c r="R147" s="2399"/>
    </row>
    <row r="148" spans="2:18" s="2370" customFormat="1">
      <c r="B148" s="2397"/>
      <c r="C148" s="2397"/>
      <c r="D148" s="2397"/>
      <c r="E148" s="2397"/>
      <c r="F148" s="2397"/>
      <c r="G148" s="2398"/>
      <c r="H148" s="2397"/>
      <c r="I148" s="2398"/>
      <c r="J148" s="2397"/>
      <c r="K148" s="2397"/>
      <c r="L148" s="2398"/>
      <c r="M148" s="2397"/>
      <c r="N148" s="2397"/>
      <c r="O148" s="2398"/>
      <c r="P148" s="2397"/>
      <c r="Q148" s="2397"/>
      <c r="R148" s="2399"/>
    </row>
    <row r="149" spans="2:18" s="2370" customFormat="1">
      <c r="B149" s="2397"/>
      <c r="C149" s="2397"/>
      <c r="D149" s="2397"/>
      <c r="E149" s="2397"/>
      <c r="F149" s="2397"/>
      <c r="G149" s="2398"/>
      <c r="H149" s="2397"/>
      <c r="I149" s="2398"/>
      <c r="J149" s="2397"/>
      <c r="K149" s="2397"/>
      <c r="L149" s="2398"/>
      <c r="M149" s="2397"/>
      <c r="N149" s="2397"/>
      <c r="O149" s="2398"/>
      <c r="P149" s="2397"/>
      <c r="Q149" s="2397"/>
      <c r="R149" s="2399"/>
    </row>
    <row r="150" spans="2:18" s="2370" customFormat="1">
      <c r="B150" s="2397"/>
      <c r="C150" s="2397"/>
      <c r="D150" s="2397"/>
      <c r="E150" s="2397"/>
      <c r="F150" s="2397"/>
      <c r="G150" s="2398"/>
      <c r="H150" s="2397"/>
      <c r="I150" s="2398"/>
      <c r="J150" s="2397"/>
      <c r="K150" s="2397"/>
      <c r="L150" s="2398"/>
      <c r="M150" s="2397"/>
      <c r="N150" s="2397"/>
      <c r="O150" s="2398"/>
      <c r="P150" s="2397"/>
      <c r="Q150" s="2397"/>
      <c r="R150" s="2399"/>
    </row>
    <row r="151" spans="2:18" s="2370" customFormat="1">
      <c r="B151" s="2397"/>
      <c r="C151" s="2397"/>
      <c r="D151" s="2397"/>
      <c r="E151" s="2397"/>
      <c r="F151" s="2397"/>
      <c r="G151" s="2398"/>
      <c r="H151" s="2397"/>
      <c r="I151" s="2398"/>
      <c r="J151" s="2397"/>
      <c r="K151" s="2397"/>
      <c r="L151" s="2398"/>
      <c r="M151" s="2397"/>
      <c r="N151" s="2397"/>
      <c r="O151" s="2398"/>
      <c r="P151" s="2397"/>
      <c r="Q151" s="2397"/>
      <c r="R151" s="2399"/>
    </row>
    <row r="152" spans="2:18" s="2370" customFormat="1">
      <c r="B152" s="2397"/>
      <c r="C152" s="2397"/>
      <c r="D152" s="2397"/>
      <c r="E152" s="2397"/>
      <c r="F152" s="2397"/>
      <c r="G152" s="2398"/>
      <c r="H152" s="2397"/>
      <c r="I152" s="2398"/>
      <c r="J152" s="2397"/>
      <c r="K152" s="2397"/>
      <c r="L152" s="2398"/>
      <c r="M152" s="2397"/>
      <c r="N152" s="2397"/>
      <c r="O152" s="2398"/>
      <c r="P152" s="2397"/>
      <c r="Q152" s="2397"/>
      <c r="R152" s="2399"/>
    </row>
    <row r="153" spans="2:18" s="2370" customFormat="1">
      <c r="B153" s="2397"/>
      <c r="C153" s="2397"/>
      <c r="D153" s="2397"/>
      <c r="E153" s="2397"/>
      <c r="F153" s="2397"/>
      <c r="G153" s="2398"/>
      <c r="H153" s="2397"/>
      <c r="I153" s="2398"/>
      <c r="J153" s="2397"/>
      <c r="K153" s="2397"/>
      <c r="L153" s="2398"/>
      <c r="M153" s="2397"/>
      <c r="N153" s="2397"/>
      <c r="O153" s="2398"/>
      <c r="P153" s="2397"/>
      <c r="Q153" s="2397"/>
      <c r="R153" s="2399"/>
    </row>
    <row r="154" spans="2:18" s="2370" customFormat="1">
      <c r="B154" s="2397"/>
      <c r="C154" s="2397"/>
      <c r="D154" s="2397"/>
      <c r="E154" s="2397"/>
      <c r="F154" s="2397"/>
      <c r="G154" s="2398"/>
      <c r="H154" s="2397"/>
      <c r="I154" s="2398"/>
      <c r="J154" s="2397"/>
      <c r="K154" s="2397"/>
      <c r="L154" s="2398"/>
      <c r="M154" s="2397"/>
      <c r="N154" s="2397"/>
      <c r="O154" s="2398"/>
      <c r="P154" s="2397"/>
      <c r="Q154" s="2397"/>
      <c r="R154" s="2399"/>
    </row>
    <row r="155" spans="2:18" s="2370" customFormat="1">
      <c r="B155" s="2397"/>
      <c r="C155" s="2397"/>
      <c r="D155" s="2397"/>
      <c r="E155" s="2397"/>
      <c r="F155" s="2397"/>
      <c r="G155" s="2398"/>
      <c r="H155" s="2397"/>
      <c r="I155" s="2398"/>
      <c r="J155" s="2397"/>
      <c r="K155" s="2397"/>
      <c r="L155" s="2398"/>
      <c r="M155" s="2397"/>
      <c r="N155" s="2397"/>
      <c r="O155" s="2398"/>
      <c r="P155" s="2397"/>
      <c r="Q155" s="2397"/>
      <c r="R155" s="2399"/>
    </row>
    <row r="156" spans="2:18" s="2370" customFormat="1">
      <c r="B156" s="2397"/>
      <c r="C156" s="2397"/>
      <c r="D156" s="2397"/>
      <c r="E156" s="2397"/>
      <c r="F156" s="2397"/>
      <c r="G156" s="2398"/>
      <c r="H156" s="2397"/>
      <c r="I156" s="2398"/>
      <c r="J156" s="2397"/>
      <c r="K156" s="2397"/>
      <c r="L156" s="2398"/>
      <c r="M156" s="2397"/>
      <c r="N156" s="2397"/>
      <c r="O156" s="2398"/>
      <c r="P156" s="2397"/>
      <c r="Q156" s="2397"/>
      <c r="R156" s="2399"/>
    </row>
    <row r="157" spans="2:18" s="2370" customFormat="1">
      <c r="B157" s="2397"/>
      <c r="C157" s="2397"/>
      <c r="D157" s="2397"/>
      <c r="E157" s="2397"/>
      <c r="F157" s="2397"/>
      <c r="G157" s="2398"/>
      <c r="H157" s="2397"/>
      <c r="I157" s="2398"/>
      <c r="J157" s="2397"/>
      <c r="K157" s="2397"/>
      <c r="L157" s="2398"/>
      <c r="M157" s="2397"/>
      <c r="N157" s="2397"/>
      <c r="O157" s="2398"/>
      <c r="P157" s="2397"/>
      <c r="Q157" s="2397"/>
      <c r="R157" s="2399"/>
    </row>
    <row r="158" spans="2:18" s="2370" customFormat="1">
      <c r="B158" s="2397"/>
      <c r="C158" s="2397"/>
      <c r="D158" s="2397"/>
      <c r="E158" s="2397"/>
      <c r="F158" s="2397"/>
      <c r="G158" s="2398"/>
      <c r="H158" s="2397"/>
      <c r="I158" s="2398"/>
      <c r="J158" s="2397"/>
      <c r="K158" s="2397"/>
      <c r="L158" s="2398"/>
      <c r="M158" s="2397"/>
      <c r="N158" s="2397"/>
      <c r="O158" s="2398"/>
      <c r="P158" s="2397"/>
      <c r="Q158" s="2397"/>
      <c r="R158" s="2399"/>
    </row>
    <row r="159" spans="2:18" s="2370" customFormat="1">
      <c r="B159" s="2397"/>
      <c r="C159" s="2397"/>
      <c r="D159" s="2397"/>
      <c r="E159" s="2397"/>
      <c r="F159" s="2397"/>
      <c r="G159" s="2398"/>
      <c r="H159" s="2397"/>
      <c r="I159" s="2398"/>
      <c r="J159" s="2397"/>
      <c r="K159" s="2397"/>
      <c r="L159" s="2398"/>
      <c r="M159" s="2397"/>
      <c r="N159" s="2397"/>
      <c r="O159" s="2398"/>
      <c r="P159" s="2397"/>
      <c r="Q159" s="2397"/>
      <c r="R159" s="2399"/>
    </row>
    <row r="160" spans="2:18" s="2370" customFormat="1">
      <c r="B160" s="2397"/>
      <c r="C160" s="2397"/>
      <c r="D160" s="2397"/>
      <c r="E160" s="2397"/>
      <c r="F160" s="2397"/>
      <c r="G160" s="2398"/>
      <c r="H160" s="2397"/>
      <c r="I160" s="2398"/>
      <c r="J160" s="2397"/>
      <c r="K160" s="2397"/>
      <c r="L160" s="2398"/>
      <c r="M160" s="2397"/>
      <c r="N160" s="2397"/>
      <c r="O160" s="2398"/>
      <c r="P160" s="2397"/>
      <c r="Q160" s="2397"/>
      <c r="R160" s="2399"/>
    </row>
    <row r="161" spans="2:18" s="2370" customFormat="1">
      <c r="B161" s="2397"/>
      <c r="C161" s="2397"/>
      <c r="D161" s="2397"/>
      <c r="E161" s="2397"/>
      <c r="F161" s="2397"/>
      <c r="G161" s="2398"/>
      <c r="H161" s="2397"/>
      <c r="I161" s="2398"/>
      <c r="J161" s="2397"/>
      <c r="K161" s="2397"/>
      <c r="L161" s="2398"/>
      <c r="M161" s="2397"/>
      <c r="N161" s="2397"/>
      <c r="O161" s="2398"/>
      <c r="P161" s="2397"/>
      <c r="Q161" s="2397"/>
      <c r="R161" s="2399"/>
    </row>
    <row r="162" spans="2:18" s="2370" customFormat="1">
      <c r="B162" s="2397"/>
      <c r="C162" s="2397"/>
      <c r="D162" s="2397"/>
      <c r="E162" s="2397"/>
      <c r="F162" s="2397"/>
      <c r="G162" s="2398"/>
      <c r="H162" s="2397"/>
      <c r="I162" s="2398"/>
      <c r="J162" s="2397"/>
      <c r="K162" s="2397"/>
      <c r="L162" s="2398"/>
      <c r="M162" s="2397"/>
      <c r="N162" s="2397"/>
      <c r="O162" s="2398"/>
      <c r="P162" s="2397"/>
      <c r="Q162" s="2397"/>
      <c r="R162" s="2399"/>
    </row>
    <row r="163" spans="2:18" s="2370" customFormat="1">
      <c r="B163" s="2397"/>
      <c r="C163" s="2397"/>
      <c r="D163" s="2397"/>
      <c r="E163" s="2397"/>
      <c r="F163" s="2397"/>
      <c r="G163" s="2398"/>
      <c r="H163" s="2397"/>
      <c r="I163" s="2398"/>
      <c r="J163" s="2397"/>
      <c r="K163" s="2397"/>
      <c r="L163" s="2398"/>
      <c r="M163" s="2397"/>
      <c r="N163" s="2397"/>
      <c r="O163" s="2398"/>
      <c r="P163" s="2397"/>
      <c r="Q163" s="2397"/>
      <c r="R163" s="2399"/>
    </row>
    <row r="164" spans="2:18" s="2370" customFormat="1">
      <c r="B164" s="2397"/>
      <c r="C164" s="2397"/>
      <c r="D164" s="2397"/>
      <c r="E164" s="2397"/>
      <c r="F164" s="2397"/>
      <c r="G164" s="2398"/>
      <c r="H164" s="2397"/>
      <c r="I164" s="2398"/>
      <c r="J164" s="2397"/>
      <c r="K164" s="2397"/>
      <c r="L164" s="2398"/>
      <c r="M164" s="2397"/>
      <c r="N164" s="2397"/>
      <c r="O164" s="2398"/>
      <c r="P164" s="2397"/>
      <c r="Q164" s="2397"/>
      <c r="R164" s="2399"/>
    </row>
    <row r="165" spans="2:18" s="2370" customFormat="1">
      <c r="B165" s="2397"/>
      <c r="C165" s="2397"/>
      <c r="D165" s="2397"/>
      <c r="E165" s="2397"/>
      <c r="F165" s="2397"/>
      <c r="G165" s="2398"/>
      <c r="H165" s="2397"/>
      <c r="I165" s="2398"/>
      <c r="J165" s="2397"/>
      <c r="K165" s="2397"/>
      <c r="L165" s="2398"/>
      <c r="M165" s="2397"/>
      <c r="N165" s="2397"/>
      <c r="O165" s="2398"/>
      <c r="P165" s="2397"/>
      <c r="Q165" s="2397"/>
      <c r="R165" s="2399"/>
    </row>
    <row r="166" spans="2:18" s="2370" customFormat="1">
      <c r="B166" s="2397"/>
      <c r="C166" s="2397"/>
      <c r="D166" s="2397"/>
      <c r="E166" s="2397"/>
      <c r="F166" s="2397"/>
      <c r="G166" s="2398"/>
      <c r="H166" s="2397"/>
      <c r="I166" s="2398"/>
      <c r="J166" s="2397"/>
      <c r="K166" s="2397"/>
      <c r="L166" s="2398"/>
      <c r="M166" s="2397"/>
      <c r="N166" s="2397"/>
      <c r="O166" s="2398"/>
      <c r="P166" s="2397"/>
      <c r="Q166" s="2397"/>
      <c r="R166" s="2399"/>
    </row>
    <row r="167" spans="2:18" s="2370" customFormat="1">
      <c r="B167" s="2397"/>
      <c r="C167" s="2397"/>
      <c r="D167" s="2397"/>
      <c r="E167" s="2397"/>
      <c r="F167" s="2397"/>
      <c r="G167" s="2398"/>
      <c r="H167" s="2397"/>
      <c r="I167" s="2398"/>
      <c r="J167" s="2397"/>
      <c r="K167" s="2397"/>
      <c r="L167" s="2398"/>
      <c r="M167" s="2397"/>
      <c r="N167" s="2397"/>
      <c r="O167" s="2398"/>
      <c r="P167" s="2397"/>
      <c r="Q167" s="2397"/>
      <c r="R167" s="2399"/>
    </row>
    <row r="168" spans="2:18" s="2370" customFormat="1">
      <c r="B168" s="2397"/>
      <c r="C168" s="2397"/>
      <c r="D168" s="2397"/>
      <c r="E168" s="2397"/>
      <c r="F168" s="2397"/>
      <c r="G168" s="2398"/>
      <c r="H168" s="2397"/>
      <c r="I168" s="2398"/>
      <c r="J168" s="2397"/>
      <c r="K168" s="2397"/>
      <c r="L168" s="2398"/>
      <c r="M168" s="2397"/>
      <c r="N168" s="2397"/>
      <c r="O168" s="2398"/>
      <c r="P168" s="2397"/>
      <c r="Q168" s="2397"/>
      <c r="R168" s="2399"/>
    </row>
    <row r="169" spans="2:18" s="2370" customFormat="1">
      <c r="B169" s="2397"/>
      <c r="C169" s="2397"/>
      <c r="D169" s="2397"/>
      <c r="E169" s="2397"/>
      <c r="F169" s="2397"/>
      <c r="G169" s="2398"/>
      <c r="H169" s="2397"/>
      <c r="I169" s="2398"/>
      <c r="J169" s="2397"/>
      <c r="K169" s="2397"/>
      <c r="L169" s="2398"/>
      <c r="M169" s="2397"/>
      <c r="N169" s="2397"/>
      <c r="O169" s="2398"/>
      <c r="P169" s="2397"/>
      <c r="Q169" s="2397"/>
      <c r="R169" s="2399"/>
    </row>
    <row r="170" spans="2:18" s="2370" customFormat="1">
      <c r="B170" s="2397"/>
      <c r="C170" s="2397"/>
      <c r="D170" s="2397"/>
      <c r="E170" s="2397"/>
      <c r="F170" s="2397"/>
      <c r="G170" s="2398"/>
      <c r="H170" s="2397"/>
      <c r="I170" s="2398"/>
      <c r="J170" s="2397"/>
      <c r="K170" s="2397"/>
      <c r="L170" s="2398"/>
      <c r="M170" s="2397"/>
      <c r="N170" s="2397"/>
      <c r="O170" s="2398"/>
      <c r="P170" s="2397"/>
      <c r="Q170" s="2397"/>
      <c r="R170" s="2399"/>
    </row>
    <row r="171" spans="2:18" s="2370" customFormat="1">
      <c r="B171" s="2397"/>
      <c r="C171" s="2397"/>
      <c r="D171" s="2397"/>
      <c r="E171" s="2397"/>
      <c r="F171" s="2397"/>
      <c r="G171" s="2398"/>
      <c r="H171" s="2397"/>
      <c r="I171" s="2398"/>
      <c r="J171" s="2397"/>
      <c r="K171" s="2397"/>
      <c r="L171" s="2398"/>
      <c r="M171" s="2397"/>
      <c r="N171" s="2397"/>
      <c r="O171" s="2398"/>
      <c r="P171" s="2397"/>
      <c r="Q171" s="2397"/>
      <c r="R171" s="2399"/>
    </row>
    <row r="172" spans="2:18" s="2370" customFormat="1">
      <c r="B172" s="2397"/>
      <c r="C172" s="2397"/>
      <c r="D172" s="2397"/>
      <c r="E172" s="2397"/>
      <c r="F172" s="2397"/>
      <c r="G172" s="2398"/>
      <c r="H172" s="2397"/>
      <c r="I172" s="2398"/>
      <c r="J172" s="2397"/>
      <c r="K172" s="2397"/>
      <c r="L172" s="2398"/>
      <c r="M172" s="2397"/>
      <c r="N172" s="2397"/>
      <c r="O172" s="2398"/>
      <c r="P172" s="2397"/>
      <c r="Q172" s="2397"/>
      <c r="R172" s="2399"/>
    </row>
    <row r="173" spans="2:18" s="2370" customFormat="1">
      <c r="B173" s="2397"/>
      <c r="C173" s="2397"/>
      <c r="D173" s="2397"/>
      <c r="E173" s="2397"/>
      <c r="F173" s="2397"/>
      <c r="G173" s="2398"/>
      <c r="H173" s="2397"/>
      <c r="I173" s="2398"/>
      <c r="J173" s="2397"/>
      <c r="K173" s="2397"/>
      <c r="L173" s="2398"/>
      <c r="M173" s="2397"/>
      <c r="N173" s="2397"/>
      <c r="O173" s="2398"/>
      <c r="P173" s="2397"/>
      <c r="Q173" s="2397"/>
      <c r="R173" s="2399"/>
    </row>
    <row r="174" spans="2:18" s="2370" customFormat="1">
      <c r="B174" s="2397"/>
      <c r="C174" s="2397"/>
      <c r="D174" s="2397"/>
      <c r="E174" s="2397"/>
      <c r="F174" s="2397"/>
      <c r="G174" s="2398"/>
      <c r="H174" s="2397"/>
      <c r="I174" s="2398"/>
      <c r="J174" s="2397"/>
      <c r="K174" s="2397"/>
      <c r="L174" s="2398"/>
      <c r="M174" s="2397"/>
      <c r="N174" s="2397"/>
      <c r="O174" s="2398"/>
      <c r="P174" s="2397"/>
      <c r="Q174" s="2397"/>
      <c r="R174" s="2399"/>
    </row>
    <row r="175" spans="2:18" s="2370" customFormat="1">
      <c r="B175" s="2397"/>
      <c r="C175" s="2397"/>
      <c r="D175" s="2397"/>
      <c r="E175" s="2397"/>
      <c r="F175" s="2397"/>
      <c r="G175" s="2398"/>
      <c r="H175" s="2397"/>
      <c r="I175" s="2398"/>
      <c r="J175" s="2397"/>
      <c r="K175" s="2397"/>
      <c r="L175" s="2398"/>
      <c r="M175" s="2397"/>
      <c r="N175" s="2397"/>
      <c r="O175" s="2398"/>
      <c r="P175" s="2397"/>
      <c r="Q175" s="2397"/>
      <c r="R175" s="2399"/>
    </row>
    <row r="176" spans="2:18" s="2370" customFormat="1">
      <c r="B176" s="2397"/>
      <c r="C176" s="2397"/>
      <c r="D176" s="2397"/>
      <c r="E176" s="2397"/>
      <c r="F176" s="2397"/>
      <c r="G176" s="2398"/>
      <c r="H176" s="2397"/>
      <c r="I176" s="2398"/>
      <c r="J176" s="2397"/>
      <c r="K176" s="2397"/>
      <c r="L176" s="2398"/>
      <c r="M176" s="2397"/>
      <c r="N176" s="2397"/>
      <c r="O176" s="2398"/>
      <c r="P176" s="2397"/>
      <c r="Q176" s="2397"/>
      <c r="R176" s="2399"/>
    </row>
    <row r="177" spans="1:18" s="2370" customFormat="1">
      <c r="B177" s="2397"/>
      <c r="C177" s="2397"/>
      <c r="D177" s="2397"/>
      <c r="E177" s="2397"/>
      <c r="F177" s="2397"/>
      <c r="G177" s="2398"/>
      <c r="H177" s="2397"/>
      <c r="I177" s="2398"/>
      <c r="J177" s="2397"/>
      <c r="K177" s="2397"/>
      <c r="L177" s="2398"/>
      <c r="M177" s="2397"/>
      <c r="N177" s="2397"/>
      <c r="O177" s="2398"/>
      <c r="P177" s="2397"/>
      <c r="Q177" s="2397"/>
      <c r="R177" s="2399"/>
    </row>
    <row r="178" spans="1:18" s="2370" customFormat="1">
      <c r="B178" s="2397"/>
      <c r="C178" s="2397"/>
      <c r="D178" s="2397"/>
      <c r="E178" s="2397"/>
      <c r="F178" s="2397"/>
      <c r="G178" s="2398"/>
      <c r="H178" s="2397"/>
      <c r="I178" s="2398"/>
      <c r="J178" s="2397"/>
      <c r="K178" s="2397"/>
      <c r="L178" s="2398"/>
      <c r="M178" s="2397"/>
      <c r="N178" s="2397"/>
      <c r="O178" s="2398"/>
      <c r="P178" s="2397"/>
      <c r="Q178" s="2397"/>
      <c r="R178" s="2399"/>
    </row>
    <row r="179" spans="1:18" s="2370" customFormat="1">
      <c r="B179" s="2397"/>
      <c r="C179" s="2397"/>
      <c r="D179" s="2397"/>
      <c r="E179" s="2397"/>
      <c r="F179" s="2397"/>
      <c r="G179" s="2398"/>
      <c r="H179" s="2397"/>
      <c r="I179" s="2398"/>
      <c r="J179" s="2397"/>
      <c r="K179" s="2397"/>
      <c r="L179" s="2398"/>
      <c r="M179" s="2397"/>
      <c r="N179" s="2397"/>
      <c r="O179" s="2398"/>
      <c r="P179" s="2397"/>
      <c r="Q179" s="2397"/>
      <c r="R179" s="2399"/>
    </row>
    <row r="180" spans="1:18" s="2370" customFormat="1">
      <c r="B180" s="2397"/>
      <c r="C180" s="2397"/>
      <c r="D180" s="2397"/>
      <c r="E180" s="2397"/>
      <c r="F180" s="2397"/>
      <c r="G180" s="2398"/>
      <c r="H180" s="2397"/>
      <c r="I180" s="2398"/>
      <c r="J180" s="2397"/>
      <c r="K180" s="2397"/>
      <c r="L180" s="2398"/>
      <c r="M180" s="2397"/>
      <c r="N180" s="2397"/>
      <c r="O180" s="2398"/>
      <c r="P180" s="2397"/>
      <c r="Q180" s="2397"/>
      <c r="R180" s="2399"/>
    </row>
    <row r="181" spans="1:18" s="2370" customFormat="1">
      <c r="B181" s="2397"/>
      <c r="C181" s="2397"/>
      <c r="D181" s="2397"/>
      <c r="E181" s="2397"/>
      <c r="F181" s="2397"/>
      <c r="G181" s="2398"/>
      <c r="H181" s="2397"/>
      <c r="I181" s="2398"/>
      <c r="J181" s="2397"/>
      <c r="K181" s="2397"/>
      <c r="L181" s="2398"/>
      <c r="M181" s="2397"/>
      <c r="N181" s="2397"/>
      <c r="O181" s="2398"/>
      <c r="P181" s="2397"/>
      <c r="Q181" s="2397"/>
      <c r="R181" s="2399"/>
    </row>
    <row r="182" spans="1:18" s="2370" customFormat="1">
      <c r="B182" s="2397"/>
      <c r="C182" s="2397"/>
      <c r="D182" s="2397"/>
      <c r="E182" s="2397"/>
      <c r="F182" s="2397"/>
      <c r="G182" s="2398"/>
      <c r="H182" s="2397"/>
      <c r="I182" s="2398"/>
      <c r="J182" s="2397"/>
      <c r="K182" s="2397"/>
      <c r="L182" s="2398"/>
      <c r="M182" s="2397"/>
      <c r="N182" s="2397"/>
      <c r="O182" s="2398"/>
      <c r="P182" s="2397"/>
      <c r="Q182" s="2397"/>
      <c r="R182" s="2399"/>
    </row>
    <row r="183" spans="1:18" s="2370" customFormat="1">
      <c r="B183" s="2397"/>
      <c r="C183" s="2397"/>
      <c r="D183" s="2397"/>
      <c r="E183" s="2397"/>
      <c r="F183" s="2397"/>
      <c r="G183" s="2398"/>
      <c r="H183" s="2397"/>
      <c r="I183" s="2398"/>
      <c r="J183" s="2397"/>
      <c r="K183" s="2397"/>
      <c r="L183" s="2398"/>
      <c r="M183" s="2397"/>
      <c r="N183" s="2397"/>
      <c r="O183" s="2398"/>
      <c r="P183" s="2397"/>
      <c r="Q183" s="2397"/>
      <c r="R183" s="2399"/>
    </row>
    <row r="184" spans="1:18" s="2370" customFormat="1">
      <c r="B184" s="2397"/>
      <c r="C184" s="2397"/>
      <c r="D184" s="2397"/>
      <c r="E184" s="2397"/>
      <c r="F184" s="2397"/>
      <c r="G184" s="2398"/>
      <c r="H184" s="2397"/>
      <c r="I184" s="2398"/>
      <c r="J184" s="2397"/>
      <c r="K184" s="2397"/>
      <c r="L184" s="2398"/>
      <c r="M184" s="2397"/>
      <c r="N184" s="2397"/>
      <c r="O184" s="2398"/>
      <c r="P184" s="2397"/>
      <c r="Q184" s="2397"/>
      <c r="R184" s="2399"/>
    </row>
    <row r="185" spans="1:18" s="2370"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0"/>
      <c r="B186" s="2397"/>
      <c r="C186" s="2397"/>
      <c r="E186" s="2397"/>
      <c r="F186" s="2397"/>
      <c r="G186" s="2398"/>
    </row>
    <row r="187" spans="1:18">
      <c r="A187" s="2370"/>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RowHeight="13.5"/>
  <cols>
    <col min="1" max="1" width="23.375" style="1742" customWidth="1"/>
    <col min="2" max="9" width="15.75" style="1742" customWidth="1"/>
    <col min="10" max="16384" width="9" style="1742"/>
  </cols>
  <sheetData>
    <row r="1" spans="1:10" ht="16.5">
      <c r="A1" s="1747" t="s">
        <v>1366</v>
      </c>
      <c r="B1" s="1747">
        <f>SUM(B14:B23)</f>
        <v>6960.5900000000011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26907</v>
      </c>
      <c r="C5" s="1747">
        <f ca="1">ROUND(B5*10000/$B$1,0)</f>
        <v>38656</v>
      </c>
      <c r="D5" s="1747" t="e">
        <f ca="1">ROUND(B5*10000/$B$2,0)</f>
        <v>#DIV/0!</v>
      </c>
      <c r="E5" s="1746"/>
      <c r="F5" s="1744"/>
      <c r="G5" s="1744"/>
    </row>
    <row r="6" spans="1:10" ht="16.5">
      <c r="A6" s="1747" t="s">
        <v>1357</v>
      </c>
      <c r="B6" s="1747">
        <f ca="1">SUM(G14:G23)</f>
        <v>26907</v>
      </c>
      <c r="C6" s="1747">
        <f ca="1">ROUND(B6*10000/$B$1,0)</f>
        <v>38656</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6960.5900000000011</v>
      </c>
      <c r="C14" s="1745">
        <f>结果表!C118</f>
        <v>0</v>
      </c>
      <c r="D14" s="1745">
        <f ca="1">结果表!H118</f>
        <v>26907</v>
      </c>
      <c r="E14" s="1745">
        <f ca="1">ROUND(D14*10000/B14,0)</f>
        <v>38656</v>
      </c>
      <c r="F14" s="1745" t="e">
        <f ca="1">ROUND(D14*10000/C14,0)</f>
        <v>#DIV/0!</v>
      </c>
      <c r="G14" s="1745">
        <f ca="1">结果表!D122</f>
        <v>26907</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2111</v>
      </c>
      <c r="B1" s="2420"/>
      <c r="C1" s="2421"/>
      <c r="D1" s="2420"/>
      <c r="E1" s="2420"/>
      <c r="F1" s="2422" t="s">
        <v>2112</v>
      </c>
      <c r="G1" s="2072" t="s">
        <v>3316</v>
      </c>
      <c r="H1" s="2423" t="str">
        <f>IF(G1="现房","——","估价对象范围")</f>
        <v>——</v>
      </c>
      <c r="I1" s="2424" t="s">
        <v>70</v>
      </c>
    </row>
    <row r="2" spans="1:12" ht="21.75" customHeight="1" thickBot="1">
      <c r="A2" s="3229" t="str">
        <f>项目基本情况!S2</f>
        <v>北京市朝阳区东三环中路59号楼501号等21套办公用房房地产</v>
      </c>
      <c r="B2" s="3230"/>
      <c r="C2" s="3230"/>
      <c r="D2" s="3230"/>
      <c r="E2" s="3230"/>
      <c r="F2" s="3230"/>
      <c r="G2" s="3230"/>
      <c r="H2" s="3230"/>
      <c r="I2" s="3231"/>
    </row>
    <row r="3" spans="1:12" ht="12.75">
      <c r="A3" s="3232" t="s">
        <v>2113</v>
      </c>
      <c r="B3" s="3233"/>
      <c r="C3" s="3233"/>
      <c r="D3" s="3233"/>
      <c r="E3" s="3233"/>
      <c r="F3" s="3233"/>
      <c r="G3" s="3233"/>
      <c r="H3" s="3233"/>
      <c r="I3" s="3233"/>
    </row>
    <row r="4" spans="1:12" ht="14.25">
      <c r="A4" s="2427" t="s">
        <v>2114</v>
      </c>
      <c r="B4" s="2428" t="s">
        <v>2115</v>
      </c>
      <c r="C4" s="2429" t="s">
        <v>3317</v>
      </c>
      <c r="D4" s="2429" t="s">
        <v>3309</v>
      </c>
      <c r="E4" s="3213" t="s">
        <v>2116</v>
      </c>
      <c r="F4" s="3226"/>
      <c r="G4" s="3226"/>
      <c r="H4" s="3226"/>
      <c r="I4" s="3214"/>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204" t="s">
        <v>2117</v>
      </c>
      <c r="B5" s="3130">
        <v>25</v>
      </c>
      <c r="C5" s="3234"/>
      <c r="D5" s="3222"/>
      <c r="E5" s="140" t="s">
        <v>2118</v>
      </c>
      <c r="F5" s="2431"/>
      <c r="G5" s="2431"/>
      <c r="H5" s="2431"/>
      <c r="I5" s="1835"/>
    </row>
    <row r="6" spans="1:12" ht="12.75">
      <c r="A6" s="3204"/>
      <c r="B6" s="3130"/>
      <c r="C6" s="3236"/>
      <c r="D6" s="3222"/>
      <c r="E6" s="140" t="s">
        <v>2119</v>
      </c>
      <c r="F6" s="2431"/>
      <c r="G6" s="2431"/>
      <c r="H6" s="2431"/>
      <c r="I6" s="1835"/>
    </row>
    <row r="7" spans="1:12" ht="12.75">
      <c r="A7" s="3204"/>
      <c r="B7" s="3130"/>
      <c r="C7" s="3235"/>
      <c r="D7" s="3222"/>
      <c r="E7" s="140" t="s">
        <v>2120</v>
      </c>
      <c r="F7" s="2431"/>
      <c r="G7" s="2431"/>
      <c r="H7" s="2431"/>
      <c r="I7" s="1835"/>
    </row>
    <row r="8" spans="1:12" ht="12.75">
      <c r="A8" s="3204" t="s">
        <v>2121</v>
      </c>
      <c r="B8" s="3130">
        <v>15</v>
      </c>
      <c r="C8" s="3234"/>
      <c r="D8" s="3222"/>
      <c r="E8" s="140" t="s">
        <v>2122</v>
      </c>
      <c r="F8" s="2431"/>
      <c r="G8" s="2431"/>
      <c r="H8" s="2431"/>
      <c r="I8" s="1835"/>
    </row>
    <row r="9" spans="1:12" ht="12.75">
      <c r="A9" s="3204"/>
      <c r="B9" s="3130"/>
      <c r="C9" s="3235"/>
      <c r="D9" s="3222"/>
      <c r="E9" s="140" t="s">
        <v>2123</v>
      </c>
      <c r="F9" s="2431"/>
      <c r="G9" s="2431"/>
      <c r="H9" s="2431"/>
      <c r="I9" s="1835"/>
    </row>
    <row r="10" spans="1:12" ht="12.75">
      <c r="A10" s="3204" t="s">
        <v>2124</v>
      </c>
      <c r="B10" s="3130">
        <v>15</v>
      </c>
      <c r="C10" s="3234"/>
      <c r="D10" s="3222"/>
      <c r="E10" s="140" t="s">
        <v>2125</v>
      </c>
      <c r="F10" s="2431"/>
      <c r="G10" s="2431"/>
      <c r="H10" s="2431"/>
      <c r="I10" s="1835"/>
    </row>
    <row r="11" spans="1:12" ht="12.75">
      <c r="A11" s="3204"/>
      <c r="B11" s="3130"/>
      <c r="C11" s="3235"/>
      <c r="D11" s="3222"/>
      <c r="E11" s="140" t="s">
        <v>2126</v>
      </c>
      <c r="F11" s="2431"/>
      <c r="G11" s="2431"/>
      <c r="H11" s="2431"/>
      <c r="I11" s="1835"/>
    </row>
    <row r="12" spans="1:12" ht="12.75">
      <c r="A12" s="3204" t="s">
        <v>2127</v>
      </c>
      <c r="B12" s="3130">
        <v>15</v>
      </c>
      <c r="C12" s="3234"/>
      <c r="D12" s="3222"/>
      <c r="E12" s="140" t="s">
        <v>2128</v>
      </c>
      <c r="F12" s="2431"/>
      <c r="G12" s="2431"/>
      <c r="H12" s="2431"/>
      <c r="I12" s="1835"/>
    </row>
    <row r="13" spans="1:12" ht="12.75">
      <c r="A13" s="3204"/>
      <c r="B13" s="3130"/>
      <c r="C13" s="3235"/>
      <c r="D13" s="3222"/>
      <c r="E13" s="140" t="s">
        <v>2129</v>
      </c>
      <c r="F13" s="2431"/>
      <c r="G13" s="2431"/>
      <c r="H13" s="2431"/>
      <c r="I13" s="1835"/>
    </row>
    <row r="14" spans="1:12" ht="12.75">
      <c r="A14" s="3204" t="s">
        <v>2130</v>
      </c>
      <c r="B14" s="3130">
        <v>30</v>
      </c>
      <c r="C14" s="3234">
        <v>5</v>
      </c>
      <c r="D14" s="3222">
        <v>5</v>
      </c>
      <c r="E14" s="140" t="s">
        <v>2131</v>
      </c>
      <c r="F14" s="2431"/>
      <c r="G14" s="2431"/>
      <c r="H14" s="2431"/>
      <c r="I14" s="1835"/>
    </row>
    <row r="15" spans="1:12" ht="12.75">
      <c r="A15" s="3204"/>
      <c r="B15" s="3130"/>
      <c r="C15" s="3236"/>
      <c r="D15" s="3222"/>
      <c r="E15" s="140" t="s">
        <v>2132</v>
      </c>
      <c r="F15" s="2431"/>
      <c r="G15" s="2431"/>
      <c r="H15" s="2431"/>
      <c r="I15" s="1835"/>
    </row>
    <row r="16" spans="1:12" ht="12.75">
      <c r="A16" s="3204"/>
      <c r="B16" s="3130"/>
      <c r="C16" s="3235"/>
      <c r="D16" s="3222"/>
      <c r="E16" s="140" t="s">
        <v>2133</v>
      </c>
      <c r="F16" s="2431"/>
      <c r="G16" s="2431"/>
      <c r="H16" s="2431"/>
      <c r="I16" s="1835"/>
    </row>
    <row r="17" spans="1:35" ht="15">
      <c r="A17" s="2432" t="s">
        <v>2134</v>
      </c>
      <c r="B17" s="64"/>
      <c r="C17" s="141">
        <f>SUM(C5:C16)</f>
        <v>5</v>
      </c>
      <c r="D17" s="141">
        <f>SUM(D5:D16)</f>
        <v>5</v>
      </c>
      <c r="E17" s="138"/>
      <c r="F17" s="138"/>
      <c r="G17" s="138"/>
      <c r="H17" s="138"/>
      <c r="I17" s="138"/>
      <c r="K17" s="2430"/>
      <c r="L17" s="2433" t="s">
        <v>2135</v>
      </c>
      <c r="M17" s="2433" t="s">
        <v>2136</v>
      </c>
    </row>
    <row r="18" spans="1:35" ht="15.75" thickBot="1">
      <c r="A18" s="2434" t="s">
        <v>2137</v>
      </c>
      <c r="B18" s="2435"/>
      <c r="C18" s="142">
        <f>ROUND(C17/SUM(C17:D17),2)</f>
        <v>0.5</v>
      </c>
      <c r="D18" s="142">
        <f>1-C18</f>
        <v>0.5</v>
      </c>
      <c r="E18" s="138"/>
      <c r="F18" s="138"/>
      <c r="G18" s="138"/>
      <c r="H18" s="138"/>
      <c r="I18" s="138"/>
      <c r="K18" s="2430" t="s">
        <v>2138</v>
      </c>
      <c r="L18" s="2430">
        <f>IF(C1="",'数据-汇总表'!E3,SUMIF(项目类型,C1,'数据-汇总表'!E17:E26)+SUMIF(项目类型,C1,'数据-汇总表'!I17:I26))</f>
        <v>6960.5900000000011</v>
      </c>
      <c r="M18" s="2430">
        <f>IF(C1="",'数据-汇总表'!E3,SUMIF(项目类型,C1,'数据-汇总表'!E17:E26))</f>
        <v>6960.5900000000011</v>
      </c>
    </row>
    <row r="19" spans="1:35" ht="15">
      <c r="A19" s="2436" t="s">
        <v>2139</v>
      </c>
      <c r="B19" s="2437" t="s">
        <v>2140</v>
      </c>
      <c r="C19" s="143">
        <f ca="1">SUMIF(INDIRECT("'"&amp;C4&amp;"'"&amp;"!A:A"),结果表!B19,INDIRECT("'"&amp;C4&amp;"'"&amp;"!B:B"))</f>
        <v>27443</v>
      </c>
      <c r="D19" s="144">
        <f ca="1">SUMIF(INDIRECT("'"&amp;D4&amp;"'"&amp;"!A:A"),结果表!B19,INDIRECT("'"&amp;D4&amp;"'"&amp;"!B:B"))</f>
        <v>26371</v>
      </c>
      <c r="E19" s="2436" t="s">
        <v>2141</v>
      </c>
      <c r="F19" s="2437" t="s">
        <v>2140</v>
      </c>
      <c r="G19" s="145">
        <f ca="1">ROUND(C19*$C$18+D19*$D$18,0)</f>
        <v>26907</v>
      </c>
      <c r="H19" s="2438" t="s">
        <v>2142</v>
      </c>
      <c r="I19" s="138"/>
      <c r="K19" s="2430" t="s">
        <v>2143</v>
      </c>
      <c r="L19" s="2430">
        <f>IF(C1="",'数据-汇总表'!D3,SUMIF(项目类型,C1,'数据-汇总表'!D17:D26)+SUMIF(项目类型,C1,'数据-汇总表'!H17:H27))</f>
        <v>0</v>
      </c>
      <c r="M19" s="2430">
        <f>IF(C1="",'数据-汇总表'!D3,SUMIF(项目类型,C1,'数据-汇总表'!D17:D26))</f>
        <v>0</v>
      </c>
    </row>
    <row r="20" spans="1:35" ht="15">
      <c r="A20" s="2439"/>
      <c r="B20" s="1250" t="s">
        <v>2144</v>
      </c>
      <c r="C20" s="146">
        <f ca="1">SUMIF(INDIRECT("'"&amp;C4&amp;"'"&amp;"!A:A"),结果表!B20,INDIRECT("'"&amp;C4&amp;"'"&amp;"!B:B"))</f>
        <v>39426</v>
      </c>
      <c r="D20" s="147">
        <f ca="1">SUMIF(INDIRECT("'"&amp;D4&amp;"'"&amp;"!A:A"),结果表!B20,INDIRECT("'"&amp;D4&amp;"'"&amp;"!B:B"))</f>
        <v>37886</v>
      </c>
      <c r="E20" s="2439"/>
      <c r="F20" s="1250" t="s">
        <v>2144</v>
      </c>
      <c r="G20" s="148">
        <f ca="1">ROUND(C20*$C$18+D20*$D$18,0)</f>
        <v>38656</v>
      </c>
      <c r="H20" s="983" t="s">
        <v>2145</v>
      </c>
      <c r="I20" s="138"/>
    </row>
    <row r="21" spans="1:35" ht="15" customHeight="1" thickBot="1">
      <c r="A21" s="1003"/>
      <c r="B21" s="2440" t="s">
        <v>2146</v>
      </c>
      <c r="C21" s="789" t="e">
        <f ca="1">ROUND(C19*10000/L19,0)</f>
        <v>#DIV/0!</v>
      </c>
      <c r="D21" s="790" t="e">
        <f ca="1">ROUND(D19*10000/L19,0)</f>
        <v>#DIV/0!</v>
      </c>
      <c r="E21" s="1003"/>
      <c r="F21" s="2440" t="s">
        <v>2146</v>
      </c>
      <c r="G21" s="149" t="e">
        <f ca="1">ROUND(G19*10000/L19,0)</f>
        <v>#DIV/0!</v>
      </c>
      <c r="H21" s="2441" t="s">
        <v>2145</v>
      </c>
      <c r="I21" s="138"/>
    </row>
    <row r="22" spans="1:35" ht="15" thickBot="1">
      <c r="A22" s="2283" t="s">
        <v>2147</v>
      </c>
      <c r="B22" s="2442"/>
      <c r="C22" s="2443"/>
      <c r="D22" s="791">
        <f ca="1">IF(C19&lt;D19,D19/C19-1,C19/D19-1)</f>
        <v>4.0650714800348764E-2</v>
      </c>
      <c r="E22" s="138"/>
      <c r="F22" s="138"/>
      <c r="G22" s="138"/>
      <c r="H22" s="138"/>
      <c r="I22" s="138"/>
    </row>
    <row r="23" spans="1:35" ht="13.5" thickBot="1">
      <c r="A23" s="2420"/>
      <c r="B23" s="2420"/>
      <c r="C23" s="2420"/>
      <c r="D23" s="2420"/>
      <c r="E23" s="138"/>
      <c r="F23" s="138"/>
      <c r="G23" s="138"/>
      <c r="H23" s="138"/>
      <c r="I23" s="138"/>
    </row>
    <row r="24" spans="1:35" ht="14.25">
      <c r="A24" s="3243" t="s">
        <v>2148</v>
      </c>
      <c r="B24" s="2437" t="s">
        <v>2140</v>
      </c>
      <c r="C24" s="145">
        <f>IF(B30=0,0,D30)</f>
        <v>0</v>
      </c>
      <c r="D24" s="2444"/>
      <c r="E24" s="138"/>
      <c r="F24" s="138"/>
      <c r="G24" s="138"/>
      <c r="H24" s="138"/>
      <c r="I24" s="138"/>
    </row>
    <row r="25" spans="1:35" ht="14.25">
      <c r="A25" s="3244"/>
      <c r="B25" s="1250" t="s">
        <v>2144</v>
      </c>
      <c r="C25" s="150">
        <f>IF(B30=0,0,C30)</f>
        <v>0</v>
      </c>
      <c r="D25" s="2445"/>
      <c r="E25" s="138"/>
      <c r="F25" s="138"/>
      <c r="G25" s="138"/>
      <c r="H25" s="138"/>
      <c r="I25" s="138"/>
    </row>
    <row r="26" spans="1:35" ht="13.5" customHeight="1">
      <c r="A26" s="2446" t="s">
        <v>2149</v>
      </c>
      <c r="B26" s="151" t="s">
        <v>2150</v>
      </c>
      <c r="C26" s="151" t="s">
        <v>2151</v>
      </c>
      <c r="D26" s="152" t="s">
        <v>2152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2153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2154</v>
      </c>
      <c r="B32" s="2450"/>
      <c r="C32" s="154">
        <f ca="1">IF(D32="总价",G19-C24,G20-C25)</f>
        <v>26907</v>
      </c>
      <c r="D32" s="2451" t="s">
        <v>2155</v>
      </c>
      <c r="E32" s="138"/>
      <c r="F32" s="138"/>
      <c r="G32" s="138"/>
      <c r="H32" s="138"/>
      <c r="I32" s="138"/>
    </row>
    <row r="33" spans="1:15" ht="15">
      <c r="A33" s="960" t="s">
        <v>2156</v>
      </c>
      <c r="B33" s="2452"/>
      <c r="C33" s="2453"/>
      <c r="D33" s="2454"/>
      <c r="E33" s="2455" t="s">
        <v>2157</v>
      </c>
      <c r="F33" s="2456" t="str">
        <f>IF(D32="楼面单价","取值（单价）","取值（总价）")</f>
        <v>取值（总价）</v>
      </c>
      <c r="G33" s="138"/>
      <c r="H33" s="138"/>
      <c r="I33" s="138"/>
    </row>
    <row r="34" spans="1:15" ht="15">
      <c r="A34" s="2457"/>
      <c r="B34" s="2458" t="s">
        <v>2158</v>
      </c>
      <c r="C34" s="158" t="e">
        <f ca="1">IF(C33="自定义",F34,C32-C35)</f>
        <v>#REF!</v>
      </c>
      <c r="D34" s="1058" t="e">
        <f ca="1">IF(C33="自定义",ROUND(C34/C32,3),IF(C33="收益比率",SUMIF(INDIRECT("'"&amp;D33&amp;"'"&amp;"!b:b"),"土地收益比率",INDIRECT("'"&amp;D33&amp;"'"&amp;"!c:c")),SUMIF(INDIRECT("'"&amp;D33&amp;"'"&amp;"!b:b"),"土地成本比率",INDIRECT("'"&amp;D33&amp;"'"&amp;"!c:c"))))</f>
        <v>#REF!</v>
      </c>
      <c r="E34" s="2459" t="s">
        <v>2159</v>
      </c>
      <c r="F34" s="1740"/>
      <c r="G34" s="138"/>
      <c r="H34" s="138"/>
      <c r="I34" s="138"/>
    </row>
    <row r="35" spans="1:15" ht="15.75" thickBot="1">
      <c r="A35" s="2460"/>
      <c r="B35" s="2461"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2161</v>
      </c>
      <c r="F35" s="164"/>
      <c r="G35" s="138"/>
      <c r="H35" s="138"/>
      <c r="I35" s="138"/>
    </row>
    <row r="36" spans="1:15" ht="15.75" hidden="1" thickBot="1">
      <c r="A36" s="3223" t="s">
        <v>2162</v>
      </c>
      <c r="B36" s="2463" t="s">
        <v>2163</v>
      </c>
      <c r="C36" s="155"/>
      <c r="D36" s="2464"/>
      <c r="E36" s="2465"/>
      <c r="F36" s="2466"/>
      <c r="G36" s="138"/>
      <c r="H36" s="138"/>
      <c r="I36" s="138"/>
    </row>
    <row r="37" spans="1:15" ht="15.75" hidden="1" thickBot="1">
      <c r="A37" s="3224"/>
      <c r="B37" s="2269" t="s">
        <v>2164</v>
      </c>
      <c r="C37" s="157"/>
      <c r="D37" s="1395"/>
      <c r="E37" s="1395"/>
      <c r="F37" s="2466"/>
      <c r="G37" s="138"/>
      <c r="H37" s="138"/>
      <c r="I37" s="138"/>
    </row>
    <row r="38" spans="1:15" ht="15.75" hidden="1" thickBot="1">
      <c r="A38" s="3225"/>
      <c r="B38" s="2467" t="s">
        <v>2165</v>
      </c>
      <c r="C38" s="727"/>
      <c r="D38" s="2468" t="s">
        <v>2166</v>
      </c>
      <c r="E38" s="1395"/>
      <c r="F38" s="2466"/>
      <c r="G38" s="138"/>
      <c r="H38" s="138"/>
      <c r="I38" s="138"/>
    </row>
    <row r="39" spans="1:15" ht="15" hidden="1">
      <c r="A39" s="2439" t="s">
        <v>2167</v>
      </c>
      <c r="B39" s="2469" t="s">
        <v>2168</v>
      </c>
      <c r="C39" s="2470" t="s">
        <v>2169</v>
      </c>
      <c r="D39" s="2470" t="s">
        <v>2170</v>
      </c>
      <c r="E39" s="2471" t="s">
        <v>2171</v>
      </c>
      <c r="F39" s="2466"/>
      <c r="G39" s="138"/>
      <c r="H39" s="138"/>
      <c r="I39" s="138"/>
    </row>
    <row r="40" spans="1:15" ht="14.25" hidden="1">
      <c r="A40" s="2472" t="s">
        <v>2172</v>
      </c>
      <c r="B40" s="159"/>
      <c r="C40" s="160"/>
      <c r="D40" s="160"/>
      <c r="E40" s="161"/>
      <c r="F40" s="2466"/>
      <c r="G40" s="138"/>
      <c r="H40" s="138"/>
      <c r="I40" s="138"/>
    </row>
    <row r="41" spans="1:15" ht="14.25" hidden="1">
      <c r="A41" s="2472" t="s">
        <v>2173</v>
      </c>
      <c r="B41" s="159"/>
      <c r="C41" s="160"/>
      <c r="D41" s="160"/>
      <c r="E41" s="161"/>
      <c r="F41" s="2466"/>
      <c r="G41" s="138"/>
      <c r="H41" s="138"/>
      <c r="I41" s="138"/>
    </row>
    <row r="42" spans="1:15" ht="15" hidden="1" thickBot="1">
      <c r="A42" s="2473"/>
      <c r="B42" s="162"/>
      <c r="C42" s="163"/>
      <c r="D42" s="163"/>
      <c r="E42" s="164"/>
      <c r="F42" s="2466"/>
      <c r="G42" s="138"/>
      <c r="H42" s="138"/>
      <c r="I42" s="138"/>
    </row>
    <row r="43" spans="1:15" ht="12.75" hidden="1">
      <c r="A43" s="2167"/>
      <c r="B43" s="2167"/>
      <c r="C43" s="2167"/>
      <c r="D43" s="2167"/>
      <c r="E43" s="2167"/>
      <c r="F43" s="2474"/>
      <c r="G43" s="2474"/>
      <c r="H43" s="2474"/>
      <c r="I43" s="2475"/>
    </row>
    <row r="44" spans="1:15" ht="18.75" hidden="1">
      <c r="A44" s="2476" t="s">
        <v>2174</v>
      </c>
      <c r="B44" s="2477"/>
      <c r="C44" s="2477"/>
      <c r="D44" s="2478"/>
      <c r="E44" s="2478"/>
      <c r="F44" s="2479"/>
      <c r="G44" s="2479"/>
      <c r="H44" s="2479"/>
      <c r="I44" s="2479"/>
      <c r="J44" s="2480" t="s">
        <v>2175</v>
      </c>
      <c r="K44" s="2481"/>
      <c r="L44" s="2481"/>
      <c r="M44" s="2481"/>
      <c r="N44" s="2481"/>
      <c r="O44" s="2481"/>
    </row>
    <row r="45" spans="1:15" ht="14.25" hidden="1" customHeight="1" thickBot="1">
      <c r="A45" s="3240" t="s">
        <v>2176</v>
      </c>
      <c r="B45" s="3241"/>
      <c r="C45" s="3242"/>
      <c r="D45" s="165">
        <f ca="1">ROUND(H101*F45,0)</f>
        <v>26907</v>
      </c>
      <c r="E45" s="166" t="s">
        <v>2177</v>
      </c>
      <c r="F45" s="167">
        <v>1</v>
      </c>
      <c r="G45" s="168" t="s">
        <v>2178</v>
      </c>
      <c r="H45" s="138"/>
      <c r="I45" s="138"/>
      <c r="J45" s="3159" t="s">
        <v>2179</v>
      </c>
      <c r="K45" s="3159"/>
      <c r="L45" s="3159"/>
      <c r="M45" s="3159"/>
      <c r="N45" s="3159"/>
      <c r="O45" s="3159"/>
    </row>
    <row r="46" spans="1:15" ht="14.25" hidden="1" customHeight="1">
      <c r="A46" s="3237" t="s">
        <v>2180</v>
      </c>
      <c r="B46" s="3238"/>
      <c r="C46" s="3238"/>
      <c r="D46" s="3238"/>
      <c r="E46" s="3238"/>
      <c r="F46" s="3238"/>
      <c r="G46" s="3239"/>
      <c r="H46" s="2482"/>
      <c r="I46" s="169"/>
      <c r="J46" s="1813">
        <v>1</v>
      </c>
      <c r="K46" s="3159" t="s">
        <v>2181</v>
      </c>
      <c r="L46" s="3159"/>
      <c r="M46" s="3160"/>
      <c r="N46" s="3160"/>
      <c r="O46" s="3160"/>
    </row>
    <row r="47" spans="1:15" ht="12" hidden="1" customHeight="1">
      <c r="A47" s="170" t="s">
        <v>2182</v>
      </c>
      <c r="B47" s="171"/>
      <c r="C47" s="172"/>
      <c r="D47" s="173" t="s">
        <v>2183</v>
      </c>
      <c r="E47" s="24" t="s">
        <v>2184</v>
      </c>
      <c r="F47" s="174" t="s">
        <v>2185</v>
      </c>
      <c r="G47" s="175" t="s">
        <v>2186</v>
      </c>
      <c r="H47" s="2482"/>
      <c r="I47" s="169"/>
      <c r="J47" s="1813">
        <v>2</v>
      </c>
      <c r="K47" s="3159" t="s">
        <v>2187</v>
      </c>
      <c r="L47" s="3159"/>
      <c r="M47" s="3161">
        <f>'数据-取费表'!B2</f>
        <v>43047</v>
      </c>
      <c r="N47" s="3161"/>
      <c r="O47" s="3161"/>
    </row>
    <row r="48" spans="1:15" ht="25.5" hidden="1">
      <c r="A48" s="3227" t="s">
        <v>2188</v>
      </c>
      <c r="B48" s="3228"/>
      <c r="C48" s="3228"/>
      <c r="D48" s="140">
        <f>IF(H48="情况1",0,IF(H48="情况2",D52,IF(H48="情况3",D53,IF(H48="情况4",D54))))</f>
        <v>0</v>
      </c>
      <c r="E48" s="1802" t="str">
        <f>IF(H48="情况4","(销售额-原购置价)×税（费）率","销售额×税（费）率")</f>
        <v>销售额×税（费）率</v>
      </c>
      <c r="F48" s="176" t="str">
        <f>IF(H48="情况1","免征",'数据-取费表'!B41)</f>
        <v>免征</v>
      </c>
      <c r="G48" s="2483" t="s">
        <v>2189</v>
      </c>
      <c r="H48" s="2484" t="s">
        <v>2190</v>
      </c>
      <c r="I48" s="2482"/>
      <c r="J48" s="1813">
        <v>3</v>
      </c>
      <c r="K48" s="3159" t="s">
        <v>2191</v>
      </c>
      <c r="L48" s="3159"/>
      <c r="M48" s="3162">
        <f ca="1">H101</f>
        <v>26907</v>
      </c>
      <c r="N48" s="3162"/>
      <c r="O48" s="3162"/>
    </row>
    <row r="49" spans="1:35" ht="25.5" hidden="1" customHeight="1">
      <c r="A49" s="177" t="s">
        <v>2192</v>
      </c>
      <c r="B49" s="3207" t="s">
        <v>2193</v>
      </c>
      <c r="C49" s="3207"/>
      <c r="D49" s="178">
        <v>0</v>
      </c>
      <c r="E49" s="23" t="s">
        <v>2194</v>
      </c>
      <c r="F49" s="28" t="s">
        <v>34</v>
      </c>
      <c r="G49" s="3188"/>
      <c r="H49" s="138"/>
      <c r="I49" s="2485"/>
      <c r="J49" s="1813">
        <v>4</v>
      </c>
      <c r="K49" s="3159" t="str">
        <f>IF(项目基本情况!E8="房地产抵押价值","房地产抵押价值","抵押担保权已注销时的房地产抵押价值")</f>
        <v>抵押担保权已注销时的房地产抵押价值</v>
      </c>
      <c r="L49" s="3159"/>
      <c r="M49" s="3162" t="str">
        <f>IF(项目基本情况!E8="房地产抵押价值",H107,H109)</f>
        <v>——</v>
      </c>
      <c r="N49" s="3162"/>
      <c r="O49" s="3162"/>
    </row>
    <row r="50" spans="1:35" ht="25.5" hidden="1" customHeight="1">
      <c r="A50" s="179"/>
      <c r="B50" s="3207" t="s">
        <v>2195</v>
      </c>
      <c r="C50" s="3207"/>
      <c r="D50" s="180"/>
      <c r="E50" s="31"/>
      <c r="F50" s="181"/>
      <c r="G50" s="3189"/>
      <c r="H50" s="138"/>
      <c r="I50" s="2485"/>
      <c r="J50" s="3159" t="s">
        <v>2196</v>
      </c>
      <c r="K50" s="3159"/>
      <c r="L50" s="3159"/>
      <c r="M50" s="3159"/>
      <c r="N50" s="3159"/>
      <c r="O50" s="3159"/>
    </row>
    <row r="51" spans="1:35" ht="12" hidden="1" customHeight="1">
      <c r="A51" s="182"/>
      <c r="B51" s="3207" t="s">
        <v>2197</v>
      </c>
      <c r="C51" s="3207"/>
      <c r="D51" s="183"/>
      <c r="E51" s="30"/>
      <c r="F51" s="181"/>
      <c r="G51" s="3190"/>
      <c r="H51" s="138"/>
      <c r="I51" s="2485"/>
      <c r="J51" s="2486" t="s">
        <v>2198</v>
      </c>
      <c r="K51" s="3159" t="s">
        <v>2199</v>
      </c>
      <c r="L51" s="3159"/>
      <c r="M51" s="2486" t="s">
        <v>2200</v>
      </c>
      <c r="N51" s="2486" t="s">
        <v>2201</v>
      </c>
      <c r="O51" s="2486" t="s">
        <v>2202</v>
      </c>
    </row>
    <row r="52" spans="1:35" ht="24" hidden="1" customHeight="1">
      <c r="A52" s="184" t="s">
        <v>2203</v>
      </c>
      <c r="B52" s="3207" t="s">
        <v>2204</v>
      </c>
      <c r="C52" s="3207"/>
      <c r="D52" s="183">
        <f ca="1">ROUND(D45*'数据-取费表'!B41/(1+'数据-取费表'!C42),0)</f>
        <v>1435</v>
      </c>
      <c r="E52" s="11" t="s">
        <v>2205</v>
      </c>
      <c r="F52" s="185">
        <f>'数据-取费表'!B41</f>
        <v>5.6000000000000001E-2</v>
      </c>
      <c r="G52" s="2487"/>
      <c r="H52" s="138"/>
      <c r="I52" s="2485"/>
      <c r="J52" s="1813">
        <v>1</v>
      </c>
      <c r="K52" s="3182" t="s">
        <v>2206</v>
      </c>
      <c r="L52" s="3182"/>
      <c r="M52" s="1755">
        <f>D48</f>
        <v>0</v>
      </c>
      <c r="N52" s="1813" t="str">
        <f>E48</f>
        <v>销售额×税（费）率</v>
      </c>
      <c r="O52" s="1756" t="str">
        <f>F48</f>
        <v>免征</v>
      </c>
    </row>
    <row r="53" spans="1:35" ht="12" hidden="1" customHeight="1">
      <c r="A53" s="184" t="s">
        <v>2207</v>
      </c>
      <c r="B53" s="3208" t="s">
        <v>2208</v>
      </c>
      <c r="C53" s="3209"/>
      <c r="D53" s="183">
        <f ca="1">ROUND(D45*'数据-取费表'!B41/(1+'数据-取费表'!C42),0)</f>
        <v>1435</v>
      </c>
      <c r="E53" s="11" t="s">
        <v>2205</v>
      </c>
      <c r="F53" s="185">
        <f>'数据-取费表'!B41</f>
        <v>5.6000000000000001E-2</v>
      </c>
      <c r="G53" s="2487"/>
      <c r="H53" s="138"/>
      <c r="I53" s="2485"/>
      <c r="J53" s="1813">
        <v>2</v>
      </c>
      <c r="K53" s="3182" t="s">
        <v>2209</v>
      </c>
      <c r="L53" s="3182"/>
      <c r="M53" s="1755">
        <f t="shared" ref="M53:O54" ca="1" si="0">D55</f>
        <v>13</v>
      </c>
      <c r="N53" s="1813" t="str">
        <f t="shared" si="0"/>
        <v>销售额×税（费）率</v>
      </c>
      <c r="O53" s="1756">
        <f t="shared" si="0"/>
        <v>5.0000000000000001E-4</v>
      </c>
    </row>
    <row r="54" spans="1:35" ht="12" hidden="1" customHeight="1">
      <c r="A54" s="184" t="s">
        <v>2210</v>
      </c>
      <c r="B54" s="3208" t="s">
        <v>2211</v>
      </c>
      <c r="C54" s="3209"/>
      <c r="D54" s="183">
        <f ca="1">C68</f>
        <v>1435</v>
      </c>
      <c r="E54" s="30" t="s">
        <v>2212</v>
      </c>
      <c r="F54" s="185">
        <f>'数据-取费表'!B41</f>
        <v>5.6000000000000001E-2</v>
      </c>
      <c r="G54" s="2487"/>
      <c r="H54" s="2488"/>
      <c r="I54" s="2485"/>
      <c r="J54" s="1813">
        <v>3</v>
      </c>
      <c r="K54" s="3182" t="s">
        <v>2213</v>
      </c>
      <c r="L54" s="3182"/>
      <c r="M54" s="1755">
        <f t="shared" ca="1" si="0"/>
        <v>15229</v>
      </c>
      <c r="N54" s="1813" t="str">
        <f t="shared" si="0"/>
        <v>增值额×税（费）率</v>
      </c>
      <c r="O54" s="1757" t="str">
        <f t="shared" si="0"/>
        <v>——</v>
      </c>
    </row>
    <row r="55" spans="1:35" ht="24" hidden="1" customHeight="1">
      <c r="A55" s="3246" t="s">
        <v>2214</v>
      </c>
      <c r="B55" s="3228"/>
      <c r="C55" s="3228"/>
      <c r="D55" s="186">
        <f ca="1">IF(H55="个人住宅",0,ROUND(D45*I55,0))</f>
        <v>13</v>
      </c>
      <c r="E55" s="11" t="s">
        <v>2215</v>
      </c>
      <c r="F55" s="185">
        <f>IF(H55="正常",I55,"免征")</f>
        <v>5.0000000000000001E-4</v>
      </c>
      <c r="G55" s="2487"/>
      <c r="H55" s="2484" t="s">
        <v>2216</v>
      </c>
      <c r="I55" s="187">
        <f>'数据-取费表'!B49</f>
        <v>5.0000000000000001E-4</v>
      </c>
      <c r="J55" s="1813" t="str">
        <f>IF(H59="非个人房产","",4)</f>
        <v/>
      </c>
      <c r="K55" s="3182" t="str">
        <f>IF(H59="非个人房产","——","个人所得税")</f>
        <v>——</v>
      </c>
      <c r="L55" s="3182"/>
      <c r="M55" s="1758" t="str">
        <f>D59</f>
        <v>——</v>
      </c>
      <c r="N55" s="1811" t="str">
        <f>E59</f>
        <v>——</v>
      </c>
      <c r="O55" s="1759" t="str">
        <f>F59</f>
        <v>——</v>
      </c>
    </row>
    <row r="56" spans="1:35" ht="24.75" hidden="1">
      <c r="A56" s="3246" t="s">
        <v>2217</v>
      </c>
      <c r="B56" s="3228"/>
      <c r="C56" s="3228"/>
      <c r="D56" s="186">
        <f ca="1">IF(H56="个人住宅",D57,D58)</f>
        <v>15229</v>
      </c>
      <c r="E56" s="11" t="s">
        <v>2218</v>
      </c>
      <c r="F56" s="185" t="str">
        <f>IF(H56="正常",F58,"免征")</f>
        <v>——</v>
      </c>
      <c r="G56" s="2489" t="s">
        <v>2219</v>
      </c>
      <c r="H56" s="2490" t="s">
        <v>2216</v>
      </c>
      <c r="I56" s="2491"/>
      <c r="J56" s="1813" t="str">
        <f>IF(项目基本情况!K6="上海银行",IF(J55="",4,J55+1),"")</f>
        <v/>
      </c>
      <c r="K56" s="3165" t="str">
        <f>IF(项目基本情况!K6="上海银行","其他处置费用","")</f>
        <v/>
      </c>
      <c r="L56" s="3166"/>
      <c r="M56" s="1755" t="str">
        <f>IF(项目基本情况!K6="上海银行",M69,"")</f>
        <v/>
      </c>
      <c r="N56" s="3168" t="str">
        <f>IF(项目基本情况!K6="上海银行","包含处置中涉及的律师、诉讼、拍卖、评估等费用","")</f>
        <v/>
      </c>
      <c r="O56" s="3169"/>
    </row>
    <row r="57" spans="1:35" ht="12.75" hidden="1">
      <c r="A57" s="184" t="s">
        <v>2192</v>
      </c>
      <c r="B57" s="3213" t="s">
        <v>2220</v>
      </c>
      <c r="C57" s="3214"/>
      <c r="D57" s="188">
        <v>0</v>
      </c>
      <c r="E57" s="23" t="s">
        <v>2194</v>
      </c>
      <c r="F57" s="156"/>
      <c r="G57" s="2487"/>
      <c r="H57" s="2491"/>
      <c r="I57" s="2491"/>
      <c r="J57" s="3182">
        <f>IF(AND(J55="",J56=""),4,IF(项目基本情况!K6="上海银行",结果表!J56+1,结果表!J55+1))</f>
        <v>4</v>
      </c>
      <c r="K57" s="3182" t="s">
        <v>2221</v>
      </c>
      <c r="L57" s="2492" t="s">
        <v>2222</v>
      </c>
      <c r="M57" s="1760"/>
      <c r="N57" s="1761">
        <f ca="1">SUMIF(M52:M56,"&lt;9e307")</f>
        <v>15242</v>
      </c>
      <c r="O57" s="2493"/>
      <c r="P57" s="1754" t="e">
        <f ca="1">N57/M49</f>
        <v>#VALUE!</v>
      </c>
    </row>
    <row r="58" spans="1:35" ht="24.75" hidden="1">
      <c r="A58" s="184" t="s">
        <v>2203</v>
      </c>
      <c r="B58" s="3213" t="s">
        <v>2223</v>
      </c>
      <c r="C58" s="3226"/>
      <c r="D58" s="186">
        <f ca="1">IF(H58="转让取得",C81,C97)</f>
        <v>15229</v>
      </c>
      <c r="E58" s="11" t="s">
        <v>2218</v>
      </c>
      <c r="F58" s="24" t="s">
        <v>34</v>
      </c>
      <c r="G58" s="2487"/>
      <c r="H58" s="2490" t="s">
        <v>2224</v>
      </c>
      <c r="I58" s="2491"/>
      <c r="J58" s="3182"/>
      <c r="K58" s="3182"/>
      <c r="L58" s="2492" t="s">
        <v>2225</v>
      </c>
      <c r="M58" s="1762"/>
      <c r="N58" s="2494" t="str">
        <f ca="1">NUMBERSTRING(INT(N57*10000),2)&amp;"元整"</f>
        <v>壹亿伍仟贰佰肆拾贰万元整</v>
      </c>
      <c r="O58" s="2495"/>
    </row>
    <row r="59" spans="1:35" ht="24.75" hidden="1" thickBot="1">
      <c r="A59" s="3186" t="s">
        <v>2226</v>
      </c>
      <c r="B59" s="3187"/>
      <c r="C59" s="3187"/>
      <c r="D59" s="189" t="str">
        <f>IF(H59="非个人房产","——",IF(H59="个人住宅",0,ROUND(D45*I59,0)))</f>
        <v>——</v>
      </c>
      <c r="E59" s="190" t="str">
        <f>IF(H59="非个人房产","——","销售额×税（费）率")</f>
        <v>——</v>
      </c>
      <c r="F59" s="191" t="str">
        <f>IF(H59="非个人房产","——",IF(H59="个人住宅","免征",I59))</f>
        <v>——</v>
      </c>
      <c r="G59" s="2496" t="s">
        <v>2219</v>
      </c>
      <c r="H59" s="2490" t="s">
        <v>2227</v>
      </c>
      <c r="I59" s="192">
        <v>0.01</v>
      </c>
      <c r="J59" s="3184">
        <f>J57+1</f>
        <v>5</v>
      </c>
      <c r="K59" s="3182" t="s">
        <v>2228</v>
      </c>
      <c r="L59" s="1813" t="s">
        <v>2222</v>
      </c>
      <c r="M59" s="1763"/>
      <c r="N59" s="1764" t="e">
        <f ca="1">M49-N57</f>
        <v>#VALUE!</v>
      </c>
      <c r="O59" s="2497"/>
    </row>
    <row r="60" spans="1:35" ht="12" hidden="1" customHeight="1">
      <c r="A60" s="2498"/>
      <c r="B60" s="2420"/>
      <c r="C60" s="2420"/>
      <c r="D60" s="2420"/>
      <c r="E60" s="2168"/>
      <c r="F60" s="2491"/>
      <c r="G60" s="2491"/>
      <c r="H60" s="2499"/>
      <c r="I60" s="138"/>
      <c r="J60" s="3185"/>
      <c r="K60" s="3182"/>
      <c r="L60" s="2492" t="s">
        <v>2225</v>
      </c>
      <c r="M60" s="1762"/>
      <c r="N60" s="2494" t="e">
        <f ca="1">NUMBERSTRING(INT(N59*10000),2)&amp;"元整"</f>
        <v>#VALUE!</v>
      </c>
      <c r="O60" s="2495"/>
    </row>
    <row r="61" spans="1:35" ht="13.5" hidden="1" thickBot="1">
      <c r="A61" s="3245" t="s">
        <v>2229</v>
      </c>
      <c r="B61" s="3245"/>
      <c r="C61" s="3245"/>
      <c r="D61" s="3245"/>
      <c r="E61" s="3245"/>
      <c r="F61" s="2491"/>
      <c r="G61" s="2491"/>
      <c r="H61" s="2499"/>
      <c r="I61" s="138"/>
      <c r="J61" s="1813">
        <f>J59+1</f>
        <v>6</v>
      </c>
      <c r="K61" s="3182" t="s">
        <v>2230</v>
      </c>
      <c r="L61" s="3182"/>
      <c r="M61" s="1765"/>
      <c r="N61" s="1766" t="e">
        <f ca="1">ROUND(N59*10000/'数据-汇总表'!E3,0)</f>
        <v>#VALUE!</v>
      </c>
      <c r="O61" s="2500"/>
    </row>
    <row r="62" spans="1:35" ht="12.75" hidden="1">
      <c r="A62" s="3202" t="s">
        <v>2231</v>
      </c>
      <c r="B62" s="3203"/>
      <c r="C62" s="1805"/>
      <c r="D62" s="1805" t="s">
        <v>2232</v>
      </c>
      <c r="E62" s="193" t="s">
        <v>2233</v>
      </c>
      <c r="F62" s="2491"/>
      <c r="G62" s="2491"/>
      <c r="H62" s="2499"/>
      <c r="I62" s="138"/>
    </row>
    <row r="63" spans="1:35" ht="12.75" hidden="1">
      <c r="A63" s="204" t="s">
        <v>775</v>
      </c>
      <c r="B63" s="194" t="s">
        <v>2234</v>
      </c>
      <c r="C63" s="195">
        <f ca="1">ROUND((C64+C65)/(1+'数据-取费表'!C42),0)</f>
        <v>25626</v>
      </c>
      <c r="D63" s="196"/>
      <c r="E63" s="197"/>
      <c r="F63" s="2491"/>
      <c r="G63" s="2491"/>
      <c r="H63" s="2499"/>
      <c r="I63" s="138"/>
      <c r="J63" s="3167" t="s">
        <v>2235</v>
      </c>
      <c r="K63" s="2501" t="s">
        <v>2236</v>
      </c>
      <c r="L63" s="1753" t="e">
        <f>IF(M49&gt;10000,M49*0.5%,IF(AND(M49&gt;1000,M49&lt;=10000),M49*1%,IF(AND(M49&gt;100,M49&lt;=1000),M49*3%,IF(AND(M49&gt;10,M49&lt;=100),M49*5%,M49*8%))))</f>
        <v>#VALUE!</v>
      </c>
      <c r="M63" s="24" t="e">
        <f>ROUND(L63,1)</f>
        <v>#VALUE!</v>
      </c>
      <c r="Z63" s="2425"/>
      <c r="AI63" s="2426"/>
    </row>
    <row r="64" spans="1:35" ht="14.25" hidden="1" customHeight="1">
      <c r="A64" s="198" t="s">
        <v>770</v>
      </c>
      <c r="B64" s="199" t="s">
        <v>2237</v>
      </c>
      <c r="C64" s="200">
        <f ca="1">D45</f>
        <v>26907</v>
      </c>
      <c r="D64" s="201" t="s">
        <v>32</v>
      </c>
      <c r="E64" s="202"/>
      <c r="F64" s="2491"/>
      <c r="G64" s="2491"/>
      <c r="H64" s="2499"/>
      <c r="I64" s="138"/>
      <c r="J64" s="3167"/>
      <c r="K64" s="2501" t="s">
        <v>2238</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2239</v>
      </c>
      <c r="Z64" s="2425"/>
      <c r="AI64" s="2426"/>
    </row>
    <row r="65" spans="1:35" ht="14.25" hidden="1" customHeight="1">
      <c r="A65" s="198" t="s">
        <v>771</v>
      </c>
      <c r="B65" s="199" t="s">
        <v>2240</v>
      </c>
      <c r="C65" s="203"/>
      <c r="D65" s="201"/>
      <c r="E65" s="202"/>
      <c r="F65" s="2491"/>
      <c r="G65" s="2491"/>
      <c r="H65" s="2499"/>
      <c r="I65" s="138"/>
      <c r="J65" s="3167"/>
      <c r="K65" s="2501" t="s">
        <v>2241</v>
      </c>
      <c r="L65" s="1753" t="e">
        <f>IF(M49&gt;1000,M49*0.1%,IF(AND(M49&gt;500,M49&lt;=1000),M49*0.5%,IF(AND(M49&gt;50,M49&lt;=500),M49*1%,IF(AND(M49&gt;1,M49&lt;=50),M49*1.5%))))</f>
        <v>#VALUE!</v>
      </c>
      <c r="M65" s="24" t="e">
        <f t="shared" si="1"/>
        <v>#VALUE!</v>
      </c>
      <c r="N65" s="138" t="s">
        <v>2239</v>
      </c>
      <c r="Z65" s="2425"/>
      <c r="AI65" s="2426"/>
    </row>
    <row r="66" spans="1:35" ht="14.25" hidden="1" customHeight="1">
      <c r="A66" s="204" t="s">
        <v>772</v>
      </c>
      <c r="B66" s="205" t="s">
        <v>2242</v>
      </c>
      <c r="C66" s="206"/>
      <c r="D66" s="207" t="s">
        <v>32</v>
      </c>
      <c r="E66" s="1777" t="s">
        <v>1372</v>
      </c>
      <c r="F66" s="2491"/>
      <c r="G66" s="2491"/>
      <c r="H66" s="2499"/>
      <c r="I66" s="138"/>
      <c r="J66" s="3167"/>
      <c r="K66" s="2501" t="s">
        <v>2243</v>
      </c>
      <c r="L66" s="1753" t="e">
        <f>M49*0.5%</f>
        <v>#VALUE!</v>
      </c>
      <c r="M66" s="24" t="e">
        <f>IF(L66&gt;0.5,0.5,ROUND(L66,0))</f>
        <v>#VALUE!</v>
      </c>
      <c r="N66" s="138" t="s">
        <v>2244</v>
      </c>
      <c r="Z66" s="2425"/>
      <c r="AI66" s="2426"/>
    </row>
    <row r="67" spans="1:35" ht="14.25" hidden="1" customHeight="1">
      <c r="A67" s="204" t="s">
        <v>773</v>
      </c>
      <c r="B67" s="205" t="s">
        <v>2245</v>
      </c>
      <c r="C67" s="208">
        <f ca="1">C63-C66</f>
        <v>25626</v>
      </c>
      <c r="D67" s="201" t="s">
        <v>32</v>
      </c>
      <c r="E67" s="202"/>
      <c r="F67" s="2491"/>
      <c r="G67" s="2491"/>
      <c r="H67" s="2499"/>
      <c r="I67" s="138"/>
      <c r="J67" s="3167"/>
      <c r="K67" s="2501" t="s">
        <v>2246</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hidden="1" customHeight="1" thickBot="1">
      <c r="A68" s="209" t="s">
        <v>774</v>
      </c>
      <c r="B68" s="210" t="s">
        <v>2247</v>
      </c>
      <c r="C68" s="211">
        <f ca="1">IF(C67&lt;=0,0,ROUND(C67*D68,0))</f>
        <v>1435</v>
      </c>
      <c r="D68" s="212">
        <f>'数据-取费表'!B41</f>
        <v>5.6000000000000001E-2</v>
      </c>
      <c r="E68" s="213"/>
      <c r="F68" s="2491"/>
      <c r="G68" s="2491"/>
      <c r="H68" s="2499"/>
      <c r="I68" s="138"/>
      <c r="J68" s="3167"/>
      <c r="K68" s="2501" t="s">
        <v>2248</v>
      </c>
      <c r="L68" s="1753" t="e">
        <f>IF(M49&gt;10000,M49*0.5%,IF(AND(M49&gt;5000,M49&lt;=10000),M49*1%,IF(AND(M49&gt;1000,M49&lt;=5000),M49*2%,IF(AND(M49&gt;200,M49&lt;=1000),M49*3%,M49*5%))))</f>
        <v>#VALUE!</v>
      </c>
      <c r="M68" s="24" t="e">
        <f>ROUND(L68,1)</f>
        <v>#VALUE!</v>
      </c>
      <c r="Z68" s="2425"/>
      <c r="AI68" s="2426"/>
    </row>
    <row r="69" spans="1:35" s="2448" customFormat="1" ht="16.5" hidden="1" customHeight="1">
      <c r="A69" s="2502"/>
      <c r="B69" s="2503"/>
      <c r="C69" s="2504"/>
      <c r="D69" s="2505"/>
      <c r="E69" s="2506"/>
      <c r="F69" s="2168"/>
      <c r="G69" s="2168"/>
      <c r="H69" s="2167"/>
      <c r="I69" s="2420"/>
      <c r="J69" s="3167"/>
      <c r="K69" s="2501" t="s">
        <v>2249</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211" t="s">
        <v>2250</v>
      </c>
      <c r="B70" s="3212"/>
      <c r="C70" s="3212"/>
      <c r="D70" s="3212"/>
      <c r="E70" s="3212"/>
      <c r="F70" s="3212"/>
      <c r="G70" s="3212"/>
      <c r="H70" s="321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202" t="s">
        <v>2231</v>
      </c>
      <c r="B71" s="3203"/>
      <c r="C71" s="1805"/>
      <c r="D71" s="1805" t="s">
        <v>2232</v>
      </c>
      <c r="E71" s="214" t="s">
        <v>2233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4" t="s">
        <v>775</v>
      </c>
      <c r="B72" s="205" t="s">
        <v>2251</v>
      </c>
      <c r="C72" s="208">
        <f ca="1">ROUND(D45/(1+'数据-取费表'!C42),0)</f>
        <v>25626</v>
      </c>
      <c r="D72" s="201" t="s">
        <v>32</v>
      </c>
      <c r="E72" s="1804"/>
      <c r="F72" s="1798"/>
      <c r="G72" s="1798"/>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4" t="s">
        <v>772</v>
      </c>
      <c r="B73" s="174" t="s">
        <v>2252</v>
      </c>
      <c r="C73" s="208">
        <f ca="1">C74+C78</f>
        <v>154</v>
      </c>
      <c r="D73" s="201" t="s">
        <v>32</v>
      </c>
      <c r="E73" s="1804"/>
      <c r="F73" s="1798"/>
      <c r="G73" s="1798"/>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8" t="s">
        <v>770</v>
      </c>
      <c r="B74" s="199" t="s">
        <v>2253</v>
      </c>
      <c r="C74" s="201">
        <f>ROUND(IF(G77="2016年5月1日后购买",C75/(1+'数据-取费表'!C42)+C76+C77,C75+C76+C77),0)</f>
        <v>0</v>
      </c>
      <c r="D74" s="201" t="s">
        <v>32</v>
      </c>
      <c r="E74" s="1804"/>
      <c r="F74" s="1798"/>
      <c r="G74" s="1798"/>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8" t="s">
        <v>776</v>
      </c>
      <c r="B75" s="199" t="s">
        <v>2254</v>
      </c>
      <c r="C75" s="219"/>
      <c r="D75" s="201" t="s">
        <v>32</v>
      </c>
      <c r="E75" s="220" t="s">
        <v>2255</v>
      </c>
      <c r="F75" s="2513" t="s">
        <v>2256</v>
      </c>
      <c r="G75" s="220" t="s">
        <v>2257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8" t="s">
        <v>777</v>
      </c>
      <c r="B76" s="222" t="s">
        <v>2258</v>
      </c>
      <c r="C76" s="201">
        <f>IF(F75="购房发票",ROUND(C75*H75*D76,0),0)</f>
        <v>0</v>
      </c>
      <c r="D76" s="223">
        <v>0.05</v>
      </c>
      <c r="E76" s="3208" t="s">
        <v>2259</v>
      </c>
      <c r="F76" s="3207"/>
      <c r="G76" s="3207"/>
      <c r="H76" s="321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8" t="s">
        <v>778</v>
      </c>
      <c r="B77" s="199" t="s">
        <v>2260</v>
      </c>
      <c r="C77" s="201">
        <f>ROUND(IF(G77="个人住宅",0,IF(G77="2016年5月1日前购买",C75*D77,C75*D77/(1+'数据-取费表'!C42))),0)</f>
        <v>0</v>
      </c>
      <c r="D77" s="224">
        <f>'数据-取费表'!B48+'数据-取费表'!B49</f>
        <v>3.0499999999999999E-2</v>
      </c>
      <c r="E77" s="15" t="s">
        <v>2261</v>
      </c>
      <c r="F77" s="225"/>
      <c r="G77" s="2515" t="s">
        <v>2262</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8" t="s">
        <v>771</v>
      </c>
      <c r="B78" s="199" t="s">
        <v>2263</v>
      </c>
      <c r="C78" s="226">
        <f ca="1">ROUND(D45*D78/(1+'数据-取费表'!C42),0)</f>
        <v>154</v>
      </c>
      <c r="D78" s="227">
        <f>'数据-取费表'!B43</f>
        <v>6.000000000000001E-3</v>
      </c>
      <c r="E78" s="3199" t="s">
        <v>2264</v>
      </c>
      <c r="F78" s="3200"/>
      <c r="G78" s="3200"/>
      <c r="H78" s="320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5" t="s">
        <v>2265</v>
      </c>
      <c r="C79" s="208">
        <f ca="1">C72-C73</f>
        <v>25472</v>
      </c>
      <c r="D79" s="201" t="s">
        <v>32</v>
      </c>
      <c r="E79" s="1804"/>
      <c r="F79" s="1798"/>
      <c r="G79" s="1798"/>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5" t="s">
        <v>2266</v>
      </c>
      <c r="C80" s="228">
        <f ca="1">IF(C79&lt;=0,0,C79/C73)</f>
        <v>165.40259740259739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10" t="s">
        <v>2267</v>
      </c>
      <c r="C81" s="229">
        <f ca="1">ROUND(IF(C79&lt;=0,0,IF(C80&gt;=200%,C79*60%-C73*35%,IF(C80&gt;=100%,C79*50%-C73*15%,IF(C80&gt;=50%,C79*40%-C73*5%,IF(C80&lt;50%,C79*30%,0))))),0)</f>
        <v>15229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211" t="s">
        <v>2268</v>
      </c>
      <c r="B83" s="3212"/>
      <c r="C83" s="3212"/>
      <c r="D83" s="3212"/>
      <c r="E83" s="3212"/>
      <c r="F83" s="3212"/>
      <c r="G83" s="3212"/>
      <c r="H83" s="321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202" t="s">
        <v>2231</v>
      </c>
      <c r="B84" s="3203"/>
      <c r="C84" s="1805"/>
      <c r="D84" s="1805" t="s">
        <v>2232</v>
      </c>
      <c r="E84" s="214" t="s">
        <v>2233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4" t="s">
        <v>775</v>
      </c>
      <c r="B85" s="205" t="s">
        <v>2251</v>
      </c>
      <c r="C85" s="208">
        <f ca="1">ROUND(D45/(1+'数据-取费表'!C42),0)</f>
        <v>25626</v>
      </c>
      <c r="D85" s="201" t="s">
        <v>32</v>
      </c>
      <c r="E85" s="1804"/>
      <c r="F85" s="1798"/>
      <c r="G85" s="1798"/>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4" t="s">
        <v>772</v>
      </c>
      <c r="B86" s="174" t="s">
        <v>2252</v>
      </c>
      <c r="C86" s="208">
        <f ca="1">IF(H88="仅含出让金",C87+C90+C91+C92+C93+C94,C87+C91+C92+C93+C94)</f>
        <v>154</v>
      </c>
      <c r="D86" s="236"/>
      <c r="E86" s="1804"/>
      <c r="F86" s="1798"/>
      <c r="G86" s="1798"/>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8" t="s">
        <v>770</v>
      </c>
      <c r="B87" s="199" t="s">
        <v>2269</v>
      </c>
      <c r="C87" s="226">
        <f>C88+C89</f>
        <v>0</v>
      </c>
      <c r="D87" s="227"/>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8" t="s">
        <v>776</v>
      </c>
      <c r="B88" s="199" t="s">
        <v>2270</v>
      </c>
      <c r="C88" s="237"/>
      <c r="D88" s="227"/>
      <c r="E88" s="238" t="s">
        <v>2271</v>
      </c>
      <c r="F88" s="1801"/>
      <c r="G88" s="239" t="s">
        <v>2272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8" t="s">
        <v>777</v>
      </c>
      <c r="B89" s="199" t="s">
        <v>2260</v>
      </c>
      <c r="C89" s="226">
        <f>ROUND(C88*D89,0)</f>
        <v>0</v>
      </c>
      <c r="D89" s="227">
        <f>'数据-取费表'!B48+'数据-取费表'!B49</f>
        <v>3.0499999999999999E-2</v>
      </c>
      <c r="E89" s="238" t="s">
        <v>2273</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8" t="s">
        <v>771</v>
      </c>
      <c r="B90" s="199" t="s">
        <v>2274</v>
      </c>
      <c r="C90" s="237"/>
      <c r="D90" s="227"/>
      <c r="E90" s="238"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8" t="s">
        <v>2275</v>
      </c>
      <c r="B91" s="199" t="s">
        <v>2276</v>
      </c>
      <c r="C91" s="226">
        <f>IF(H91="——",成本法!C33,I91)</f>
        <v>0</v>
      </c>
      <c r="D91" s="227"/>
      <c r="E91" s="3199" t="s">
        <v>2277</v>
      </c>
      <c r="F91" s="3200"/>
      <c r="G91" s="3200"/>
      <c r="H91" s="2520" t="s">
        <v>2278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8" t="s">
        <v>2279</v>
      </c>
      <c r="B92" s="199" t="s">
        <v>2280</v>
      </c>
      <c r="C92" s="226">
        <f>ROUND((C87+C90+C91)*D92,0)</f>
        <v>0</v>
      </c>
      <c r="D92" s="227">
        <v>0.1</v>
      </c>
      <c r="E92" s="3199" t="s">
        <v>2281</v>
      </c>
      <c r="F92" s="3200"/>
      <c r="G92" s="3200"/>
      <c r="H92" s="320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8" t="s">
        <v>2282</v>
      </c>
      <c r="B93" s="199" t="s">
        <v>2263</v>
      </c>
      <c r="C93" s="226">
        <f ca="1">ROUND(D45*D93/(1+'数据-取费表'!C42),0)</f>
        <v>154</v>
      </c>
      <c r="D93" s="227">
        <f>'数据-取费表'!B43</f>
        <v>6.000000000000001E-3</v>
      </c>
      <c r="E93" s="3199" t="s">
        <v>2264</v>
      </c>
      <c r="F93" s="3200"/>
      <c r="G93" s="3200"/>
      <c r="H93" s="320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8" t="s">
        <v>2283</v>
      </c>
      <c r="B94" s="199" t="s">
        <v>2284</v>
      </c>
      <c r="C94" s="237">
        <f>ROUND((C87+C90+C91)*D94,0)</f>
        <v>0</v>
      </c>
      <c r="D94" s="227">
        <v>0.2</v>
      </c>
      <c r="E94" s="3247" t="s">
        <v>2285</v>
      </c>
      <c r="F94" s="3248"/>
      <c r="G94" s="3248"/>
      <c r="H94" s="324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5" t="s">
        <v>2265</v>
      </c>
      <c r="C95" s="208">
        <f ca="1">ROUND(C85-C86,0)</f>
        <v>25472</v>
      </c>
      <c r="D95" s="201" t="s">
        <v>32</v>
      </c>
      <c r="E95" s="1804"/>
      <c r="F95" s="1798"/>
      <c r="G95" s="1798"/>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5" t="s">
        <v>2266</v>
      </c>
      <c r="C96" s="228">
        <f ca="1">IF(C95&lt;=0,0,C95/C86)</f>
        <v>165.40259740259739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10" t="s">
        <v>2267</v>
      </c>
      <c r="C97" s="229">
        <f ca="1">ROUND(IF(C95&lt;=0,0,IF(C96&gt;=200%,C95*60%-C86*35%,IF(C96&gt;=100%,C95*50%-C86*15%,IF(C96&gt;=50%,C95*40%-C86*5%,IF(C96&lt;50%,C95*30%,0))))),0)</f>
        <v>15229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8"/>
      <c r="F98" s="2168"/>
      <c r="G98" s="2168"/>
      <c r="H98" s="2167"/>
      <c r="I98" s="138"/>
    </row>
    <row r="99" spans="1:35" ht="21.75" hidden="1" customHeight="1" thickBot="1">
      <c r="A99" s="2476" t="s">
        <v>2286</v>
      </c>
      <c r="B99" s="2420"/>
      <c r="C99" s="2420"/>
      <c r="D99" s="2420"/>
      <c r="E99" s="2168"/>
      <c r="F99" s="2168"/>
      <c r="G99" s="2168"/>
      <c r="H99" s="2167"/>
      <c r="I99" s="138"/>
    </row>
    <row r="100" spans="1:35" ht="18.75" customHeight="1">
      <c r="A100" s="3151" t="s">
        <v>2287</v>
      </c>
      <c r="B100" s="3152"/>
      <c r="C100" s="3152"/>
      <c r="D100" s="3183"/>
      <c r="E100" s="3152" t="s">
        <v>2288</v>
      </c>
      <c r="F100" s="3152"/>
      <c r="G100" s="3152"/>
      <c r="H100" s="3183"/>
      <c r="I100" s="138"/>
    </row>
    <row r="101" spans="1:35" ht="18.75" customHeight="1">
      <c r="A101" s="3191" t="s">
        <v>2289</v>
      </c>
      <c r="B101" s="3192"/>
      <c r="C101" s="736" t="str">
        <f>C4</f>
        <v>典型户型修正</v>
      </c>
      <c r="D101" s="737" t="str">
        <f>D4</f>
        <v>收益法 (元)</v>
      </c>
      <c r="E101" s="3163" t="s">
        <v>2290</v>
      </c>
      <c r="F101" s="3164"/>
      <c r="G101" s="2522" t="s">
        <v>2291</v>
      </c>
      <c r="H101" s="1048">
        <f ca="1">H118</f>
        <v>26907</v>
      </c>
      <c r="I101" s="138"/>
    </row>
    <row r="102" spans="1:35" ht="18.75" customHeight="1">
      <c r="A102" s="3193" t="s">
        <v>2292</v>
      </c>
      <c r="B102" s="2522" t="s">
        <v>2291</v>
      </c>
      <c r="C102" s="736">
        <f ca="1">C19</f>
        <v>27443</v>
      </c>
      <c r="D102" s="737">
        <f ca="1">D19</f>
        <v>26371</v>
      </c>
      <c r="E102" s="3163"/>
      <c r="F102" s="3164"/>
      <c r="G102" s="2522" t="s">
        <v>2293</v>
      </c>
      <c r="H102" s="372">
        <f ca="1">I118</f>
        <v>38656</v>
      </c>
      <c r="I102" s="138"/>
    </row>
    <row r="103" spans="1:35" ht="42.75" customHeight="1">
      <c r="A103" s="3193"/>
      <c r="B103" s="2522" t="s">
        <v>2293</v>
      </c>
      <c r="C103" s="738">
        <f ca="1">C20</f>
        <v>39426</v>
      </c>
      <c r="D103" s="739">
        <f ca="1">D20</f>
        <v>37886</v>
      </c>
      <c r="E103" s="3157" t="s">
        <v>2294</v>
      </c>
      <c r="F103" s="3158"/>
      <c r="G103" s="2523" t="s">
        <v>2295</v>
      </c>
      <c r="H103" s="1048">
        <f>IF(D36="正常操作",H104+H105+H106,H105+H106)</f>
        <v>0</v>
      </c>
      <c r="I103" s="138"/>
    </row>
    <row r="104" spans="1:35" ht="18.75" customHeight="1">
      <c r="A104" s="3193" t="s">
        <v>2296</v>
      </c>
      <c r="B104" s="2524" t="s">
        <v>2291</v>
      </c>
      <c r="C104" s="740">
        <f ca="1">H118</f>
        <v>26907</v>
      </c>
      <c r="D104" s="741"/>
      <c r="E104" s="2269" t="s">
        <v>2297</v>
      </c>
      <c r="F104" s="2260"/>
      <c r="G104" s="2523" t="s">
        <v>2295</v>
      </c>
      <c r="H104" s="1049">
        <f>IF(D36="同一抵押权人同一抵押物续贷",C36&amp;"（未扣减，详见特别提示）",C36)</f>
        <v>0</v>
      </c>
      <c r="I104" s="138"/>
    </row>
    <row r="105" spans="1:35" ht="18.75" customHeight="1" thickBot="1">
      <c r="A105" s="3205"/>
      <c r="B105" s="2525" t="s">
        <v>2293</v>
      </c>
      <c r="C105" s="742">
        <f ca="1">I118</f>
        <v>38656</v>
      </c>
      <c r="D105" s="743"/>
      <c r="E105" s="2269" t="s">
        <v>2298</v>
      </c>
      <c r="F105" s="2260"/>
      <c r="G105" s="2523" t="s">
        <v>2295</v>
      </c>
      <c r="H105" s="1049">
        <f>C37</f>
        <v>0</v>
      </c>
      <c r="I105" s="138"/>
    </row>
    <row r="106" spans="1:35" ht="18.75" customHeight="1">
      <c r="A106" s="2420" t="s">
        <v>2299</v>
      </c>
      <c r="B106" s="2420"/>
      <c r="C106" s="2420"/>
      <c r="D106" s="2420"/>
      <c r="E106" s="2526" t="s">
        <v>2300</v>
      </c>
      <c r="F106" s="2260"/>
      <c r="G106" s="2523" t="s">
        <v>2295</v>
      </c>
      <c r="H106" s="1049">
        <f>C38</f>
        <v>0</v>
      </c>
      <c r="I106" s="138"/>
    </row>
    <row r="107" spans="1:35" ht="18.75" customHeight="1">
      <c r="A107" s="138"/>
      <c r="B107" s="138"/>
      <c r="C107" s="138"/>
      <c r="D107" s="138"/>
      <c r="E107" s="3194" t="str">
        <f>IF(项目基本情况!E8="已注销","——","3.房地产抵押价值")</f>
        <v>3.房地产抵押价值</v>
      </c>
      <c r="F107" s="3164"/>
      <c r="G107" s="2522" t="s">
        <v>2291</v>
      </c>
      <c r="H107" s="1048">
        <f ca="1">IF(E107="——","——",H101-H103)</f>
        <v>26907</v>
      </c>
      <c r="I107" s="138"/>
    </row>
    <row r="108" spans="1:35" ht="18.75" customHeight="1">
      <c r="A108" s="138"/>
      <c r="B108" s="138"/>
      <c r="C108" s="138"/>
      <c r="D108" s="138"/>
      <c r="E108" s="3194"/>
      <c r="F108" s="3164"/>
      <c r="G108" s="2522" t="s">
        <v>2293</v>
      </c>
      <c r="H108" s="372">
        <f ca="1">ROUND(H107*10000/'数据-汇总表'!E3,0)</f>
        <v>38656</v>
      </c>
      <c r="I108" s="138"/>
    </row>
    <row r="109" spans="1:35" ht="18.75" customHeight="1">
      <c r="A109" s="138"/>
      <c r="B109" s="138"/>
      <c r="C109" s="138"/>
      <c r="D109" s="138"/>
      <c r="E109" s="3194" t="str">
        <f>IF(项目基本情况!E8="已注销及未注销","4.抵押担保权已注销时的房地产抵押价值",IF(项目基本情况!E8="已注销","3.抵押担保权已注销时的房地产抵押价值","——"))</f>
        <v>——</v>
      </c>
      <c r="F109" s="3164"/>
      <c r="G109" s="2522" t="s">
        <v>2291</v>
      </c>
      <c r="H109" s="349" t="str">
        <f>IF(E109="——","——",H101-H105-H106)</f>
        <v>——</v>
      </c>
      <c r="I109" s="138"/>
    </row>
    <row r="110" spans="1:35" ht="18.75" customHeight="1">
      <c r="A110" s="138"/>
      <c r="B110" s="138"/>
      <c r="C110" s="138"/>
      <c r="D110" s="138"/>
      <c r="E110" s="3194"/>
      <c r="F110" s="3164"/>
      <c r="G110" s="2522" t="s">
        <v>2293</v>
      </c>
      <c r="H110" s="372" t="str">
        <f>IF(H109="——","——",ROUND(H109*10000/'数据-汇总表'!E3,0))</f>
        <v>——</v>
      </c>
      <c r="I110" s="138"/>
    </row>
    <row r="111" spans="1:35" ht="18.75" customHeight="1">
      <c r="A111" s="138"/>
      <c r="B111" s="138"/>
      <c r="C111" s="138"/>
      <c r="D111" s="138"/>
      <c r="E111" s="3195" t="str">
        <f>IF(项目基本情况!E9="抵押净值",IF(OR(项目基本情况!E8="已注销",项目基本情况!E8="房地产抵押价值"),"4.抵押净值","5.抵押净值"),"——")</f>
        <v>——</v>
      </c>
      <c r="F111" s="3196"/>
      <c r="G111" s="2522" t="s">
        <v>2291</v>
      </c>
      <c r="H111" s="1048" t="str">
        <f>IF(E111="——","——",N59)</f>
        <v>——</v>
      </c>
      <c r="I111" s="138"/>
    </row>
    <row r="112" spans="1:35" ht="18.75" customHeight="1" thickBot="1">
      <c r="A112" s="138"/>
      <c r="B112" s="138"/>
      <c r="C112" s="138"/>
      <c r="D112" s="138"/>
      <c r="E112" s="3197"/>
      <c r="F112" s="3198"/>
      <c r="G112" s="2527" t="s">
        <v>2293</v>
      </c>
      <c r="H112" s="790" t="str">
        <f>IF(E111="——","——",N61)</f>
        <v>——</v>
      </c>
      <c r="I112" s="138"/>
    </row>
    <row r="113" spans="1:11" ht="18.75" customHeight="1">
      <c r="A113" s="138"/>
      <c r="B113" s="138"/>
      <c r="C113" s="138"/>
      <c r="D113" s="138"/>
      <c r="E113" s="3206" t="s">
        <v>2299</v>
      </c>
      <c r="F113" s="3206"/>
      <c r="G113" s="3206"/>
      <c r="H113" s="3206"/>
      <c r="I113" s="138"/>
    </row>
    <row r="114" spans="1:11" ht="3.75" customHeight="1">
      <c r="A114" s="2420"/>
      <c r="B114" s="2420"/>
      <c r="C114" s="2420"/>
      <c r="D114" s="2420"/>
      <c r="E114" s="2498"/>
      <c r="F114" s="2498"/>
      <c r="G114" s="2498"/>
      <c r="H114" s="2498"/>
      <c r="I114" s="2420"/>
    </row>
    <row r="115" spans="1:11" ht="18.75" customHeight="1">
      <c r="A115" s="3219" t="s">
        <v>2301</v>
      </c>
      <c r="B115" s="3220"/>
      <c r="C115" s="3220"/>
      <c r="D115" s="3220"/>
      <c r="E115" s="3220"/>
      <c r="F115" s="3220"/>
      <c r="G115" s="3220"/>
      <c r="H115" s="3220"/>
      <c r="I115" s="3221"/>
    </row>
    <row r="116" spans="1:11" ht="27" customHeight="1">
      <c r="A116" s="3130" t="s">
        <v>2302</v>
      </c>
      <c r="B116" s="3173" t="s">
        <v>2303</v>
      </c>
      <c r="C116" s="3173" t="s">
        <v>2304</v>
      </c>
      <c r="D116" s="3179" t="s">
        <v>2305</v>
      </c>
      <c r="E116" s="3180"/>
      <c r="F116" s="3215" t="s">
        <v>2306</v>
      </c>
      <c r="G116" s="3215"/>
      <c r="H116" s="3130" t="s">
        <v>2307</v>
      </c>
      <c r="I116" s="3130"/>
    </row>
    <row r="117" spans="1:11" ht="18.75" customHeight="1">
      <c r="A117" s="3130"/>
      <c r="B117" s="3174"/>
      <c r="C117" s="3174"/>
      <c r="D117" s="1799" t="s">
        <v>2308</v>
      </c>
      <c r="E117" s="1799" t="s">
        <v>2309</v>
      </c>
      <c r="F117" s="1799" t="s">
        <v>2308</v>
      </c>
      <c r="G117" s="1799" t="s">
        <v>2310</v>
      </c>
      <c r="H117" s="1799" t="s">
        <v>2308</v>
      </c>
      <c r="I117" s="1799" t="s">
        <v>2310</v>
      </c>
    </row>
    <row r="118" spans="1:11" ht="24.75" customHeight="1">
      <c r="A118" s="2528" t="str">
        <f>项目基本情况!S2</f>
        <v>北京市朝阳区东三环中路59号楼501号等21套办公用房房地产</v>
      </c>
      <c r="B118" s="1799">
        <f>M18</f>
        <v>6960.5900000000011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26907</v>
      </c>
      <c r="I118" s="1799">
        <f ca="1">ROUND(IF(D32="楼面单价",C32,H118*10000/B118),0)</f>
        <v>38656</v>
      </c>
    </row>
    <row r="119" spans="1:11" ht="18.75" customHeight="1">
      <c r="A119" s="3130" t="s">
        <v>2311</v>
      </c>
      <c r="B119" s="3130"/>
      <c r="C119" s="3130"/>
      <c r="D119" s="3175" t="e">
        <f ca="1">NUMBERSTRING(INT(D118*10000),2)&amp;"元整"</f>
        <v>#REF!</v>
      </c>
      <c r="E119" s="3176"/>
      <c r="F119" s="3175" t="e">
        <f ca="1">NUMBERSTRING(INT(F118*10000),2)&amp;"元整"</f>
        <v>#REF!</v>
      </c>
      <c r="G119" s="3176"/>
      <c r="H119" s="3175" t="str">
        <f ca="1">NUMBERSTRING(INT(H118*10000),2)&amp;"元整"</f>
        <v>贰亿陆仟玖佰零柒万元整</v>
      </c>
      <c r="I119" s="3176"/>
    </row>
    <row r="120" spans="1:11" ht="18.75" customHeight="1">
      <c r="A120" s="3170" t="str">
        <f>IF(项目基本情况!B9="房地产市场价值","",MID(E103,3,LEN(E103)-2))</f>
        <v/>
      </c>
      <c r="B120" s="3171"/>
      <c r="C120" s="3172"/>
      <c r="D120" s="3170">
        <f>H103</f>
        <v>0</v>
      </c>
      <c r="E120" s="3171"/>
      <c r="F120" s="3171"/>
      <c r="G120" s="3171"/>
      <c r="H120" s="3171"/>
      <c r="I120" s="3172"/>
      <c r="K120" s="2425" t="str">
        <f>IF(D120=0,"故，本次评估不存在"&amp;A120,"故，本次评估"&amp;A120&amp;"为人民币"&amp;D120&amp;"万元整。")</f>
        <v>故，本次评估不存在</v>
      </c>
    </row>
    <row r="121" spans="1:11" ht="18.75" customHeight="1">
      <c r="A121" s="3216" t="s">
        <v>2311</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
      </c>
      <c r="B122" s="3181"/>
      <c r="C122" s="3181"/>
      <c r="D122" s="3170">
        <f ca="1">H107</f>
        <v>26907</v>
      </c>
      <c r="E122" s="3171"/>
      <c r="F122" s="3171"/>
      <c r="G122" s="3171"/>
      <c r="H122" s="3171"/>
      <c r="I122" s="3172"/>
    </row>
    <row r="123" spans="1:11" ht="18.75" customHeight="1">
      <c r="A123" s="3130" t="s">
        <v>2311</v>
      </c>
      <c r="B123" s="3130"/>
      <c r="C123" s="3130"/>
      <c r="D123" s="3175" t="str">
        <f ca="1">NUMBERSTRING(INT(D122*10000),2)&amp;"元整"</f>
        <v>贰亿陆仟玖佰零柒万元整</v>
      </c>
      <c r="E123" s="3177"/>
      <c r="F123" s="3177"/>
      <c r="G123" s="3177"/>
      <c r="H123" s="3177"/>
      <c r="I123" s="3176"/>
    </row>
    <row r="124" spans="1:11" ht="18.75" customHeight="1">
      <c r="A124" s="3181" t="str">
        <f>IF(项目基本情况!B9="房地产市场价值","",MID(E109,3,LEN(E109)-2))</f>
        <v/>
      </c>
      <c r="B124" s="3181"/>
      <c r="C124" s="3181"/>
      <c r="D124" s="3170" t="str">
        <f>H109</f>
        <v>——</v>
      </c>
      <c r="E124" s="3171"/>
      <c r="F124" s="3171"/>
      <c r="G124" s="3171"/>
      <c r="H124" s="3171"/>
      <c r="I124" s="3172"/>
    </row>
    <row r="125" spans="1:11" ht="18.75" customHeight="1">
      <c r="A125" s="3130" t="s">
        <v>2311</v>
      </c>
      <c r="B125" s="3130"/>
      <c r="C125" s="3130"/>
      <c r="D125" s="3175" t="e">
        <f>NUMBERSTRING(INT(D124*10000),2)&amp;"元整"</f>
        <v>#VALUE!</v>
      </c>
      <c r="E125" s="3177"/>
      <c r="F125" s="3177"/>
      <c r="G125" s="3177"/>
      <c r="H125" s="3177"/>
      <c r="I125" s="3176"/>
    </row>
    <row r="126" spans="1:11" ht="18.75" customHeight="1">
      <c r="A126" s="3181" t="str">
        <f>IF(项目基本情况!B9="房地产市场价值","",MID(E111,3,LEN(E111)-2))</f>
        <v/>
      </c>
      <c r="B126" s="3181"/>
      <c r="C126" s="3181"/>
      <c r="D126" s="3170" t="str">
        <f>H111</f>
        <v>——</v>
      </c>
      <c r="E126" s="3171"/>
      <c r="F126" s="3171"/>
      <c r="G126" s="3171"/>
      <c r="H126" s="3171"/>
      <c r="I126" s="3172"/>
    </row>
    <row r="127" spans="1:11" ht="18.75" customHeight="1">
      <c r="A127" s="3130" t="s">
        <v>2311</v>
      </c>
      <c r="B127" s="3130"/>
      <c r="C127" s="3130"/>
      <c r="D127" s="3175" t="e">
        <f>NUMBERSTRING(INT(D126*10000),2)&amp;"元整"</f>
        <v>#VALUE!</v>
      </c>
      <c r="E127" s="3177"/>
      <c r="F127" s="3177"/>
      <c r="G127" s="3177"/>
      <c r="H127" s="3177"/>
      <c r="I127" s="3176"/>
    </row>
    <row r="128" spans="1:11" ht="21.75" customHeight="1">
      <c r="A128" s="3178" t="s">
        <v>2312</v>
      </c>
      <c r="B128" s="3178"/>
      <c r="C128" s="3178"/>
      <c r="D128" s="3178"/>
      <c r="E128" s="3178"/>
      <c r="F128" s="3178"/>
      <c r="G128" s="3178"/>
      <c r="H128" s="3178"/>
      <c r="I128" s="3178"/>
    </row>
    <row r="129" spans="1:35" ht="21.75" customHeight="1">
      <c r="A129" s="2529" t="s">
        <v>2313</v>
      </c>
      <c r="B129" s="2530"/>
      <c r="C129" s="2531" t="s">
        <v>2314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2315</v>
      </c>
      <c r="G135" s="2546"/>
      <c r="H135" s="2546"/>
      <c r="I135" s="2547" t="s">
        <v>2316</v>
      </c>
    </row>
    <row r="136" spans="1:35" ht="21.75" customHeight="1">
      <c r="A136" s="795"/>
      <c r="B136" s="2548"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2318</v>
      </c>
    </row>
    <row r="139" spans="1:35" ht="21.75" customHeight="1">
      <c r="A139" s="795"/>
      <c r="B139" s="2548" t="s">
        <v>2319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2318</v>
      </c>
    </row>
    <row r="142" spans="1:35" ht="21.75" customHeight="1">
      <c r="A142" s="795"/>
      <c r="B142" s="2548"/>
      <c r="C142" s="2549"/>
      <c r="D142" s="2550"/>
      <c r="E142" s="2550"/>
      <c r="F142" s="2343"/>
      <c r="G142" s="795"/>
      <c r="H142" s="795"/>
      <c r="I142" s="795"/>
    </row>
    <row r="143" spans="1:35" s="139" customFormat="1" ht="21.75" customHeight="1">
      <c r="A143" s="795"/>
      <c r="B143" s="2548"/>
      <c r="C143" s="2549"/>
      <c r="D143" s="2550"/>
      <c r="E143" s="2550"/>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2320</v>
      </c>
      <c r="B1" s="1941"/>
      <c r="C1" s="243"/>
      <c r="D1" s="243"/>
      <c r="E1" s="243"/>
      <c r="F1" s="243"/>
      <c r="G1" s="1382">
        <f>MATCH(B1,'数据-取费表'!A6:A16,0)+5</f>
        <v>7</v>
      </c>
    </row>
    <row r="2" spans="1:9" s="245" customFormat="1" ht="18" customHeight="1">
      <c r="A2" s="246" t="s">
        <v>2321</v>
      </c>
      <c r="B2" s="247">
        <f ca="1">IF(D2="——",C52,C52-E2)</f>
        <v>2875</v>
      </c>
      <c r="C2" s="244" t="s">
        <v>2322</v>
      </c>
      <c r="D2" s="2551" t="s">
        <v>70</v>
      </c>
      <c r="E2" s="1443" t="e">
        <f ca="1">SUMIF(INDIRECT("'"&amp;G2&amp;"'"&amp;"!A:A"),"承租人权益价值",INDIRECT("'"&amp;G2&amp;"'"&amp;"!c:c"))</f>
        <v>#REF!</v>
      </c>
      <c r="F2" s="2552" t="s">
        <v>2322</v>
      </c>
      <c r="G2" s="2553"/>
    </row>
    <row r="3" spans="1:9" s="245" customFormat="1" ht="18" customHeight="1" thickBot="1">
      <c r="A3" s="248" t="s">
        <v>2323</v>
      </c>
      <c r="B3" s="249">
        <f ca="1">ROUND(B2*10000/(IF(B1="",'数据-汇总表'!E3,INDIRECT("'数据-取费表'!k"&amp;$G$1))),0)</f>
        <v>4130</v>
      </c>
      <c r="C3" s="244" t="s">
        <v>2324</v>
      </c>
      <c r="D3" s="244"/>
      <c r="E3" s="244"/>
      <c r="F3" s="244"/>
      <c r="G3" s="244"/>
    </row>
    <row r="4" spans="1:9" s="253" customFormat="1" ht="15.75">
      <c r="A4" s="250" t="s">
        <v>2325</v>
      </c>
      <c r="B4" s="251"/>
      <c r="C4" s="251"/>
      <c r="D4" s="251"/>
      <c r="E4" s="251"/>
      <c r="F4" s="251"/>
      <c r="G4" s="252"/>
    </row>
    <row r="5" spans="1:9" s="259" customFormat="1" ht="13.5" customHeight="1">
      <c r="A5" s="300" t="s">
        <v>2326</v>
      </c>
      <c r="B5" s="255" t="s">
        <v>2327</v>
      </c>
      <c r="C5" s="256">
        <f>C6+C7+C8</f>
        <v>0</v>
      </c>
      <c r="D5" s="256" t="s">
        <v>2328</v>
      </c>
      <c r="E5" s="257" t="s">
        <v>2329</v>
      </c>
      <c r="F5" s="257" t="s">
        <v>2330</v>
      </c>
      <c r="G5" s="258"/>
    </row>
    <row r="6" spans="1:9" s="259" customFormat="1" ht="13.5" customHeight="1">
      <c r="A6" s="952" t="s">
        <v>2331</v>
      </c>
      <c r="B6" s="260" t="s">
        <v>2332</v>
      </c>
      <c r="C6" s="261"/>
      <c r="D6" s="262"/>
      <c r="E6" s="263"/>
      <c r="F6" s="263"/>
      <c r="G6" s="264"/>
    </row>
    <row r="7" spans="1:9" s="259" customFormat="1" ht="13.5" customHeight="1">
      <c r="A7" s="952" t="s">
        <v>2333</v>
      </c>
      <c r="B7" s="260" t="s">
        <v>2334</v>
      </c>
      <c r="C7" s="265">
        <f>ROUND(C6*F7,0)</f>
        <v>0</v>
      </c>
      <c r="D7" s="265"/>
      <c r="E7" s="263"/>
      <c r="F7" s="266">
        <f>'数据-取费表'!B48+'数据-取费表'!B49</f>
        <v>3.0499999999999999E-2</v>
      </c>
      <c r="G7" s="264"/>
    </row>
    <row r="8" spans="1:9" s="268" customFormat="1">
      <c r="A8" s="952" t="s">
        <v>2335</v>
      </c>
      <c r="B8" s="260" t="s">
        <v>2336</v>
      </c>
      <c r="C8" s="265">
        <f>IF(G8="已包含在土地购买价格中","0",IF(B1="",'数据-取费表'!B29,IF(G9="全部缴纳",C9+C10,H9)))</f>
        <v>0</v>
      </c>
      <c r="D8" s="267"/>
      <c r="E8" s="265"/>
      <c r="F8" s="266"/>
      <c r="G8" s="2554"/>
    </row>
    <row r="9" spans="1:9" s="259" customFormat="1" ht="13.5" customHeight="1">
      <c r="A9" s="953" t="s">
        <v>800</v>
      </c>
      <c r="B9" s="269" t="s">
        <v>2337</v>
      </c>
      <c r="C9" s="270">
        <f ca="1">ROUND(D9*E9/10000,0)</f>
        <v>0</v>
      </c>
      <c r="D9" s="1035">
        <f ca="1">IF(B1="",'数据-汇总表'!E5,IF(INDIRECT("'数据-取费表'!c"&amp;$G$1)="住宅",INDIRECT("'数据-取费表'!k"&amp;$G$1),0))</f>
        <v>0</v>
      </c>
      <c r="E9" s="270">
        <f>'数据-取费表'!B27</f>
        <v>0</v>
      </c>
      <c r="F9" s="266"/>
      <c r="G9" s="2555"/>
      <c r="H9" s="1393"/>
      <c r="I9" s="2556" t="s">
        <v>2338</v>
      </c>
    </row>
    <row r="10" spans="1:9" s="259" customFormat="1" ht="13.5" customHeight="1">
      <c r="A10" s="953" t="s">
        <v>801</v>
      </c>
      <c r="B10" s="269" t="s">
        <v>2339</v>
      </c>
      <c r="C10" s="270">
        <f ca="1">ROUND(D10*E10/10000,0)</f>
        <v>0</v>
      </c>
      <c r="D10" s="1035">
        <f ca="1">IF(B1="",'数据-汇总表'!E6,IF(INDIRECT("'数据-取费表'!c"&amp;$G$1)="住宅",INDIRECT("'数据-取费表'!s"&amp;$G$1),INDIRECT("'数据-取费表'!k"&amp;$G$1)+INDIRECT("'数据-取费表'!s"&amp;$G$1)))</f>
        <v>6960.5900000000011</v>
      </c>
      <c r="E10" s="270">
        <f>'数据-取费表'!B28</f>
        <v>0</v>
      </c>
      <c r="F10" s="266"/>
      <c r="G10" s="271"/>
    </row>
    <row r="11" spans="1:9" s="259" customFormat="1" ht="13.5" hidden="1" customHeight="1">
      <c r="A11" s="272" t="s">
        <v>7</v>
      </c>
      <c r="B11" s="260" t="s">
        <v>2340</v>
      </c>
      <c r="C11" s="256"/>
      <c r="D11" s="1037"/>
      <c r="E11" s="263"/>
      <c r="F11" s="263"/>
      <c r="G11" s="264"/>
    </row>
    <row r="12" spans="1:9" s="259" customFormat="1" ht="13.5" hidden="1" customHeight="1">
      <c r="A12" s="272" t="s">
        <v>8</v>
      </c>
      <c r="B12" s="260" t="s">
        <v>2341</v>
      </c>
      <c r="C12" s="256">
        <v>0</v>
      </c>
      <c r="D12" s="1037"/>
      <c r="E12" s="273"/>
      <c r="F12" s="266">
        <v>3.0499999999999999E-2</v>
      </c>
      <c r="G12" s="264"/>
    </row>
    <row r="13" spans="1:9" s="259" customFormat="1" ht="13.5" hidden="1" customHeight="1">
      <c r="A13" s="272" t="s">
        <v>9</v>
      </c>
      <c r="B13" s="260" t="s">
        <v>2342</v>
      </c>
      <c r="C13" s="256"/>
      <c r="D13" s="1037"/>
      <c r="E13" s="263"/>
      <c r="F13" s="263"/>
      <c r="G13" s="264"/>
    </row>
    <row r="14" spans="1:9" s="259" customFormat="1" ht="13.5" hidden="1" customHeight="1">
      <c r="A14" s="272" t="s">
        <v>10</v>
      </c>
      <c r="B14" s="260" t="s">
        <v>2343</v>
      </c>
      <c r="C14" s="256"/>
      <c r="D14" s="1037"/>
      <c r="E14" s="263"/>
      <c r="F14" s="263"/>
      <c r="G14" s="264" t="s">
        <v>2344</v>
      </c>
    </row>
    <row r="15" spans="1:9" s="259" customFormat="1" ht="13.5" hidden="1" customHeight="1">
      <c r="A15" s="272" t="s">
        <v>11</v>
      </c>
      <c r="B15" s="260" t="s">
        <v>2345</v>
      </c>
      <c r="C15" s="265"/>
      <c r="D15" s="1037"/>
      <c r="E15" s="263"/>
      <c r="F15" s="263"/>
      <c r="G15" s="264" t="s">
        <v>2346</v>
      </c>
    </row>
    <row r="16" spans="1:9" s="259" customFormat="1" ht="13.5" hidden="1" customHeight="1">
      <c r="A16" s="272" t="s">
        <v>12</v>
      </c>
      <c r="B16" s="260" t="s">
        <v>2343</v>
      </c>
      <c r="C16" s="265"/>
      <c r="D16" s="1037"/>
      <c r="E16" s="263"/>
      <c r="F16" s="263"/>
      <c r="G16" s="264"/>
    </row>
    <row r="17" spans="1:7" s="259" customFormat="1" ht="13.5" hidden="1" customHeight="1">
      <c r="A17" s="272" t="s">
        <v>13</v>
      </c>
      <c r="B17" s="260" t="s">
        <v>2347</v>
      </c>
      <c r="C17" s="274"/>
      <c r="D17" s="1038"/>
      <c r="E17" s="274"/>
      <c r="F17" s="274"/>
      <c r="G17" s="264" t="s">
        <v>2346</v>
      </c>
    </row>
    <row r="18" spans="1:7" s="259" customFormat="1" ht="13.5" hidden="1" customHeight="1">
      <c r="A18" s="272" t="s">
        <v>14</v>
      </c>
      <c r="B18" s="260" t="s">
        <v>2348</v>
      </c>
      <c r="C18" s="265">
        <v>0</v>
      </c>
      <c r="D18" s="1037"/>
      <c r="E18" s="263"/>
      <c r="F18" s="266">
        <v>3.0499999999999999E-2</v>
      </c>
      <c r="G18" s="264" t="s">
        <v>2349</v>
      </c>
    </row>
    <row r="19" spans="1:7" s="268" customFormat="1" ht="13.5" customHeight="1">
      <c r="A19" s="300" t="s">
        <v>2350</v>
      </c>
      <c r="B19" s="255" t="s">
        <v>2351</v>
      </c>
      <c r="C19" s="256">
        <f ca="1">IF(G19="已包含在土地取得成本中","0",ROUND(D19*E19/10000,0))</f>
        <v>139</v>
      </c>
      <c r="D19" s="1039">
        <f ca="1">D9+D10</f>
        <v>6960.5900000000011</v>
      </c>
      <c r="E19" s="256">
        <f>'数据-取费表'!B31</f>
        <v>200</v>
      </c>
      <c r="F19" s="276"/>
      <c r="G19" s="2554"/>
    </row>
    <row r="20" spans="1:7" s="259" customFormat="1" ht="13.5" customHeight="1">
      <c r="A20" s="300" t="s">
        <v>2352</v>
      </c>
      <c r="B20" s="255" t="s">
        <v>2353</v>
      </c>
      <c r="C20" s="277">
        <f ca="1">ROUND((C5+C19)*F20,0)</f>
        <v>4</v>
      </c>
      <c r="D20" s="277"/>
      <c r="E20" s="277"/>
      <c r="F20" s="278">
        <f>'数据-取费表'!B37</f>
        <v>0.03</v>
      </c>
      <c r="G20" s="279" t="s">
        <v>2354</v>
      </c>
    </row>
    <row r="21" spans="1:7" s="259" customFormat="1" ht="13.5" customHeight="1">
      <c r="A21" s="300" t="s">
        <v>2355</v>
      </c>
      <c r="B21" s="255" t="s">
        <v>2356</v>
      </c>
      <c r="C21" s="280">
        <f>F21</f>
        <v>0.03</v>
      </c>
      <c r="D21" s="281" t="s">
        <v>2357</v>
      </c>
      <c r="E21" s="277"/>
      <c r="F21" s="278">
        <f>'数据-取费表'!B38</f>
        <v>0.03</v>
      </c>
      <c r="G21" s="279" t="s">
        <v>2358</v>
      </c>
    </row>
    <row r="22" spans="1:7" s="259" customFormat="1" ht="13.5" customHeight="1">
      <c r="A22" s="300" t="s">
        <v>2359</v>
      </c>
      <c r="B22" s="255" t="s">
        <v>2360</v>
      </c>
      <c r="C22" s="1357">
        <f ca="1">ROUND(SUM(C23:C25),0)</f>
        <v>14</v>
      </c>
      <c r="D22" s="280">
        <f ca="1">C26</f>
        <v>1.4E-3</v>
      </c>
      <c r="E22" s="281" t="s">
        <v>2357</v>
      </c>
      <c r="F22" s="282">
        <f ca="1">'数据-取费表'!B40</f>
        <v>4.7500000000000001E-2</v>
      </c>
      <c r="G22" s="279" t="str">
        <f>IF('数据-取费表'!B22&lt;=1,"单利计息","复利计息")</f>
        <v>复利计息</v>
      </c>
    </row>
    <row r="23" spans="1:7" s="259" customFormat="1" ht="13.5" customHeight="1">
      <c r="A23" s="954" t="s">
        <v>2361</v>
      </c>
      <c r="B23" s="260" t="s">
        <v>2362</v>
      </c>
      <c r="C23" s="1358">
        <f ca="1">ROUND(IF('数据-取费表'!B22&lt;=1,C5*F22*'数据-取费表'!B23,C5*(POWER((1+F22),'数据-取费表'!B23)-1)),0)</f>
        <v>0</v>
      </c>
      <c r="D23" s="283"/>
      <c r="E23" s="283"/>
      <c r="F23" s="284"/>
      <c r="G23" s="285" t="s">
        <v>2363</v>
      </c>
    </row>
    <row r="24" spans="1:7" s="259" customFormat="1" ht="13.5" customHeight="1">
      <c r="A24" s="954" t="s">
        <v>2364</v>
      </c>
      <c r="B24" s="260" t="s">
        <v>2365</v>
      </c>
      <c r="C24" s="1358">
        <f ca="1">ROUND(IF('数据-取费表'!B22&lt;=1,C19*F22*('数据-取费表'!B19/2+'数据-取费表'!B21),C19*(POWER((1+F22),('数据-取费表'!B19/2+'数据-取费表'!B21))-1)),0)</f>
        <v>14</v>
      </c>
      <c r="D24" s="283"/>
      <c r="E24" s="283"/>
      <c r="F24" s="284"/>
      <c r="G24" s="285" t="s">
        <v>2366</v>
      </c>
    </row>
    <row r="25" spans="1:7" s="259" customFormat="1" ht="24">
      <c r="A25" s="954" t="s">
        <v>2367</v>
      </c>
      <c r="B25" s="260" t="s">
        <v>2368</v>
      </c>
      <c r="C25" s="1358">
        <f ca="1">ROUND(IF('数据-取费表'!B22&lt;=1,C20*F22*'数据-取费表'!B23/2,C20*(POWER((1+F22),'数据-取费表'!B23/2)-1)),0)</f>
        <v>0</v>
      </c>
      <c r="D25" s="283"/>
      <c r="E25" s="286"/>
      <c r="F25" s="284"/>
      <c r="G25" s="287" t="s">
        <v>2369</v>
      </c>
    </row>
    <row r="26" spans="1:7" s="259" customFormat="1">
      <c r="A26" s="954" t="s">
        <v>795</v>
      </c>
      <c r="B26" s="260" t="s">
        <v>2370</v>
      </c>
      <c r="C26" s="283">
        <f ca="1">ROUND(IF('数据-取费表'!B22&lt;=1,F21*F22*'数据-取费表'!B23/2,F21*(POWER((1+F22),'数据-取费表'!B23/2)-1)),4)</f>
        <v>1.4E-3</v>
      </c>
      <c r="D26" s="283"/>
      <c r="E26" s="286"/>
      <c r="F26" s="284"/>
      <c r="G26" s="288"/>
    </row>
    <row r="27" spans="1:7" s="259" customFormat="1" ht="24.75">
      <c r="A27" s="300" t="s">
        <v>2371</v>
      </c>
      <c r="B27" s="289" t="s">
        <v>2372</v>
      </c>
      <c r="C27" s="290">
        <f ca="1">C28</f>
        <v>29</v>
      </c>
      <c r="D27" s="280">
        <f ca="1">C29</f>
        <v>6.0000000000000001E-3</v>
      </c>
      <c r="E27" s="281" t="s">
        <v>2373</v>
      </c>
      <c r="F27" s="291">
        <f ca="1">IF(B1="",'数据-取费表'!Q16,INDIRECT("'数据-取费表'!q"&amp;$G$1))</f>
        <v>0.2</v>
      </c>
      <c r="G27" s="292" t="s">
        <v>2374</v>
      </c>
    </row>
    <row r="28" spans="1:7" s="259" customFormat="1" ht="13.5" customHeight="1">
      <c r="A28" s="954" t="s">
        <v>791</v>
      </c>
      <c r="B28" s="293" t="s">
        <v>2375</v>
      </c>
      <c r="C28" s="294">
        <f ca="1">ROUND((C5+C19+C20)*F27*'数据-取费表'!B21/'数据-取费表'!B20,0)</f>
        <v>29</v>
      </c>
      <c r="D28" s="280"/>
      <c r="E28" s="281"/>
      <c r="F28" s="291"/>
      <c r="G28" s="292"/>
    </row>
    <row r="29" spans="1:7" s="259" customFormat="1" ht="13.5" customHeight="1">
      <c r="A29" s="954" t="s">
        <v>792</v>
      </c>
      <c r="B29" s="293" t="s">
        <v>2376</v>
      </c>
      <c r="C29" s="283">
        <f ca="1">ROUND(C21*F27*'数据-取费表'!B21/'数据-取费表'!B20,4)</f>
        <v>6.0000000000000001E-3</v>
      </c>
      <c r="D29" s="280"/>
      <c r="E29" s="281"/>
      <c r="F29" s="291"/>
      <c r="G29" s="292"/>
    </row>
    <row r="30" spans="1:7" s="259" customFormat="1" ht="13.5" customHeight="1">
      <c r="A30" s="300" t="s">
        <v>2377</v>
      </c>
      <c r="B30" s="255" t="s">
        <v>2378</v>
      </c>
      <c r="C30" s="280">
        <f>ROUND(F30/(1+'数据-取费表'!C42),4)</f>
        <v>5.33E-2</v>
      </c>
      <c r="D30" s="281" t="s">
        <v>2373</v>
      </c>
      <c r="E30" s="286"/>
      <c r="F30" s="282">
        <f>'数据-取费表'!B41</f>
        <v>5.6000000000000001E-2</v>
      </c>
      <c r="G30" s="279" t="s">
        <v>2379</v>
      </c>
    </row>
    <row r="31" spans="1:7" ht="16.5" customHeight="1">
      <c r="A31" s="254">
        <v>1</v>
      </c>
      <c r="B31" s="255" t="s">
        <v>2380</v>
      </c>
      <c r="C31" s="256">
        <f ca="1">ROUND((C5+C19+C20+C22+C27)/(1-C21-D22-D27-C30),0)</f>
        <v>205</v>
      </c>
      <c r="D31" s="275"/>
      <c r="E31" s="256"/>
      <c r="F31" s="295"/>
      <c r="G31" s="279" t="s">
        <v>2381</v>
      </c>
    </row>
    <row r="32" spans="1:7" s="253" customFormat="1" ht="15.75">
      <c r="A32" s="297" t="s">
        <v>2382</v>
      </c>
      <c r="B32" s="298"/>
      <c r="C32" s="298"/>
      <c r="D32" s="298"/>
      <c r="E32" s="298"/>
      <c r="F32" s="298"/>
      <c r="G32" s="299"/>
    </row>
    <row r="33" spans="1:7" s="259" customFormat="1" ht="13.5" customHeight="1">
      <c r="A33" s="300" t="s">
        <v>782</v>
      </c>
      <c r="B33" s="255" t="s">
        <v>2383</v>
      </c>
      <c r="C33" s="301">
        <f ca="1">SUM(C34:C38)</f>
        <v>2362</v>
      </c>
      <c r="D33" s="277"/>
      <c r="E33" s="257"/>
      <c r="F33" s="286"/>
      <c r="G33" s="279"/>
    </row>
    <row r="34" spans="1:7" s="303" customFormat="1" ht="13.5" customHeight="1">
      <c r="A34" s="954" t="s">
        <v>791</v>
      </c>
      <c r="B34" s="260" t="s">
        <v>2384</v>
      </c>
      <c r="C34" s="265">
        <f ca="1">IF(B1="",IF(F34=100%,'数据-取费表'!M16,'数据-取费表'!O16),IF(F34=100%,INDIRECT("'数据-取费表'!m"&amp;$G$1)+INDIRECT("'数据-取费表'!t"&amp;$G$1),INDIRECT("'数据-取费表'!o"&amp;$G$1)+INDIRECT("'数据-取费表'!aq"&amp;$G$1)))</f>
        <v>2088</v>
      </c>
      <c r="D34" s="262"/>
      <c r="E34" s="265"/>
      <c r="F34" s="302">
        <f ca="1">IF('数据-取费表'!B24=0,1,IF(B1="",'数据-取费表'!N16,INDIRECT("'数据-取费表'!n"&amp;$G$1)))</f>
        <v>1</v>
      </c>
      <c r="G34" s="264" t="s">
        <v>2385</v>
      </c>
    </row>
    <row r="35" spans="1:7" ht="13.5" customHeight="1">
      <c r="A35" s="954" t="s">
        <v>796</v>
      </c>
      <c r="B35" s="260" t="s">
        <v>2386</v>
      </c>
      <c r="C35" s="265">
        <f ca="1">ROUND(C34*F35,0)</f>
        <v>104</v>
      </c>
      <c r="D35" s="265"/>
      <c r="E35" s="265"/>
      <c r="F35" s="304">
        <f>'数据-取费表'!B33</f>
        <v>0.05</v>
      </c>
      <c r="G35" s="264" t="s">
        <v>2387</v>
      </c>
    </row>
    <row r="36" spans="1:7" ht="24">
      <c r="A36" s="954" t="s">
        <v>797</v>
      </c>
      <c r="B36" s="260" t="s">
        <v>2388</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2389</v>
      </c>
    </row>
    <row r="37" spans="1:7" s="303" customFormat="1" ht="13.5" customHeight="1">
      <c r="A37" s="954" t="s">
        <v>798</v>
      </c>
      <c r="B37" s="260" t="s">
        <v>2390</v>
      </c>
      <c r="C37" s="294">
        <f ca="1">ROUND(E37*D37*F34/10000,0)</f>
        <v>139</v>
      </c>
      <c r="D37" s="262">
        <f ca="1">D19</f>
        <v>6960.5900000000011</v>
      </c>
      <c r="E37" s="294">
        <f>'数据-取费表'!B35</f>
        <v>200</v>
      </c>
      <c r="F37" s="304"/>
      <c r="G37" s="306" t="s">
        <v>2391</v>
      </c>
    </row>
    <row r="38" spans="1:7" ht="13.5" customHeight="1">
      <c r="A38" s="954" t="s">
        <v>799</v>
      </c>
      <c r="B38" s="260" t="s">
        <v>2392</v>
      </c>
      <c r="C38" s="265">
        <f ca="1">ROUND(C34*F38,0)</f>
        <v>31</v>
      </c>
      <c r="D38" s="265"/>
      <c r="E38" s="265"/>
      <c r="F38" s="304">
        <f>'数据-取费表'!B36</f>
        <v>1.4999999999999999E-2</v>
      </c>
      <c r="G38" s="264" t="s">
        <v>2387</v>
      </c>
    </row>
    <row r="39" spans="1:7" s="259" customFormat="1" ht="13.5" customHeight="1">
      <c r="A39" s="300" t="s">
        <v>2393</v>
      </c>
      <c r="B39" s="255" t="s">
        <v>2394</v>
      </c>
      <c r="C39" s="277">
        <f ca="1">ROUND(C33*F20,0)</f>
        <v>71</v>
      </c>
      <c r="D39" s="277"/>
      <c r="E39" s="277"/>
      <c r="F39" s="278"/>
      <c r="G39" s="279" t="s">
        <v>2395</v>
      </c>
    </row>
    <row r="40" spans="1:7" s="259" customFormat="1" ht="13.5" customHeight="1">
      <c r="A40" s="300" t="s">
        <v>2396</v>
      </c>
      <c r="B40" s="255" t="s">
        <v>2397</v>
      </c>
      <c r="C40" s="1732">
        <f>F21</f>
        <v>0.03</v>
      </c>
      <c r="D40" s="281" t="s">
        <v>2398</v>
      </c>
      <c r="E40" s="277"/>
      <c r="F40" s="278"/>
      <c r="G40" s="279" t="s">
        <v>2399</v>
      </c>
    </row>
    <row r="41" spans="1:7" s="259" customFormat="1" ht="13.5" customHeight="1">
      <c r="A41" s="300" t="s">
        <v>2400</v>
      </c>
      <c r="B41" s="255" t="s">
        <v>2401</v>
      </c>
      <c r="C41" s="277">
        <f ca="1">ROUND(SUM(C42:C43),0)</f>
        <v>115</v>
      </c>
      <c r="D41" s="280">
        <f ca="1">C44</f>
        <v>1.4E-3</v>
      </c>
      <c r="E41" s="281" t="s">
        <v>2398</v>
      </c>
      <c r="F41" s="282"/>
      <c r="G41" s="279" t="str">
        <f>IF('数据-取费表'!B22&lt;=1,"单利计息","复利计息")</f>
        <v>复利计息</v>
      </c>
    </row>
    <row r="42" spans="1:7" ht="13.5" customHeight="1">
      <c r="A42" s="954" t="s">
        <v>791</v>
      </c>
      <c r="B42" s="260" t="s">
        <v>2402</v>
      </c>
      <c r="C42" s="283">
        <f ca="1">ROUND(IF('数据-取费表'!B22&lt;=1,C33*F22*'数据-取费表'!B21/2,C33*(POWER((1+F22),'数据-取费表'!B21/2)-1)),0)</f>
        <v>112</v>
      </c>
      <c r="D42" s="283"/>
      <c r="E42" s="283"/>
      <c r="F42" s="284"/>
      <c r="G42" s="3250" t="s">
        <v>2403</v>
      </c>
    </row>
    <row r="43" spans="1:7" ht="13.5" customHeight="1">
      <c r="A43" s="954" t="s">
        <v>792</v>
      </c>
      <c r="B43" s="260" t="s">
        <v>2404</v>
      </c>
      <c r="C43" s="283">
        <f ca="1">ROUND(IF('数据-取费表'!B22&lt;=1,C39*F22*'数据-取费表'!B21/2,C39*(POWER((1+F22),'数据-取费表'!B21/2)-1)),0)</f>
        <v>3</v>
      </c>
      <c r="D43" s="283"/>
      <c r="E43" s="283"/>
      <c r="F43" s="284"/>
      <c r="G43" s="3251"/>
    </row>
    <row r="44" spans="1:7" ht="13.5" customHeight="1">
      <c r="A44" s="954" t="s">
        <v>793</v>
      </c>
      <c r="B44" s="260" t="s">
        <v>2405</v>
      </c>
      <c r="C44" s="283">
        <f ca="1">ROUND(IF('数据-取费表'!B22&lt;=1,C40*F22*'数据-取费表'!B21/2,C40*(POWER((1+F22),'数据-取费表'!B21/2)-1)),4)</f>
        <v>1.4E-3</v>
      </c>
      <c r="D44" s="283"/>
      <c r="E44" s="283"/>
      <c r="F44" s="284"/>
      <c r="G44" s="3252"/>
    </row>
    <row r="45" spans="1:7" s="259" customFormat="1" ht="13.5" customHeight="1">
      <c r="A45" s="300" t="s">
        <v>2406</v>
      </c>
      <c r="B45" s="289" t="s">
        <v>2372</v>
      </c>
      <c r="C45" s="290">
        <f ca="1">C46</f>
        <v>487</v>
      </c>
      <c r="D45" s="280">
        <f ca="1">C47</f>
        <v>6.0000000000000001E-3</v>
      </c>
      <c r="E45" s="281" t="s">
        <v>2398</v>
      </c>
      <c r="F45" s="291"/>
      <c r="G45" s="292" t="s">
        <v>2407</v>
      </c>
    </row>
    <row r="46" spans="1:7" s="259" customFormat="1" ht="13.5" customHeight="1">
      <c r="A46" s="954" t="s">
        <v>791</v>
      </c>
      <c r="B46" s="293" t="s">
        <v>2408</v>
      </c>
      <c r="C46" s="294">
        <f ca="1">ROUND((C33+C39)*F27,0)</f>
        <v>487</v>
      </c>
      <c r="D46" s="308"/>
      <c r="E46" s="281"/>
      <c r="F46" s="291"/>
      <c r="G46" s="292"/>
    </row>
    <row r="47" spans="1:7" s="259" customFormat="1" ht="13.5" customHeight="1">
      <c r="A47" s="954" t="s">
        <v>792</v>
      </c>
      <c r="B47" s="293" t="s">
        <v>2409</v>
      </c>
      <c r="C47" s="283">
        <f ca="1">ROUND(C40*F27,4)</f>
        <v>6.0000000000000001E-3</v>
      </c>
      <c r="D47" s="308"/>
      <c r="E47" s="281"/>
      <c r="F47" s="291"/>
      <c r="G47" s="292"/>
    </row>
    <row r="48" spans="1:7" s="259" customFormat="1" ht="13.5" customHeight="1">
      <c r="A48" s="300" t="s">
        <v>2371</v>
      </c>
      <c r="B48" s="255" t="s">
        <v>2410</v>
      </c>
      <c r="C48" s="1732">
        <f>ROUND(F30/(1+'数据-取费表'!C42),4)</f>
        <v>5.33E-2</v>
      </c>
      <c r="D48" s="281" t="s">
        <v>2398</v>
      </c>
      <c r="E48" s="277"/>
      <c r="F48" s="282"/>
      <c r="G48" s="279" t="s">
        <v>2411</v>
      </c>
    </row>
    <row r="49" spans="1:7" ht="16.5" customHeight="1">
      <c r="A49" s="300" t="s">
        <v>2377</v>
      </c>
      <c r="B49" s="255" t="s">
        <v>2412</v>
      </c>
      <c r="C49" s="277">
        <f ca="1">ROUND((C33+C39+C41+C45)/(1-C40-D41-D45-C48),0)</f>
        <v>3338</v>
      </c>
      <c r="D49" s="277"/>
      <c r="E49" s="277"/>
      <c r="F49" s="309"/>
      <c r="G49" s="279" t="s">
        <v>2413</v>
      </c>
    </row>
    <row r="50" spans="1:7" s="303" customFormat="1" ht="24">
      <c r="A50" s="300" t="s">
        <v>2414</v>
      </c>
      <c r="B50" s="255" t="s">
        <v>2415</v>
      </c>
      <c r="C50" s="277"/>
      <c r="D50" s="277"/>
      <c r="E50" s="277"/>
      <c r="F50" s="309">
        <f>IF('数据-取费表'!B24=0,'数据-取费表'!N16,1)</f>
        <v>0.8</v>
      </c>
      <c r="G50" s="292" t="s">
        <v>2416</v>
      </c>
    </row>
    <row r="51" spans="1:7" ht="16.5" customHeight="1">
      <c r="A51" s="300" t="s">
        <v>2417</v>
      </c>
      <c r="B51" s="255" t="s">
        <v>2418</v>
      </c>
      <c r="C51" s="277">
        <f ca="1">ROUND(C49*F50,0)</f>
        <v>2670</v>
      </c>
      <c r="D51" s="277"/>
      <c r="E51" s="277"/>
      <c r="F51" s="309"/>
      <c r="G51" s="279" t="s">
        <v>2419</v>
      </c>
    </row>
    <row r="52" spans="1:7" s="253" customFormat="1" ht="16.5" thickBot="1">
      <c r="A52" s="310" t="s">
        <v>2420</v>
      </c>
      <c r="B52" s="311"/>
      <c r="C52" s="312">
        <f ca="1">C31+C51</f>
        <v>2875</v>
      </c>
      <c r="D52" s="311"/>
      <c r="E52" s="311"/>
      <c r="F52" s="311"/>
      <c r="G52" s="313"/>
    </row>
    <row r="55" spans="1:7" ht="15">
      <c r="B55" s="315" t="s">
        <v>2421</v>
      </c>
      <c r="C55" s="316"/>
    </row>
    <row r="56" spans="1:7">
      <c r="B56" s="318" t="s">
        <v>1515</v>
      </c>
      <c r="C56" s="320">
        <f ca="1">1-C57</f>
        <v>7.0999999999999952E-2</v>
      </c>
    </row>
    <row r="57" spans="1:7">
      <c r="B57" s="318" t="s">
        <v>1516</v>
      </c>
      <c r="C57" s="319">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4" t="str">
        <f>项目基本情况!B1</f>
        <v>北京市朝阳区东三环中路59号楼501号等21套办公用房房地产市场价值预评估</v>
      </c>
      <c r="C37" s="3064"/>
      <c r="D37" s="3064"/>
      <c r="E37" s="3064"/>
      <c r="F37" s="3064"/>
      <c r="G37" s="3064"/>
      <c r="H37" s="3064"/>
      <c r="I37" s="3064"/>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康正预评字2017-1-1021号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2320</v>
      </c>
      <c r="B1" s="1941"/>
      <c r="C1" s="2557" t="s">
        <v>2422</v>
      </c>
      <c r="D1" s="243"/>
      <c r="E1" s="243"/>
      <c r="F1" s="243"/>
      <c r="G1" s="1382">
        <f>MATCH(B1,'数据-取费表'!A6:A16,0)+5</f>
        <v>7</v>
      </c>
      <c r="H1" s="1285" t="str">
        <f>IF(ISERROR(FIND("住宅",B1)),"非住宅","住宅")</f>
        <v>非住宅</v>
      </c>
    </row>
    <row r="2" spans="1:8" s="245" customFormat="1" ht="18" customHeight="1">
      <c r="A2" s="246" t="s">
        <v>2321</v>
      </c>
      <c r="B2" s="247">
        <f ca="1">ROUND(IF(D2="——",C52/10000,C52/10000-E2),0)</f>
        <v>2876</v>
      </c>
      <c r="C2" s="244" t="s">
        <v>2322</v>
      </c>
      <c r="D2" s="2551" t="s">
        <v>70</v>
      </c>
      <c r="E2" s="1443" t="e">
        <f ca="1">SUMIF(INDIRECT("'"&amp;G2&amp;"'"&amp;"!A:A"),"承租人权益价值",INDIRECT("'"&amp;G2&amp;"'"&amp;"!c:c"))</f>
        <v>#REF!</v>
      </c>
      <c r="F2" s="2552" t="s">
        <v>2322</v>
      </c>
      <c r="G2" s="2553"/>
    </row>
    <row r="3" spans="1:8" s="245" customFormat="1" ht="18" customHeight="1" thickBot="1">
      <c r="A3" s="248" t="s">
        <v>2323</v>
      </c>
      <c r="B3" s="249">
        <f ca="1">ROUND(B2*10000/(IF(B1="",'数据-汇总表'!E3,INDIRECT("'数据-取费表'!k"&amp;$G$1))),0)</f>
        <v>4132</v>
      </c>
      <c r="C3" s="244" t="s">
        <v>2324</v>
      </c>
      <c r="D3" s="244"/>
      <c r="E3" s="244"/>
      <c r="F3" s="244"/>
      <c r="G3" s="244"/>
    </row>
    <row r="4" spans="1:8" s="253" customFormat="1" ht="15.75">
      <c r="A4" s="250" t="s">
        <v>2325</v>
      </c>
      <c r="B4" s="251"/>
      <c r="C4" s="251"/>
      <c r="D4" s="251"/>
      <c r="E4" s="251"/>
      <c r="F4" s="251"/>
      <c r="G4" s="252"/>
    </row>
    <row r="5" spans="1:8" s="259" customFormat="1" ht="13.5" customHeight="1">
      <c r="A5" s="300" t="s">
        <v>2326</v>
      </c>
      <c r="B5" s="255" t="s">
        <v>2327</v>
      </c>
      <c r="C5" s="256">
        <f ca="1">C6+C7+C8</f>
        <v>0</v>
      </c>
      <c r="D5" s="256" t="s">
        <v>2328</v>
      </c>
      <c r="E5" s="257" t="s">
        <v>2329</v>
      </c>
      <c r="F5" s="257" t="s">
        <v>2330</v>
      </c>
      <c r="G5" s="258"/>
    </row>
    <row r="6" spans="1:8" s="259" customFormat="1" ht="13.5" customHeight="1">
      <c r="A6" s="952" t="s">
        <v>2331</v>
      </c>
      <c r="B6" s="260" t="s">
        <v>2332</v>
      </c>
      <c r="C6" s="261"/>
      <c r="D6" s="262"/>
      <c r="E6" s="263"/>
      <c r="F6" s="263"/>
      <c r="G6" s="264"/>
    </row>
    <row r="7" spans="1:8" s="259" customFormat="1" ht="13.5" customHeight="1">
      <c r="A7" s="952" t="s">
        <v>2333</v>
      </c>
      <c r="B7" s="260" t="s">
        <v>2334</v>
      </c>
      <c r="C7" s="265">
        <f>ROUND(C6*F7,0)</f>
        <v>0</v>
      </c>
      <c r="D7" s="265"/>
      <c r="E7" s="263"/>
      <c r="F7" s="266">
        <f>'数据-取费表'!B48+'数据-取费表'!B49</f>
        <v>3.0499999999999999E-2</v>
      </c>
      <c r="G7" s="264"/>
    </row>
    <row r="8" spans="1:8" s="268" customFormat="1">
      <c r="A8" s="952" t="s">
        <v>2335</v>
      </c>
      <c r="B8" s="260" t="s">
        <v>2336</v>
      </c>
      <c r="C8" s="265">
        <f ca="1">IF(G8="已包含在土地购买价格中",0,C9+C10)</f>
        <v>0</v>
      </c>
      <c r="D8" s="267"/>
      <c r="E8" s="265"/>
      <c r="F8" s="266"/>
      <c r="G8" s="2554"/>
    </row>
    <row r="9" spans="1:8" s="259" customFormat="1" ht="13.5" customHeight="1">
      <c r="A9" s="953" t="s">
        <v>800</v>
      </c>
      <c r="B9" s="269" t="s">
        <v>2337</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2339</v>
      </c>
      <c r="C10" s="270">
        <f ca="1">ROUND(D10*E10,0)</f>
        <v>0</v>
      </c>
      <c r="D10" s="1035">
        <f ca="1">IF(B1="",'数据-汇总表'!E6,IF(INDIRECT("'数据-取费表'!c"&amp;$G$1)="住宅",INDIRECT("'数据-取费表'!s"&amp;$G$1),INDIRECT("'数据-取费表'!k"&amp;$G$1)+INDIRECT("'数据-取费表'!s"&amp;$G$1)))</f>
        <v>6960.5900000000011</v>
      </c>
      <c r="E10" s="270">
        <f>'数据-取费表'!B28</f>
        <v>0</v>
      </c>
      <c r="F10" s="266"/>
      <c r="G10" s="271"/>
    </row>
    <row r="11" spans="1:8" s="259" customFormat="1" ht="13.5" hidden="1" customHeight="1">
      <c r="A11" s="272" t="s">
        <v>7</v>
      </c>
      <c r="B11" s="260" t="s">
        <v>2340</v>
      </c>
      <c r="C11" s="256"/>
      <c r="D11" s="1037"/>
      <c r="E11" s="263"/>
      <c r="F11" s="263"/>
      <c r="G11" s="264"/>
    </row>
    <row r="12" spans="1:8" s="259" customFormat="1" ht="13.5" hidden="1" customHeight="1">
      <c r="A12" s="272" t="s">
        <v>8</v>
      </c>
      <c r="B12" s="260" t="s">
        <v>2423</v>
      </c>
      <c r="C12" s="256">
        <v>0</v>
      </c>
      <c r="D12" s="1037"/>
      <c r="E12" s="273"/>
      <c r="F12" s="266">
        <v>3.0499999999999999E-2</v>
      </c>
      <c r="G12" s="264"/>
    </row>
    <row r="13" spans="1:8" s="259" customFormat="1" ht="13.5" hidden="1" customHeight="1">
      <c r="A13" s="272" t="s">
        <v>9</v>
      </c>
      <c r="B13" s="260" t="s">
        <v>2424</v>
      </c>
      <c r="C13" s="256"/>
      <c r="D13" s="1037"/>
      <c r="E13" s="263"/>
      <c r="F13" s="263"/>
      <c r="G13" s="264"/>
    </row>
    <row r="14" spans="1:8" s="259" customFormat="1" ht="13.5" hidden="1" customHeight="1">
      <c r="A14" s="272" t="s">
        <v>10</v>
      </c>
      <c r="B14" s="260" t="s">
        <v>2336</v>
      </c>
      <c r="C14" s="256"/>
      <c r="D14" s="1037"/>
      <c r="E14" s="263"/>
      <c r="F14" s="263"/>
      <c r="G14" s="264" t="s">
        <v>2425</v>
      </c>
    </row>
    <row r="15" spans="1:8" s="259" customFormat="1" ht="13.5" hidden="1" customHeight="1">
      <c r="A15" s="272" t="s">
        <v>11</v>
      </c>
      <c r="B15" s="260" t="s">
        <v>2426</v>
      </c>
      <c r="C15" s="265"/>
      <c r="D15" s="1037"/>
      <c r="E15" s="263"/>
      <c r="F15" s="263"/>
      <c r="G15" s="264" t="s">
        <v>2427</v>
      </c>
    </row>
    <row r="16" spans="1:8" s="259" customFormat="1" ht="13.5" hidden="1" customHeight="1">
      <c r="A16" s="272" t="s">
        <v>12</v>
      </c>
      <c r="B16" s="260" t="s">
        <v>2336</v>
      </c>
      <c r="C16" s="265"/>
      <c r="D16" s="1037"/>
      <c r="E16" s="263"/>
      <c r="F16" s="263"/>
      <c r="G16" s="264"/>
    </row>
    <row r="17" spans="1:7" s="259" customFormat="1" ht="13.5" hidden="1" customHeight="1">
      <c r="A17" s="272" t="s">
        <v>13</v>
      </c>
      <c r="B17" s="260" t="s">
        <v>2428</v>
      </c>
      <c r="C17" s="274"/>
      <c r="D17" s="1038"/>
      <c r="E17" s="274"/>
      <c r="F17" s="274"/>
      <c r="G17" s="264" t="s">
        <v>2427</v>
      </c>
    </row>
    <row r="18" spans="1:7" s="259" customFormat="1" ht="13.5" hidden="1" customHeight="1">
      <c r="A18" s="272" t="s">
        <v>14</v>
      </c>
      <c r="B18" s="260" t="s">
        <v>2429</v>
      </c>
      <c r="C18" s="265">
        <v>0</v>
      </c>
      <c r="D18" s="1037"/>
      <c r="E18" s="263"/>
      <c r="F18" s="266">
        <v>3.0499999999999999E-2</v>
      </c>
      <c r="G18" s="264" t="s">
        <v>2430</v>
      </c>
    </row>
    <row r="19" spans="1:7" s="268" customFormat="1" ht="13.5" customHeight="1">
      <c r="A19" s="300" t="s">
        <v>2431</v>
      </c>
      <c r="B19" s="255" t="s">
        <v>2432</v>
      </c>
      <c r="C19" s="256">
        <f ca="1">IF(G19="已包含在土地取得成本中","0",ROUND(D19*E19,0))</f>
        <v>1392118</v>
      </c>
      <c r="D19" s="1039">
        <f ca="1">D9+D10</f>
        <v>6960.5900000000011</v>
      </c>
      <c r="E19" s="256">
        <f>'数据-取费表'!B31</f>
        <v>200</v>
      </c>
      <c r="F19" s="276"/>
      <c r="G19" s="2554"/>
    </row>
    <row r="20" spans="1:7" s="259" customFormat="1" ht="13.5" customHeight="1">
      <c r="A20" s="300" t="s">
        <v>2433</v>
      </c>
      <c r="B20" s="255" t="s">
        <v>2434</v>
      </c>
      <c r="C20" s="277">
        <f ca="1">ROUND((C5+C19)*F20,0)</f>
        <v>41764</v>
      </c>
      <c r="D20" s="277"/>
      <c r="E20" s="277"/>
      <c r="F20" s="278">
        <f>'数据-取费表'!B37</f>
        <v>0.03</v>
      </c>
      <c r="G20" s="279" t="s">
        <v>2435</v>
      </c>
    </row>
    <row r="21" spans="1:7" s="259" customFormat="1" ht="13.5" customHeight="1">
      <c r="A21" s="300" t="s">
        <v>2436</v>
      </c>
      <c r="B21" s="255" t="s">
        <v>2437</v>
      </c>
      <c r="C21" s="280">
        <f>F21</f>
        <v>0.03</v>
      </c>
      <c r="D21" s="281" t="s">
        <v>2438</v>
      </c>
      <c r="E21" s="277"/>
      <c r="F21" s="278">
        <f>'数据-取费表'!B38</f>
        <v>0.03</v>
      </c>
      <c r="G21" s="279" t="s">
        <v>2439</v>
      </c>
    </row>
    <row r="22" spans="1:7" s="259" customFormat="1" ht="13.5" customHeight="1">
      <c r="A22" s="300" t="s">
        <v>2440</v>
      </c>
      <c r="B22" s="255" t="s">
        <v>2441</v>
      </c>
      <c r="C22" s="1383">
        <f ca="1">ROUND(SUM(C23:C25),0)</f>
        <v>137376</v>
      </c>
      <c r="D22" s="280">
        <f ca="1">C26</f>
        <v>1.4E-3</v>
      </c>
      <c r="E22" s="281" t="s">
        <v>2438</v>
      </c>
      <c r="F22" s="282">
        <f ca="1">'数据-取费表'!B40</f>
        <v>4.7500000000000001E-2</v>
      </c>
      <c r="G22" s="279" t="str">
        <f>IF('数据-取费表'!B22&lt;=1,"单利计息","复利计息")</f>
        <v>复利计息</v>
      </c>
    </row>
    <row r="23" spans="1:7" s="259" customFormat="1" ht="13.5" customHeight="1">
      <c r="A23" s="954" t="s">
        <v>2331</v>
      </c>
      <c r="B23" s="260" t="s">
        <v>2442</v>
      </c>
      <c r="C23" s="1384">
        <f ca="1">ROUND(IF('数据-取费表'!B22&lt;=1,C5*F22*'数据-取费表'!B22,C5*(POWER((1+F22),'数据-取费表'!B22)-1)),0)</f>
        <v>0</v>
      </c>
      <c r="D23" s="283"/>
      <c r="E23" s="283"/>
      <c r="F23" s="284"/>
      <c r="G23" s="285" t="s">
        <v>2443</v>
      </c>
    </row>
    <row r="24" spans="1:7" s="259" customFormat="1" ht="13.5" customHeight="1">
      <c r="A24" s="954" t="s">
        <v>2333</v>
      </c>
      <c r="B24" s="260" t="s">
        <v>2444</v>
      </c>
      <c r="C24" s="1384">
        <f ca="1">ROUND(IF('数据-取费表'!B22&lt;=1,C19*F22*('数据-取费表'!B19/2+'数据-取费表'!B20),C19*(POWER((1+F22),('数据-取费表'!B19/2+'数据-取费表'!B20))-1)),0)</f>
        <v>135392</v>
      </c>
      <c r="D24" s="283"/>
      <c r="E24" s="283"/>
      <c r="F24" s="284"/>
      <c r="G24" s="285" t="s">
        <v>2445</v>
      </c>
    </row>
    <row r="25" spans="1:7" s="259" customFormat="1" ht="24">
      <c r="A25" s="954" t="s">
        <v>2335</v>
      </c>
      <c r="B25" s="260" t="s">
        <v>2446</v>
      </c>
      <c r="C25" s="1384">
        <f ca="1">ROUND(IF('数据-取费表'!B22&lt;=1,C20*F22*'数据-取费表'!B22/2,C20*(POWER((1+F22),'数据-取费表'!B22/2)-1)),0)</f>
        <v>1984</v>
      </c>
      <c r="D25" s="283"/>
      <c r="E25" s="286"/>
      <c r="F25" s="284"/>
      <c r="G25" s="287" t="s">
        <v>2447</v>
      </c>
    </row>
    <row r="26" spans="1:7" s="259" customFormat="1">
      <c r="A26" s="954" t="s">
        <v>795</v>
      </c>
      <c r="B26" s="260" t="s">
        <v>2370</v>
      </c>
      <c r="C26" s="283">
        <f ca="1">ROUND(IF('数据-取费表'!B22&lt;=1,F21*F22*'数据-取费表'!B22/2,F21*(POWER((1+F22),'数据-取费表'!B22/2)-1)),4)</f>
        <v>1.4E-3</v>
      </c>
      <c r="D26" s="283"/>
      <c r="E26" s="286"/>
      <c r="F26" s="284"/>
      <c r="G26" s="288"/>
    </row>
    <row r="27" spans="1:7" s="259" customFormat="1" ht="24.75">
      <c r="A27" s="300" t="s">
        <v>2371</v>
      </c>
      <c r="B27" s="289" t="s">
        <v>2372</v>
      </c>
      <c r="C27" s="290">
        <f ca="1">C28</f>
        <v>286776</v>
      </c>
      <c r="D27" s="280">
        <f ca="1">C29</f>
        <v>6.0000000000000001E-3</v>
      </c>
      <c r="E27" s="281" t="s">
        <v>2373</v>
      </c>
      <c r="F27" s="291">
        <f ca="1">IF(B1="",'数据-取费表'!Q16,INDIRECT("'数据-取费表'!q"&amp;$G$1))</f>
        <v>0.2</v>
      </c>
      <c r="G27" s="292" t="s">
        <v>2374</v>
      </c>
    </row>
    <row r="28" spans="1:7" s="259" customFormat="1" ht="13.5" customHeight="1">
      <c r="A28" s="954" t="s">
        <v>791</v>
      </c>
      <c r="B28" s="293" t="s">
        <v>2375</v>
      </c>
      <c r="C28" s="294">
        <f ca="1">ROUND((C5+C19+C20)*F27,0)</f>
        <v>286776</v>
      </c>
      <c r="D28" s="280"/>
      <c r="E28" s="281"/>
      <c r="F28" s="291"/>
      <c r="G28" s="292"/>
    </row>
    <row r="29" spans="1:7" s="259" customFormat="1" ht="13.5" customHeight="1">
      <c r="A29" s="954" t="s">
        <v>792</v>
      </c>
      <c r="B29" s="293" t="s">
        <v>2376</v>
      </c>
      <c r="C29" s="283">
        <f ca="1">ROUND(C21*F27,4)</f>
        <v>6.0000000000000001E-3</v>
      </c>
      <c r="D29" s="280"/>
      <c r="E29" s="281"/>
      <c r="F29" s="291"/>
      <c r="G29" s="292"/>
    </row>
    <row r="30" spans="1:7" s="259" customFormat="1" ht="13.5" customHeight="1">
      <c r="A30" s="300" t="s">
        <v>2377</v>
      </c>
      <c r="B30" s="255" t="s">
        <v>2378</v>
      </c>
      <c r="C30" s="280">
        <f>ROUND(F30/(1+'数据-取费表'!C42),4)</f>
        <v>5.33E-2</v>
      </c>
      <c r="D30" s="281" t="s">
        <v>2373</v>
      </c>
      <c r="E30" s="286"/>
      <c r="F30" s="282">
        <f>'数据-取费表'!B41</f>
        <v>5.6000000000000001E-2</v>
      </c>
      <c r="G30" s="279" t="s">
        <v>2379</v>
      </c>
    </row>
    <row r="31" spans="1:7" ht="16.5" customHeight="1">
      <c r="A31" s="254">
        <v>1</v>
      </c>
      <c r="B31" s="255" t="s">
        <v>2380</v>
      </c>
      <c r="C31" s="256">
        <f ca="1">ROUND((C5+C19+C20+C22+C27)/(1-C21-D22-D27-C30),0)</f>
        <v>2043367</v>
      </c>
      <c r="D31" s="275"/>
      <c r="E31" s="256"/>
      <c r="F31" s="295"/>
      <c r="G31" s="279" t="s">
        <v>2381</v>
      </c>
    </row>
    <row r="32" spans="1:7" s="253" customFormat="1" ht="15.75">
      <c r="A32" s="297" t="s">
        <v>2448</v>
      </c>
      <c r="B32" s="298"/>
      <c r="C32" s="298"/>
      <c r="D32" s="298"/>
      <c r="E32" s="298"/>
      <c r="F32" s="298"/>
      <c r="G32" s="299"/>
    </row>
    <row r="33" spans="1:7" s="259" customFormat="1" ht="13.5" customHeight="1">
      <c r="A33" s="300" t="s">
        <v>782</v>
      </c>
      <c r="B33" s="255" t="s">
        <v>2449</v>
      </c>
      <c r="C33" s="301">
        <f ca="1">SUM(C34:C38)</f>
        <v>23631204</v>
      </c>
      <c r="D33" s="277"/>
      <c r="E33" s="257"/>
      <c r="F33" s="286"/>
      <c r="G33" s="279"/>
    </row>
    <row r="34" spans="1:7" s="303" customFormat="1" ht="13.5" customHeight="1">
      <c r="A34" s="954" t="s">
        <v>791</v>
      </c>
      <c r="B34" s="260" t="s">
        <v>2384</v>
      </c>
      <c r="C34" s="265">
        <f ca="1">ROUND(IF(B1="",SUMPRODUCT('数据-取费表'!K6:K14,'数据-取费表'!L6:L14),INDIRECT("'数据-取费表'!l"&amp;$G$1)*INDIRECT("'数据-取费表'!k"&amp;$G$1)+'数据-取费表'!L14*INDIRECT("'数据-取费表'!S"&amp;$G$1)),0)</f>
        <v>20881770</v>
      </c>
      <c r="D34" s="262"/>
      <c r="E34" s="265"/>
      <c r="F34" s="302"/>
      <c r="G34" s="264"/>
    </row>
    <row r="35" spans="1:7" ht="13.5" customHeight="1">
      <c r="A35" s="954" t="s">
        <v>796</v>
      </c>
      <c r="B35" s="260" t="s">
        <v>2386</v>
      </c>
      <c r="C35" s="265">
        <f ca="1">ROUND(C34*F35,0)</f>
        <v>1044089</v>
      </c>
      <c r="D35" s="265"/>
      <c r="E35" s="265"/>
      <c r="F35" s="304">
        <f>'数据-取费表'!B33</f>
        <v>0.05</v>
      </c>
      <c r="G35" s="264" t="s">
        <v>2387</v>
      </c>
    </row>
    <row r="36" spans="1:7" ht="24">
      <c r="A36" s="954" t="s">
        <v>797</v>
      </c>
      <c r="B36" s="260" t="s">
        <v>2388</v>
      </c>
      <c r="C36" s="265">
        <f ca="1">ROUND(IF(B1="",SUM('数据-取费表'!AP6:AP13)*F36,IF(INDIRECT("'数据-取费表'!c"&amp;$G$1)="住宅",INDIRECT("'数据-取费表'!k"&amp;$G$1)*INDIRECT("'数据-取费表'!l"&amp;$G$1)*F36,0)),0)</f>
        <v>0</v>
      </c>
      <c r="D36" s="265"/>
      <c r="E36" s="265"/>
      <c r="F36" s="304">
        <f>'数据-取费表'!B34</f>
        <v>0</v>
      </c>
      <c r="G36" s="305" t="s">
        <v>2389</v>
      </c>
    </row>
    <row r="37" spans="1:7" s="303" customFormat="1" ht="13.5" customHeight="1">
      <c r="A37" s="954" t="s">
        <v>798</v>
      </c>
      <c r="B37" s="260" t="s">
        <v>2390</v>
      </c>
      <c r="C37" s="294">
        <f ca="1">ROUND(E37*D37,0)</f>
        <v>1392118</v>
      </c>
      <c r="D37" s="262">
        <f ca="1">D19</f>
        <v>6960.5900000000011</v>
      </c>
      <c r="E37" s="294">
        <f>'数据-取费表'!B35</f>
        <v>200</v>
      </c>
      <c r="F37" s="304"/>
      <c r="G37" s="306"/>
    </row>
    <row r="38" spans="1:7" ht="13.5" customHeight="1">
      <c r="A38" s="954" t="s">
        <v>799</v>
      </c>
      <c r="B38" s="260" t="s">
        <v>2392</v>
      </c>
      <c r="C38" s="265">
        <f ca="1">ROUND(C34*F38,0)</f>
        <v>313227</v>
      </c>
      <c r="D38" s="265"/>
      <c r="E38" s="265"/>
      <c r="F38" s="304">
        <f>'数据-取费表'!B36</f>
        <v>1.4999999999999999E-2</v>
      </c>
      <c r="G38" s="264" t="s">
        <v>2387</v>
      </c>
    </row>
    <row r="39" spans="1:7" s="259" customFormat="1" ht="13.5" customHeight="1">
      <c r="A39" s="300" t="s">
        <v>2393</v>
      </c>
      <c r="B39" s="255" t="s">
        <v>2394</v>
      </c>
      <c r="C39" s="277">
        <f ca="1">ROUND(C33*F20,0)</f>
        <v>708936</v>
      </c>
      <c r="D39" s="277"/>
      <c r="E39" s="277"/>
      <c r="F39" s="278"/>
      <c r="G39" s="279" t="s">
        <v>2395</v>
      </c>
    </row>
    <row r="40" spans="1:7" s="259" customFormat="1" ht="13.5" customHeight="1">
      <c r="A40" s="300" t="s">
        <v>2396</v>
      </c>
      <c r="B40" s="255" t="s">
        <v>2397</v>
      </c>
      <c r="C40" s="1732">
        <f>F21</f>
        <v>0.03</v>
      </c>
      <c r="D40" s="281" t="s">
        <v>2398</v>
      </c>
      <c r="E40" s="277"/>
      <c r="F40" s="278"/>
      <c r="G40" s="279" t="s">
        <v>2399</v>
      </c>
    </row>
    <row r="41" spans="1:7" s="259" customFormat="1" ht="13.5" customHeight="1">
      <c r="A41" s="300" t="s">
        <v>2400</v>
      </c>
      <c r="B41" s="255" t="s">
        <v>2401</v>
      </c>
      <c r="C41" s="277">
        <f ca="1">ROUND(SUM(C42:C43),0)</f>
        <v>1156156</v>
      </c>
      <c r="D41" s="280">
        <f ca="1">C44</f>
        <v>1.4E-3</v>
      </c>
      <c r="E41" s="281" t="s">
        <v>2398</v>
      </c>
      <c r="F41" s="282"/>
      <c r="G41" s="279" t="str">
        <f>IF('数据-取费表'!B22&lt;=1,"单利计息","复利计息")</f>
        <v>复利计息</v>
      </c>
    </row>
    <row r="42" spans="1:7" ht="13.5" customHeight="1">
      <c r="A42" s="954" t="s">
        <v>791</v>
      </c>
      <c r="B42" s="260" t="s">
        <v>2402</v>
      </c>
      <c r="C42" s="283">
        <f ca="1">ROUND(IF('数据-取费表'!B22&lt;=1,C33*F22*'数据-取费表'!B20/2,C33*(POWER((1+F22),'数据-取费表'!B20/2)-1)),0)</f>
        <v>1122482</v>
      </c>
      <c r="D42" s="283"/>
      <c r="E42" s="283"/>
      <c r="F42" s="284"/>
      <c r="G42" s="3250" t="s">
        <v>2450</v>
      </c>
    </row>
    <row r="43" spans="1:7" ht="13.5" customHeight="1">
      <c r="A43" s="954" t="s">
        <v>792</v>
      </c>
      <c r="B43" s="260" t="s">
        <v>2404</v>
      </c>
      <c r="C43" s="283">
        <f ca="1">ROUND(IF('数据-取费表'!B22&lt;=1,C39*F22*'数据-取费表'!B20/2,C39*(POWER((1+F22),'数据-取费表'!B20/2)-1)),0)</f>
        <v>33674</v>
      </c>
      <c r="D43" s="283"/>
      <c r="E43" s="283"/>
      <c r="F43" s="284"/>
      <c r="G43" s="3251"/>
    </row>
    <row r="44" spans="1:7" ht="13.5" customHeight="1">
      <c r="A44" s="954" t="s">
        <v>793</v>
      </c>
      <c r="B44" s="260" t="s">
        <v>2405</v>
      </c>
      <c r="C44" s="283">
        <f ca="1">ROUND(IF('数据-取费表'!B22&lt;=1,C40*F22*'数据-取费表'!B20/2,C40*(POWER((1+F22),'数据-取费表'!B20/2)-1)),4)</f>
        <v>1.4E-3</v>
      </c>
      <c r="D44" s="283"/>
      <c r="E44" s="283"/>
      <c r="F44" s="284"/>
      <c r="G44" s="3252"/>
    </row>
    <row r="45" spans="1:7" s="259" customFormat="1" ht="13.5" customHeight="1">
      <c r="A45" s="300" t="s">
        <v>2406</v>
      </c>
      <c r="B45" s="289" t="s">
        <v>2372</v>
      </c>
      <c r="C45" s="290">
        <f ca="1">C46</f>
        <v>4868028</v>
      </c>
      <c r="D45" s="280">
        <f ca="1">C47</f>
        <v>6.0000000000000001E-3</v>
      </c>
      <c r="E45" s="281" t="s">
        <v>2398</v>
      </c>
      <c r="F45" s="291"/>
      <c r="G45" s="292" t="s">
        <v>2407</v>
      </c>
    </row>
    <row r="46" spans="1:7" s="259" customFormat="1" ht="13.5" customHeight="1">
      <c r="A46" s="954" t="s">
        <v>791</v>
      </c>
      <c r="B46" s="293" t="s">
        <v>2408</v>
      </c>
      <c r="C46" s="294">
        <f ca="1">ROUND((C33+C39)*F27,0)</f>
        <v>4868028</v>
      </c>
      <c r="D46" s="308"/>
      <c r="E46" s="281"/>
      <c r="F46" s="291"/>
      <c r="G46" s="292"/>
    </row>
    <row r="47" spans="1:7" s="259" customFormat="1" ht="13.5" customHeight="1">
      <c r="A47" s="954" t="s">
        <v>792</v>
      </c>
      <c r="B47" s="293" t="s">
        <v>2409</v>
      </c>
      <c r="C47" s="283">
        <f ca="1">ROUND(C40*F27,4)</f>
        <v>6.0000000000000001E-3</v>
      </c>
      <c r="D47" s="308"/>
      <c r="E47" s="281"/>
      <c r="F47" s="291"/>
      <c r="G47" s="292"/>
    </row>
    <row r="48" spans="1:7" s="259" customFormat="1" ht="13.5" customHeight="1">
      <c r="A48" s="300" t="s">
        <v>2371</v>
      </c>
      <c r="B48" s="255" t="s">
        <v>2410</v>
      </c>
      <c r="C48" s="307">
        <f>ROUND(F30/(1+'数据-取费表'!C42),4)</f>
        <v>5.33E-2</v>
      </c>
      <c r="D48" s="281" t="s">
        <v>2398</v>
      </c>
      <c r="E48" s="277"/>
      <c r="F48" s="282"/>
      <c r="G48" s="279" t="s">
        <v>2411</v>
      </c>
    </row>
    <row r="49" spans="1:7" ht="16.5" customHeight="1">
      <c r="A49" s="300" t="s">
        <v>2377</v>
      </c>
      <c r="B49" s="255" t="s">
        <v>2451</v>
      </c>
      <c r="C49" s="277">
        <f ca="1">ROUND((C33+C39+C41+C45)/(1-C40-D41-D45-C48),0)</f>
        <v>33393076</v>
      </c>
      <c r="D49" s="277"/>
      <c r="E49" s="277"/>
      <c r="F49" s="309"/>
      <c r="G49" s="279" t="s">
        <v>2413</v>
      </c>
    </row>
    <row r="50" spans="1:7" s="303" customFormat="1">
      <c r="A50" s="300" t="s">
        <v>2414</v>
      </c>
      <c r="B50" s="255" t="s">
        <v>2415</v>
      </c>
      <c r="C50" s="277"/>
      <c r="D50" s="277"/>
      <c r="E50" s="277"/>
      <c r="F50" s="309">
        <f>IF('数据-取费表'!B24=0,'数据-取费表'!N16,1)</f>
        <v>0.8</v>
      </c>
      <c r="G50" s="292"/>
    </row>
    <row r="51" spans="1:7" ht="16.5" customHeight="1">
      <c r="A51" s="300" t="s">
        <v>2417</v>
      </c>
      <c r="B51" s="255" t="s">
        <v>2452</v>
      </c>
      <c r="C51" s="277">
        <f ca="1">ROUND(C49*F50,0)</f>
        <v>26714461</v>
      </c>
      <c r="D51" s="277"/>
      <c r="E51" s="277"/>
      <c r="F51" s="309"/>
      <c r="G51" s="279" t="s">
        <v>2419</v>
      </c>
    </row>
    <row r="52" spans="1:7" s="253" customFormat="1" ht="16.5" thickBot="1">
      <c r="A52" s="310" t="s">
        <v>2420</v>
      </c>
      <c r="B52" s="311"/>
      <c r="C52" s="312">
        <f ca="1">C31+C51</f>
        <v>28757828</v>
      </c>
      <c r="D52" s="311"/>
      <c r="E52" s="311"/>
      <c r="F52" s="311"/>
      <c r="G52" s="313"/>
    </row>
    <row r="55" spans="1:7" ht="15">
      <c r="B55" s="315" t="s">
        <v>2421</v>
      </c>
      <c r="C55" s="316"/>
    </row>
    <row r="56" spans="1:7">
      <c r="B56" s="318" t="s">
        <v>1515</v>
      </c>
      <c r="C56" s="320">
        <f ca="1">1-C57</f>
        <v>7.0999999999999952E-2</v>
      </c>
    </row>
    <row r="57" spans="1:7">
      <c r="B57" s="318" t="s">
        <v>1516</v>
      </c>
      <c r="C57" s="319">
        <f ca="1">ROUND(C51/C52,3)</f>
        <v>0.92900000000000005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2453</v>
      </c>
      <c r="B1" s="1585"/>
      <c r="C1" s="1586"/>
      <c r="D1" s="1584"/>
      <c r="E1" s="321"/>
      <c r="F1" s="321"/>
      <c r="G1" s="1585"/>
      <c r="H1" s="321"/>
      <c r="I1" s="321"/>
      <c r="J1" s="321"/>
      <c r="K1" s="321">
        <f>MATCH(C1,'数据-取费表'!A6:A16,0)+5</f>
        <v>7</v>
      </c>
    </row>
    <row r="2" spans="1:33" ht="18" customHeight="1">
      <c r="A2" s="246" t="s">
        <v>2321</v>
      </c>
      <c r="B2" s="249">
        <f ca="1">C32</f>
        <v>0</v>
      </c>
      <c r="C2" s="321" t="s">
        <v>2454</v>
      </c>
      <c r="D2" s="321"/>
      <c r="E2" s="321"/>
      <c r="F2" s="321"/>
      <c r="G2" s="321"/>
      <c r="H2" s="321"/>
      <c r="I2" s="321"/>
      <c r="J2" s="321"/>
      <c r="K2" s="321"/>
    </row>
    <row r="3" spans="1:33" ht="18" customHeight="1" thickBot="1">
      <c r="A3" s="248" t="s">
        <v>2323</v>
      </c>
      <c r="B3" s="249">
        <f ca="1">ROUND(B2*10000/IF(C1="",'数据-汇总表'!E3,INDIRECT("'数据-取费表'!K"&amp;$K$1)),0)</f>
        <v>0</v>
      </c>
      <c r="C3" s="321" t="s">
        <v>2455</v>
      </c>
      <c r="D3" s="321"/>
      <c r="E3" s="321"/>
      <c r="F3" s="321"/>
      <c r="G3" s="321"/>
      <c r="H3" s="321"/>
      <c r="I3" s="321"/>
      <c r="J3" s="321"/>
      <c r="K3" s="321"/>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8" t="s">
        <v>2459</v>
      </c>
      <c r="D5" s="2558" t="s">
        <v>2460</v>
      </c>
      <c r="E5" s="2558" t="s">
        <v>2461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2465</v>
      </c>
      <c r="B8" s="178"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1335</v>
      </c>
      <c r="B11" s="975" t="s">
        <v>2474</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2475</v>
      </c>
      <c r="C12" s="24">
        <f ca="1">ROUND(C11*F12,0)</f>
        <v>0</v>
      </c>
      <c r="D12" s="976"/>
      <c r="E12" s="376"/>
      <c r="F12" s="979">
        <f>'数据-取费表'!B33</f>
        <v>0.05</v>
      </c>
      <c r="G12" s="8" t="s">
        <v>2476</v>
      </c>
      <c r="H12" s="971"/>
      <c r="I12" s="971"/>
      <c r="J12" s="971"/>
      <c r="K12" s="972"/>
    </row>
    <row r="13" spans="1:33" s="978" customFormat="1" ht="13.5" customHeight="1">
      <c r="A13" s="974" t="s">
        <v>1337</v>
      </c>
      <c r="B13" s="975" t="s">
        <v>2477</v>
      </c>
      <c r="C13" s="24">
        <f ca="1">ROUND(IF(C1="",SUMIF('数据-取费表'!C:C,"住宅",'数据-取费表'!P:P)*F13,IF(INDIRECT("'数据-取费表'!c"&amp;$K$1)="住宅",INDIRECT("'数据-取费表'!P"&amp;$K$1)*F13,0)),0)</f>
        <v>0</v>
      </c>
      <c r="D13" s="1036"/>
      <c r="E13" s="376"/>
      <c r="F13" s="979">
        <f>'数据-取费表'!B34</f>
        <v>0</v>
      </c>
      <c r="G13" s="8" t="s">
        <v>2478</v>
      </c>
      <c r="H13" s="971"/>
      <c r="I13" s="971"/>
      <c r="J13" s="971"/>
      <c r="K13" s="972"/>
    </row>
    <row r="14" spans="1:33" s="980" customFormat="1" ht="13.5" customHeight="1">
      <c r="A14" s="974" t="s">
        <v>1338</v>
      </c>
      <c r="B14" s="975" t="s">
        <v>2479</v>
      </c>
      <c r="C14" s="24">
        <f ca="1">ROUND(D14*E14*F11/10000,0)</f>
        <v>0</v>
      </c>
      <c r="D14" s="1036">
        <f ca="1">IF(C1="",'数据-汇总表'!E3,INDIRECT("'数据-取费表'!K"&amp;$K$1)+INDIRECT("'数据-取费表'!S"&amp;$K$1))</f>
        <v>6960.5900000000011</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6960.5900000000011</v>
      </c>
      <c r="E17" s="24">
        <f>'数据-取费表'!B32</f>
        <v>0</v>
      </c>
      <c r="F17" s="981"/>
      <c r="G17" s="140" t="s">
        <v>2485</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2486</v>
      </c>
      <c r="C18" s="24">
        <f ca="1">C19+C20-IF(C1="",'数据-取费表'!B29,IF(G18="已全部缴纳",C19+C20,H18))</f>
        <v>0</v>
      </c>
      <c r="D18" s="1036"/>
      <c r="E18" s="24"/>
      <c r="F18" s="979"/>
      <c r="G18" s="2560"/>
      <c r="H18" s="1581"/>
      <c r="I18" s="2561"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2489</v>
      </c>
      <c r="C20" s="24">
        <f ca="1">ROUND(D20*E20/10000,0)</f>
        <v>0</v>
      </c>
      <c r="D20" s="1036">
        <f ca="1">IF(C1="",'数据-汇总表'!E6,IF(INDIRECT("'数据-取费表'!c"&amp;$K$1)="住宅",INDIRECT("'数据-取费表'!s"&amp;$K$1),INDIRECT("'数据-取费表'!k"&amp;$K$1)+INDIRECT("'数据-取费表'!s"&amp;$K$1)))</f>
        <v>6960.5900000000011</v>
      </c>
      <c r="E20" s="24">
        <f>'数据-取费表'!B28</f>
        <v>0</v>
      </c>
      <c r="F20" s="979"/>
      <c r="G20" s="15"/>
      <c r="H20" s="984"/>
      <c r="I20" s="984"/>
      <c r="J20" s="984"/>
      <c r="K20" s="985"/>
    </row>
    <row r="21" spans="1:33" s="978" customFormat="1" ht="13.5" customHeight="1">
      <c r="A21" s="964" t="s">
        <v>802</v>
      </c>
      <c r="B21" s="988" t="s">
        <v>2490</v>
      </c>
      <c r="C21" s="989">
        <f ca="1">C16+C17+C18</f>
        <v>0</v>
      </c>
      <c r="D21" s="990"/>
      <c r="E21" s="326"/>
      <c r="F21" s="326"/>
      <c r="G21" s="140" t="s">
        <v>2491</v>
      </c>
      <c r="H21" s="982"/>
      <c r="I21" s="982"/>
      <c r="J21" s="982"/>
      <c r="K21" s="983"/>
    </row>
    <row r="22" spans="1:33" s="978" customFormat="1" ht="13.5" customHeight="1">
      <c r="A22" s="964" t="s">
        <v>2463</v>
      </c>
      <c r="B22" s="988" t="s">
        <v>2492</v>
      </c>
      <c r="C22" s="989">
        <f ca="1">ROUND(C21*F22,0)</f>
        <v>0</v>
      </c>
      <c r="D22" s="326"/>
      <c r="E22" s="326"/>
      <c r="F22" s="991">
        <f>'数据-取费表'!B37</f>
        <v>0.03</v>
      </c>
      <c r="G22" s="8" t="s">
        <v>2493</v>
      </c>
      <c r="H22" s="971"/>
      <c r="I22" s="971"/>
      <c r="J22" s="971"/>
      <c r="K22" s="972"/>
    </row>
    <row r="23" spans="1:33" s="978" customFormat="1" ht="13.5" customHeight="1">
      <c r="A23" s="964" t="s">
        <v>2465</v>
      </c>
      <c r="B23" s="988" t="s">
        <v>2494</v>
      </c>
      <c r="C23" s="989">
        <f ca="1">ROUND(C4*F23*F11,0)</f>
        <v>0</v>
      </c>
      <c r="D23" s="326"/>
      <c r="E23" s="326"/>
      <c r="F23" s="991">
        <f>'数据-取费表'!B38</f>
        <v>0.03</v>
      </c>
      <c r="G23" s="8" t="s">
        <v>2495</v>
      </c>
      <c r="H23" s="971"/>
      <c r="I23" s="971"/>
      <c r="J23" s="971"/>
      <c r="K23" s="972"/>
    </row>
    <row r="24" spans="1:33" s="978" customFormat="1" ht="13.5" customHeight="1">
      <c r="A24" s="964" t="s">
        <v>2496</v>
      </c>
      <c r="B24" s="988" t="s">
        <v>2497</v>
      </c>
      <c r="C24" s="325">
        <f>ROUND(F24/(1+'数据-取费表'!C42),4)</f>
        <v>2.9000000000000001E-2</v>
      </c>
      <c r="D24" s="326" t="s">
        <v>15</v>
      </c>
      <c r="E24" s="326"/>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9"/>
      <c r="E26" s="330"/>
      <c r="F26" s="331"/>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9"/>
      <c r="E27" s="330"/>
      <c r="F27" s="331"/>
      <c r="G27" s="2562" t="str">
        <f>IF('数据-取费表'!B22&lt;=1,"（1）-（3）项×年利率×建设期÷2","（1）-（3）项×((1+年利率)^(建设期÷2)-1)")</f>
        <v>（1）-（3）项×((1+年利率)^(建设期÷2)-1)</v>
      </c>
      <c r="H27" s="982"/>
      <c r="I27" s="982"/>
      <c r="J27" s="982"/>
      <c r="K27" s="983"/>
    </row>
    <row r="28" spans="1:33" s="334" customFormat="1" ht="13.5" customHeight="1">
      <c r="A28" s="964" t="s">
        <v>2503</v>
      </c>
      <c r="B28" s="2563" t="s">
        <v>2504</v>
      </c>
      <c r="C28" s="332">
        <f ca="1">C30</f>
        <v>0</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2505</v>
      </c>
      <c r="C29" s="329">
        <f ca="1">ROUND((1+C24)*F28*'数据-取费表'!B24/'数据-取费表'!B20,4)</f>
        <v>0</v>
      </c>
      <c r="D29" s="329"/>
      <c r="E29" s="330"/>
      <c r="F29" s="335"/>
      <c r="G29" s="140" t="s">
        <v>2506</v>
      </c>
      <c r="H29" s="982"/>
      <c r="I29" s="982"/>
      <c r="J29" s="982"/>
      <c r="K29" s="983"/>
    </row>
    <row r="30" spans="1:33" s="336" customFormat="1" ht="13.5" customHeight="1">
      <c r="A30" s="974" t="s">
        <v>804</v>
      </c>
      <c r="B30" s="997" t="s">
        <v>2507</v>
      </c>
      <c r="C30" s="337">
        <f ca="1">ROUND((C21+C22+C23)*F28,0)</f>
        <v>0</v>
      </c>
      <c r="D30" s="329"/>
      <c r="E30" s="330"/>
      <c r="F30" s="335"/>
      <c r="G30" s="140"/>
      <c r="H30" s="982"/>
      <c r="I30" s="982"/>
      <c r="J30" s="982"/>
      <c r="K30" s="983"/>
    </row>
    <row r="31" spans="1:33" s="978" customFormat="1" ht="13.5" customHeight="1" thickBot="1">
      <c r="A31" s="2564"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#DIV/0!</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0</v>
      </c>
      <c r="D5" s="1826" t="s">
        <v>1403</v>
      </c>
      <c r="E5" s="1296"/>
      <c r="F5" s="1297"/>
      <c r="G5" s="1855"/>
      <c r="H5" s="345">
        <v>1</v>
      </c>
      <c r="I5" s="346" t="s">
        <v>1402</v>
      </c>
      <c r="J5" s="1295">
        <f ca="1">J6+J10+J12</f>
        <v>0</v>
      </c>
      <c r="K5" s="1826" t="s">
        <v>1403</v>
      </c>
      <c r="L5" s="1296"/>
      <c r="M5" s="1297"/>
    </row>
    <row r="6" spans="1:37" ht="18" customHeight="1">
      <c r="A6" s="1294" t="s">
        <v>1035</v>
      </c>
      <c r="B6" s="3255" t="s">
        <v>1404</v>
      </c>
      <c r="C6" s="1299">
        <f ca="1">ROUND(F6*F8*F7*(1-F9)/10000,0)</f>
        <v>0</v>
      </c>
      <c r="D6" s="165" t="s">
        <v>3028</v>
      </c>
      <c r="E6" s="348" t="s">
        <v>1406</v>
      </c>
      <c r="F6" s="349">
        <f ca="1">INDIRECT("'数据-取费表'!u"&amp;$G$1)</f>
        <v>0</v>
      </c>
      <c r="G6" s="1855"/>
      <c r="H6" s="1294" t="s">
        <v>1035</v>
      </c>
      <c r="I6" s="3255" t="s">
        <v>1404</v>
      </c>
      <c r="J6" s="347">
        <f ca="1">ROUND(M6*M8*M7*(1-M9)/10000,0)</f>
        <v>0</v>
      </c>
      <c r="K6" s="165" t="s">
        <v>3027</v>
      </c>
      <c r="L6" s="348" t="s">
        <v>1406</v>
      </c>
      <c r="M6" s="349">
        <f ca="1">INDIRECT("'数据-取费表'!z"&amp;$G$1)</f>
        <v>0</v>
      </c>
    </row>
    <row r="7" spans="1:37" ht="18" customHeight="1">
      <c r="A7" s="1298"/>
      <c r="B7" s="3256"/>
      <c r="C7" s="1300"/>
      <c r="D7" s="353"/>
      <c r="E7" s="1301" t="s">
        <v>1407</v>
      </c>
      <c r="F7" s="349">
        <f ca="1">IF(INDIRECT("'数据-取费表'!ah"&amp;$G$1)="",INDIRECT("'数据-取费表'!k"&amp;$G$1),INDIRECT("'数据-取费表'!ah"&amp;$G$1))</f>
        <v>0</v>
      </c>
      <c r="G7" s="1855"/>
      <c r="H7" s="350"/>
      <c r="I7" s="3256"/>
      <c r="J7" s="352"/>
      <c r="K7" s="353"/>
      <c r="L7" s="348" t="s">
        <v>1407</v>
      </c>
      <c r="M7" s="349">
        <f ca="1">F7</f>
        <v>0</v>
      </c>
    </row>
    <row r="8" spans="1:37" ht="18" customHeight="1">
      <c r="A8" s="350"/>
      <c r="B8" s="3256"/>
      <c r="C8" s="352"/>
      <c r="D8" s="353"/>
      <c r="E8" s="348" t="s">
        <v>1408</v>
      </c>
      <c r="F8" s="349">
        <f ca="1">INDIRECT("'数据-取费表'!ai"&amp;$G$1)</f>
        <v>0</v>
      </c>
      <c r="G8" s="1855"/>
      <c r="H8" s="350"/>
      <c r="I8" s="3256"/>
      <c r="J8" s="352"/>
      <c r="K8" s="353"/>
      <c r="L8" s="348" t="s">
        <v>1408</v>
      </c>
      <c r="M8" s="349">
        <f ca="1">INDIRECT("'数据-取费表'!ai"&amp;$G$1)</f>
        <v>0</v>
      </c>
    </row>
    <row r="9" spans="1:37" ht="18" customHeight="1">
      <c r="A9" s="350"/>
      <c r="B9" s="3257"/>
      <c r="C9" s="352"/>
      <c r="D9" s="353"/>
      <c r="E9" s="348" t="s">
        <v>1409</v>
      </c>
      <c r="F9" s="358">
        <f ca="1">INDIRECT("'数据-取费表'!w"&amp;$G$1)</f>
        <v>0</v>
      </c>
      <c r="G9" s="1855"/>
      <c r="H9" s="350"/>
      <c r="I9" s="3257"/>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3029</v>
      </c>
      <c r="E10" s="359" t="s">
        <v>1412</v>
      </c>
      <c r="F10" s="1369"/>
      <c r="G10" s="1855"/>
      <c r="H10" s="1294" t="s">
        <v>1039</v>
      </c>
      <c r="I10" s="1827" t="s">
        <v>1410</v>
      </c>
      <c r="J10" s="347">
        <f ca="1">ROUND(IF(M10="押一",M6*M8*M7/12*M11,IF(M10="押二",M6*M8*M7/12*2*M11,IF(M10="押三",M6*M8*M7/12*3*M11,J11*M11)))/10000,0)</f>
        <v>0</v>
      </c>
      <c r="K10" s="1828" t="s">
        <v>3030</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ROUND(F17*(F43+INDIRECT("'数据-取费表'!S"&amp;$G$1))/10000,0)</f>
        <v>0</v>
      </c>
      <c r="D17" s="348" t="s">
        <v>1429</v>
      </c>
      <c r="E17" s="348" t="s">
        <v>1430</v>
      </c>
      <c r="F17" s="26">
        <f>'数据-取费表'!B35</f>
        <v>200</v>
      </c>
      <c r="G17" s="1858"/>
      <c r="H17" s="1204" t="s">
        <v>1035</v>
      </c>
      <c r="I17" s="348" t="s">
        <v>1431</v>
      </c>
      <c r="J17" s="24">
        <f ca="1">ROUND(IF(项目基本情况!B11="自然人",J5*M17,J18+J19+J20),1)</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IF(K19="按租金收入计税",ROUND(J5*M19,2),ROUND(C29*M19*0.7,2))</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0.03</v>
      </c>
      <c r="G20" s="1858"/>
      <c r="H20" s="1204" t="s">
        <v>1390</v>
      </c>
      <c r="I20" s="165" t="s">
        <v>1443</v>
      </c>
      <c r="J20" s="25">
        <f ca="1">ROUND(M20*M21/10000,2)</f>
        <v>0</v>
      </c>
      <c r="K20" s="371" t="s">
        <v>1444</v>
      </c>
      <c r="L20" s="348" t="s">
        <v>1445</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0.03</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0</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ROUND(C13*F37,1)</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ROUND(C40*10000/F43,0)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#DIV/0!</v>
      </c>
      <c r="D46" s="1876" t="str">
        <f>C2</f>
        <v>万元</v>
      </c>
      <c r="E46" s="1870"/>
      <c r="F46" s="1870"/>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ROUND(F49*F51*F50*(1-F52)/10000,0)</f>
        <v>0</v>
      </c>
      <c r="D49" s="1279" t="s">
        <v>3031</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371"/>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24.75" thickBot="1">
      <c r="A53" s="1408" t="s">
        <v>1137</v>
      </c>
      <c r="B53" s="1835" t="s">
        <v>1410</v>
      </c>
      <c r="C53" s="362">
        <f ca="1">ROUND(IF(F53="押一",F49*F51*F50/12*F11,IF(F53="押二",F49*F51*F50/12*2*F11,IF(F53="押三",F49*F51*F50/12*3*F11,C54*F11)))/10000,0)</f>
        <v>0</v>
      </c>
      <c r="D53" s="1828" t="s">
        <v>3029</v>
      </c>
      <c r="E53" s="359" t="s">
        <v>1412</v>
      </c>
      <c r="F53" s="1369"/>
      <c r="I53" s="1909" t="s">
        <v>1549</v>
      </c>
      <c r="J53" s="1910" t="b">
        <f>IF(M47="住宅",J51,IF(D1="——",MIN(J51,L48),IF(D1="在建（套用方法）",MIN(J51,L48-'数据-取费表'!B24),IF(D1="土地（套用方法）",MIN(J51,L48-'数据-取费表'!B20)))))</f>
        <v>0</v>
      </c>
      <c r="K53" s="3253" t="s">
        <v>1550</v>
      </c>
      <c r="L53" s="3254"/>
      <c r="O53" s="1888" t="s">
        <v>1046</v>
      </c>
      <c r="P53" s="1889" t="s">
        <v>1551</v>
      </c>
      <c r="Q53" s="1890" t="e">
        <f ca="1">Q47+Q48</f>
        <v>#DIV/0!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0</v>
      </c>
      <c r="D56" s="1918"/>
      <c r="E56" s="1919"/>
      <c r="F56" s="1911"/>
      <c r="I56" s="1920" t="s">
        <v>1556</v>
      </c>
      <c r="J56" s="1921"/>
      <c r="K56" s="1891" t="s">
        <v>1557</v>
      </c>
      <c r="L56" s="1894">
        <f ca="1">IF(L48&lt;J51,"——",L48-J53)</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1559</v>
      </c>
      <c r="L57" s="1894">
        <f ca="1">IF(L48&lt;J51,"——",IF(L55="比较法",L49,IF(L55="基准地价",L50,L51)))</f>
        <v>0</v>
      </c>
      <c r="O57" s="1888" t="s">
        <v>1041</v>
      </c>
      <c r="P57" s="1889" t="s">
        <v>1560</v>
      </c>
      <c r="Q57" s="1890" t="e">
        <f ca="1">L60</f>
        <v>#DIV/0!</v>
      </c>
      <c r="R57" s="1890" t="s">
        <v>1561</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0</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ROUND(C48*F66,1)</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c r="O70" s="1898" t="s">
        <v>1049</v>
      </c>
      <c r="P70" s="1938" t="s">
        <v>1587</v>
      </c>
      <c r="Q70" s="1890">
        <f ca="1">C13</f>
        <v>0</v>
      </c>
      <c r="R70" s="1890" t="s">
        <v>1531</v>
      </c>
    </row>
    <row r="71" spans="1:18" s="1846" customFormat="1" ht="13.5" thickBot="1">
      <c r="A71" s="1193" t="s">
        <v>1033</v>
      </c>
      <c r="B71" s="1194" t="s">
        <v>1489</v>
      </c>
      <c r="C71" s="383" t="e">
        <f ca="1">ROUND(C68*10000/F71,0)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21" zoomScale="90" zoomScaleNormal="90" workbookViewId="0">
      <selection activeCell="H50" sqref="H50"/>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2680</v>
      </c>
      <c r="C1" s="1624" t="s">
        <v>2524</v>
      </c>
      <c r="D1" s="1625" t="s">
        <v>3416</v>
      </c>
      <c r="E1" s="1634"/>
      <c r="F1" s="2588" t="s">
        <v>3319</v>
      </c>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f>IF(C2="——",ROUND(C50*D3/10000,0),ROUND(C50*D3/10000,0)-D2)</f>
        <v>26315</v>
      </c>
      <c r="C2" s="2590" t="s">
        <v>70</v>
      </c>
      <c r="D2" s="1368"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f>IF(C2="——",C50,ROUND(B2*10000/D3,0))</f>
        <v>37806</v>
      </c>
      <c r="C3" s="401" t="s">
        <v>2638</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283" t="s">
        <v>2645</v>
      </c>
      <c r="Q4" s="3284"/>
      <c r="R4" s="3263" t="s">
        <v>2641</v>
      </c>
      <c r="S4" s="3264"/>
      <c r="T4" s="3263" t="s">
        <v>2642</v>
      </c>
      <c r="U4" s="3264"/>
      <c r="V4" s="3291" t="s">
        <v>2643</v>
      </c>
      <c r="W4" s="3291"/>
      <c r="X4" s="2674"/>
      <c r="Y4" s="3263" t="s">
        <v>2645</v>
      </c>
      <c r="Z4" s="3264"/>
      <c r="AA4" s="3258" t="s">
        <v>2641</v>
      </c>
      <c r="AB4" s="3258" t="s">
        <v>2642</v>
      </c>
      <c r="AC4" s="3276" t="s">
        <v>2643</v>
      </c>
    </row>
    <row r="5" spans="1:29" ht="15">
      <c r="A5" s="405"/>
      <c r="B5" s="406"/>
      <c r="C5" s="3269" t="s">
        <v>3320</v>
      </c>
      <c r="D5" s="3270"/>
      <c r="E5" s="3267" t="s">
        <v>3400</v>
      </c>
      <c r="F5" s="3268"/>
      <c r="G5" s="3269" t="s">
        <v>3408</v>
      </c>
      <c r="H5" s="3270"/>
      <c r="I5" s="3269" t="s">
        <v>3410</v>
      </c>
      <c r="J5" s="3270"/>
      <c r="K5" s="611"/>
      <c r="L5" s="1133"/>
      <c r="M5" s="1134"/>
      <c r="N5" s="1134"/>
      <c r="O5" s="1134"/>
      <c r="P5" s="3285"/>
      <c r="Q5" s="3286"/>
      <c r="R5" s="3265"/>
      <c r="S5" s="3266"/>
      <c r="T5" s="3265"/>
      <c r="U5" s="3266"/>
      <c r="V5" s="3292"/>
      <c r="W5" s="3292"/>
      <c r="X5" s="1817"/>
      <c r="Y5" s="3265"/>
      <c r="Z5" s="3266"/>
      <c r="AA5" s="3259"/>
      <c r="AB5" s="3259"/>
      <c r="AC5" s="3277"/>
    </row>
    <row r="6" spans="1:29" ht="15.75" thickBot="1">
      <c r="A6" s="407"/>
      <c r="B6" s="408"/>
      <c r="C6" s="3271" t="s">
        <v>2791</v>
      </c>
      <c r="D6" s="3272"/>
      <c r="E6" s="3273" t="s">
        <v>2791</v>
      </c>
      <c r="F6" s="3274"/>
      <c r="G6" s="3271" t="s">
        <v>2791</v>
      </c>
      <c r="H6" s="3272"/>
      <c r="I6" s="3271" t="s">
        <v>2791</v>
      </c>
      <c r="J6" s="3272"/>
      <c r="K6" s="611" t="s">
        <v>2541</v>
      </c>
      <c r="L6" s="1133"/>
      <c r="M6" s="1134"/>
      <c r="N6" s="1134"/>
      <c r="O6" s="1134"/>
      <c r="P6" s="3287"/>
      <c r="Q6" s="3288"/>
      <c r="R6" s="3265"/>
      <c r="S6" s="3266"/>
      <c r="T6" s="3289"/>
      <c r="U6" s="3290"/>
      <c r="V6" s="3292"/>
      <c r="W6" s="3292"/>
      <c r="X6" s="1817"/>
      <c r="Y6" s="3289"/>
      <c r="Z6" s="3290"/>
      <c r="AA6" s="3260"/>
      <c r="AB6" s="3260"/>
      <c r="AC6" s="3278"/>
    </row>
    <row r="7" spans="1:29" s="117" customFormat="1" ht="15.75" thickBot="1">
      <c r="A7" s="409" t="s">
        <v>2542</v>
      </c>
      <c r="B7" s="410"/>
      <c r="C7" s="411">
        <f>'数据-取费表'!B2</f>
        <v>43047</v>
      </c>
      <c r="D7" s="412">
        <v>100</v>
      </c>
      <c r="E7" s="413">
        <v>43047</v>
      </c>
      <c r="F7" s="414">
        <f>SUMIF(59:59,YEAR(E7)&amp;"-"&amp;MONTH(E7),60:60)</f>
        <v>100</v>
      </c>
      <c r="G7" s="413">
        <f>E7</f>
        <v>43047</v>
      </c>
      <c r="H7" s="412">
        <f>SUMIF(59:59,YEAR(G7)&amp;"-"&amp;MONTH(G7),60:60)</f>
        <v>100</v>
      </c>
      <c r="I7" s="413">
        <f>E7</f>
        <v>43047</v>
      </c>
      <c r="J7" s="412">
        <f>SUMIF(59:59,YEAR(I7)&amp;"-"&amp;MONTH(I7),60:60)</f>
        <v>100</v>
      </c>
      <c r="K7" s="612"/>
      <c r="L7" s="1135"/>
      <c r="M7" s="1136"/>
      <c r="N7" s="1136"/>
      <c r="O7" s="1136"/>
      <c r="P7" s="3293" t="s">
        <v>2543</v>
      </c>
      <c r="Q7" s="3294"/>
      <c r="R7" s="770" t="s">
        <v>17</v>
      </c>
      <c r="S7" s="771">
        <f t="shared" ref="S7:S15" si="0">F7</f>
        <v>100</v>
      </c>
      <c r="T7" s="770" t="s">
        <v>17</v>
      </c>
      <c r="U7" s="771">
        <f t="shared" ref="U7:U15" si="1">H7</f>
        <v>100</v>
      </c>
      <c r="V7" s="770" t="s">
        <v>17</v>
      </c>
      <c r="W7" s="771">
        <f t="shared" ref="W7:W15" si="2">J7</f>
        <v>100</v>
      </c>
      <c r="X7" s="772"/>
      <c r="Y7" s="3261" t="s">
        <v>2543</v>
      </c>
      <c r="Z7" s="3262"/>
      <c r="AA7" s="773">
        <f>D7/F7</f>
        <v>1</v>
      </c>
      <c r="AB7" s="773">
        <f>D7/H7</f>
        <v>1</v>
      </c>
      <c r="AC7" s="2675">
        <f>D7/J7</f>
        <v>1</v>
      </c>
    </row>
    <row r="8" spans="1:29" s="117" customFormat="1" ht="15.75" thickBot="1">
      <c r="A8" s="409" t="s">
        <v>2544</v>
      </c>
      <c r="B8" s="410"/>
      <c r="C8" s="415" t="s">
        <v>2646</v>
      </c>
      <c r="D8" s="412">
        <v>100</v>
      </c>
      <c r="E8" s="3048" t="s">
        <v>3401</v>
      </c>
      <c r="F8" s="414">
        <f>SUMIF(62:62,E8,63:63)-SUMIF(62:62,C8,63:63)+100</f>
        <v>100</v>
      </c>
      <c r="G8" s="3048" t="s">
        <v>3403</v>
      </c>
      <c r="H8" s="412">
        <f>SUMIF(62:62,G8,63:63)-SUMIF(62:62,C8,63:63)+100</f>
        <v>100</v>
      </c>
      <c r="I8" s="3048" t="s">
        <v>3404</v>
      </c>
      <c r="J8" s="412">
        <f>SUMIF(62:62,I8,63:63)-SUMIF(62:62,C8,63:63)+100</f>
        <v>100</v>
      </c>
      <c r="K8" s="612"/>
      <c r="L8" s="1135"/>
      <c r="M8" s="1136"/>
      <c r="N8" s="1136"/>
      <c r="O8" s="1136"/>
      <c r="P8" s="3293" t="s">
        <v>2546</v>
      </c>
      <c r="Q8" s="3262"/>
      <c r="R8" s="770" t="s">
        <v>17</v>
      </c>
      <c r="S8" s="771">
        <f t="shared" si="0"/>
        <v>100</v>
      </c>
      <c r="T8" s="770" t="s">
        <v>17</v>
      </c>
      <c r="U8" s="771">
        <f t="shared" si="1"/>
        <v>100</v>
      </c>
      <c r="V8" s="770" t="s">
        <v>17</v>
      </c>
      <c r="W8" s="771">
        <f t="shared" si="2"/>
        <v>100</v>
      </c>
      <c r="X8" s="772"/>
      <c r="Y8" s="3261" t="s">
        <v>2546</v>
      </c>
      <c r="Z8" s="3262"/>
      <c r="AA8" s="773">
        <f t="shared" ref="AA8:AA47" si="3">D8/F8</f>
        <v>1</v>
      </c>
      <c r="AB8" s="773">
        <f t="shared" ref="AB8:AB47" si="4">D8/H8</f>
        <v>1</v>
      </c>
      <c r="AC8" s="2675">
        <f t="shared" ref="AC8:AC47" si="5">D8/J8</f>
        <v>1</v>
      </c>
    </row>
    <row r="9" spans="1:29" s="117" customFormat="1">
      <c r="A9" s="416" t="s">
        <v>2547</v>
      </c>
      <c r="B9" s="71" t="s">
        <v>2548</v>
      </c>
      <c r="C9" s="3044" t="s">
        <v>3367</v>
      </c>
      <c r="D9" s="135">
        <v>100</v>
      </c>
      <c r="E9" s="3049" t="s">
        <v>3402</v>
      </c>
      <c r="F9" s="135">
        <f>SUMIF(64:64,E9,65:65)-SUMIF(64:64,C9,65:65)+100</f>
        <v>100</v>
      </c>
      <c r="G9" s="3050" t="s">
        <v>3402</v>
      </c>
      <c r="H9" s="135">
        <f>SUMIF(64:64,G9,65:65)-SUMIF(64:64,C9,65:65)+100</f>
        <v>100</v>
      </c>
      <c r="I9" s="3050" t="s">
        <v>3405</v>
      </c>
      <c r="J9" s="135">
        <f>SUMIF(64:64,I9,65:65)-SUMIF(64:64,C9,65:65)+100</f>
        <v>100</v>
      </c>
      <c r="K9" s="612"/>
      <c r="L9" s="1135"/>
      <c r="M9" s="1136"/>
      <c r="N9" s="1136"/>
      <c r="O9" s="1136"/>
      <c r="P9" s="3275"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2675">
        <f t="shared" si="5"/>
        <v>1</v>
      </c>
    </row>
    <row r="10" spans="1:29" s="428" customFormat="1" ht="27.75" thickBot="1">
      <c r="A10" s="422"/>
      <c r="B10" s="423" t="s">
        <v>2551</v>
      </c>
      <c r="C10" s="424" t="s">
        <v>3366</v>
      </c>
      <c r="D10" s="136">
        <v>100</v>
      </c>
      <c r="E10" s="424" t="s">
        <v>3366</v>
      </c>
      <c r="F10" s="136">
        <f>SUMIF(66:66,E10,67:67)-SUMIF(66:66,C10,67:67)+100</f>
        <v>100</v>
      </c>
      <c r="G10" s="425" t="s">
        <v>3366</v>
      </c>
      <c r="H10" s="136">
        <f>SUMIF(66:66,G10,67:67)-SUMIF(66:66,C10,67:67)+100</f>
        <v>100</v>
      </c>
      <c r="I10" s="424" t="s">
        <v>3366</v>
      </c>
      <c r="J10" s="136">
        <f>SUMIF(66:66,I10,67:67)-SUMIF(66:66,C10,67:67)+100</f>
        <v>100</v>
      </c>
      <c r="K10" s="613"/>
      <c r="L10" s="1138"/>
      <c r="M10" s="1139"/>
      <c r="N10" s="1139"/>
      <c r="O10" s="1139"/>
      <c r="P10" s="3275"/>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2675">
        <f t="shared" si="5"/>
        <v>1</v>
      </c>
    </row>
    <row r="11" spans="1:29" ht="15.75" hidden="1" thickBot="1">
      <c r="A11" s="429"/>
      <c r="B11" s="423" t="s">
        <v>2552</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75"/>
      <c r="Q11" s="1799" t="str">
        <f t="shared" si="6"/>
        <v>容积率</v>
      </c>
      <c r="R11" s="770" t="s">
        <v>17</v>
      </c>
      <c r="S11" s="771">
        <f t="shared" si="0"/>
        <v>100</v>
      </c>
      <c r="T11" s="770" t="s">
        <v>17</v>
      </c>
      <c r="U11" s="771">
        <f t="shared" si="1"/>
        <v>100</v>
      </c>
      <c r="V11" s="770" t="s">
        <v>17</v>
      </c>
      <c r="W11" s="771">
        <f t="shared" si="2"/>
        <v>100</v>
      </c>
      <c r="X11" s="772"/>
      <c r="Y11" s="3130"/>
      <c r="Z11" s="55" t="str">
        <f t="shared" si="7"/>
        <v>容积率</v>
      </c>
      <c r="AA11" s="773">
        <f t="shared" si="3"/>
        <v>1</v>
      </c>
      <c r="AB11" s="773">
        <f t="shared" si="4"/>
        <v>1</v>
      </c>
      <c r="AC11" s="2675">
        <f t="shared" si="5"/>
        <v>1</v>
      </c>
    </row>
    <row r="12" spans="1:29" s="117" customFormat="1" ht="15" hidden="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75"/>
      <c r="Q12" s="1799">
        <f t="shared" si="6"/>
        <v>0</v>
      </c>
      <c r="R12" s="770" t="s">
        <v>17</v>
      </c>
      <c r="S12" s="771">
        <f t="shared" si="0"/>
        <v>100</v>
      </c>
      <c r="T12" s="770" t="s">
        <v>17</v>
      </c>
      <c r="U12" s="771">
        <f t="shared" si="1"/>
        <v>100</v>
      </c>
      <c r="V12" s="770" t="s">
        <v>17</v>
      </c>
      <c r="W12" s="771">
        <f t="shared" si="2"/>
        <v>100</v>
      </c>
      <c r="X12" s="772"/>
      <c r="Y12" s="3130"/>
      <c r="Z12" s="55">
        <f t="shared" si="7"/>
        <v>0</v>
      </c>
      <c r="AA12" s="773">
        <f>D12/F12</f>
        <v>1</v>
      </c>
      <c r="AB12" s="773">
        <f>D12/H12</f>
        <v>1</v>
      </c>
      <c r="AC12" s="2675">
        <f>D12/J12</f>
        <v>1</v>
      </c>
    </row>
    <row r="13" spans="1:29" ht="15" hidden="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75"/>
      <c r="Q13" s="1799">
        <f t="shared" si="6"/>
        <v>0</v>
      </c>
      <c r="R13" s="770" t="s">
        <v>17</v>
      </c>
      <c r="S13" s="771">
        <f t="shared" si="0"/>
        <v>100</v>
      </c>
      <c r="T13" s="770" t="s">
        <v>17</v>
      </c>
      <c r="U13" s="771">
        <f t="shared" si="1"/>
        <v>100</v>
      </c>
      <c r="V13" s="770" t="s">
        <v>17</v>
      </c>
      <c r="W13" s="771">
        <f t="shared" si="2"/>
        <v>100</v>
      </c>
      <c r="X13" s="772"/>
      <c r="Y13" s="3130"/>
      <c r="Z13" s="5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75"/>
      <c r="Q14" s="1799">
        <f t="shared" si="6"/>
        <v>0</v>
      </c>
      <c r="R14" s="770" t="s">
        <v>17</v>
      </c>
      <c r="S14" s="771">
        <f t="shared" si="0"/>
        <v>100</v>
      </c>
      <c r="T14" s="770" t="s">
        <v>17</v>
      </c>
      <c r="U14" s="771">
        <f t="shared" si="1"/>
        <v>100</v>
      </c>
      <c r="V14" s="770" t="s">
        <v>17</v>
      </c>
      <c r="W14" s="771">
        <f t="shared" si="2"/>
        <v>100</v>
      </c>
      <c r="X14" s="772"/>
      <c r="Y14" s="3130"/>
      <c r="Z14" s="55">
        <f t="shared" si="7"/>
        <v>0</v>
      </c>
      <c r="AA14" s="773">
        <f t="shared" si="3"/>
        <v>1</v>
      </c>
      <c r="AB14" s="773">
        <f t="shared" si="4"/>
        <v>1</v>
      </c>
      <c r="AC14" s="2675">
        <f t="shared" si="5"/>
        <v>1</v>
      </c>
    </row>
    <row r="15" spans="1:29" ht="85.5">
      <c r="A15" s="441" t="s">
        <v>2553</v>
      </c>
      <c r="B15" s="630" t="s">
        <v>2681</v>
      </c>
      <c r="C15" s="2677" t="str">
        <f>估价对象房地状况!C5</f>
        <v>估价对象位于国贸商圈，周边办公楼项目较多，有富力中心，乐成中心、佳龙大厦等，入驻率较高，办公集聚程度较好</v>
      </c>
      <c r="D15" s="442">
        <v>100</v>
      </c>
      <c r="E15" s="3059" t="s">
        <v>3406</v>
      </c>
      <c r="F15" s="442">
        <f>SUMIF(77:77,E16,78:78)-SUMIF(77:77,C16,78:78)+100</f>
        <v>100</v>
      </c>
      <c r="G15" s="3060" t="s">
        <v>3409</v>
      </c>
      <c r="H15" s="442">
        <f>SUMIF(77:77,G16,78:78)-SUMIF(77:77,C16,78:78)+100</f>
        <v>105</v>
      </c>
      <c r="I15" s="3060" t="s">
        <v>3409</v>
      </c>
      <c r="J15" s="442">
        <f>SUMIF(77:77,I16,78:78)-SUMIF(77:77,C16,78:78)+100</f>
        <v>105</v>
      </c>
      <c r="K15" s="615">
        <v>5</v>
      </c>
      <c r="L15" s="1143"/>
      <c r="M15" s="1134"/>
      <c r="N15" s="1134"/>
      <c r="O15" s="1134"/>
      <c r="P15" s="3295" t="s">
        <v>2554</v>
      </c>
      <c r="Q15" s="1814" t="str">
        <f t="shared" si="6"/>
        <v>办公集聚程度</v>
      </c>
      <c r="R15" s="774" t="s">
        <v>17</v>
      </c>
      <c r="S15" s="775">
        <f t="shared" si="0"/>
        <v>100</v>
      </c>
      <c r="T15" s="774" t="s">
        <v>17</v>
      </c>
      <c r="U15" s="775">
        <f t="shared" si="1"/>
        <v>105</v>
      </c>
      <c r="V15" s="774" t="s">
        <v>17</v>
      </c>
      <c r="W15" s="775">
        <f t="shared" si="2"/>
        <v>105</v>
      </c>
      <c r="X15" s="1817"/>
      <c r="Y15" s="3297" t="s">
        <v>2554</v>
      </c>
      <c r="Z15" s="1818" t="str">
        <f t="shared" si="7"/>
        <v>办公集聚程度</v>
      </c>
      <c r="AA15" s="1815">
        <f t="shared" si="3"/>
        <v>1</v>
      </c>
      <c r="AB15" s="1815">
        <f t="shared" si="4"/>
        <v>0.95238095238095233</v>
      </c>
      <c r="AC15" s="2678">
        <f t="shared" si="5"/>
        <v>0.95238095238095233</v>
      </c>
    </row>
    <row r="16" spans="1:29" ht="15">
      <c r="A16" s="429"/>
      <c r="B16" s="631"/>
      <c r="C16" s="2615" t="s">
        <v>3321</v>
      </c>
      <c r="D16" s="449"/>
      <c r="E16" s="448" t="s">
        <v>3321</v>
      </c>
      <c r="F16" s="449"/>
      <c r="G16" s="2615" t="s">
        <v>3322</v>
      </c>
      <c r="H16" s="451"/>
      <c r="I16" s="448" t="s">
        <v>3322</v>
      </c>
      <c r="J16" s="449"/>
      <c r="K16" s="616"/>
      <c r="L16" s="1143"/>
      <c r="M16" s="1134"/>
      <c r="N16" s="1134"/>
      <c r="O16" s="1134"/>
      <c r="P16" s="3296"/>
      <c r="Q16" s="1814"/>
      <c r="R16" s="774"/>
      <c r="S16" s="775"/>
      <c r="T16" s="774"/>
      <c r="U16" s="775"/>
      <c r="V16" s="774"/>
      <c r="W16" s="775"/>
      <c r="X16" s="1817"/>
      <c r="Y16" s="3298"/>
      <c r="Z16" s="1818"/>
      <c r="AA16" s="1815">
        <v>1</v>
      </c>
      <c r="AB16" s="1815">
        <v>1</v>
      </c>
      <c r="AC16" s="2678">
        <v>1</v>
      </c>
    </row>
    <row r="17" spans="1:29" ht="99.75" customHeight="1">
      <c r="A17" s="429"/>
      <c r="B17" s="632" t="s">
        <v>2093</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96"/>
      <c r="Q17" s="1814" t="str">
        <f>B17</f>
        <v>交通便捷度</v>
      </c>
      <c r="R17" s="774" t="s">
        <v>17</v>
      </c>
      <c r="S17" s="775">
        <f>F17</f>
        <v>100</v>
      </c>
      <c r="T17" s="774" t="s">
        <v>17</v>
      </c>
      <c r="U17" s="775">
        <f>H17</f>
        <v>100</v>
      </c>
      <c r="V17" s="774" t="s">
        <v>17</v>
      </c>
      <c r="W17" s="775">
        <f>J17</f>
        <v>100</v>
      </c>
      <c r="X17" s="1817"/>
      <c r="Y17" s="3298"/>
      <c r="Z17" s="1818" t="str">
        <f>Q17</f>
        <v>交通便捷度</v>
      </c>
      <c r="AA17" s="1815">
        <f t="shared" si="3"/>
        <v>1</v>
      </c>
      <c r="AB17" s="1815">
        <f t="shared" si="4"/>
        <v>1</v>
      </c>
      <c r="AC17" s="2678">
        <f t="shared" si="5"/>
        <v>1</v>
      </c>
    </row>
    <row r="18" spans="1:29" ht="15">
      <c r="A18" s="429"/>
      <c r="B18" s="633"/>
      <c r="C18" s="2680" t="s">
        <v>3322</v>
      </c>
      <c r="D18" s="451"/>
      <c r="E18" s="2613" t="s">
        <v>3322</v>
      </c>
      <c r="F18" s="451"/>
      <c r="G18" s="2614" t="s">
        <v>3322</v>
      </c>
      <c r="H18" s="449"/>
      <c r="I18" s="2614" t="s">
        <v>3322</v>
      </c>
      <c r="J18" s="449"/>
      <c r="K18" s="616"/>
      <c r="L18" s="1143"/>
      <c r="M18" s="1134"/>
      <c r="N18" s="1134"/>
      <c r="O18" s="1134"/>
      <c r="P18" s="3296"/>
      <c r="Q18" s="1814"/>
      <c r="R18" s="774"/>
      <c r="S18" s="775"/>
      <c r="T18" s="774"/>
      <c r="U18" s="775"/>
      <c r="V18" s="774"/>
      <c r="W18" s="775"/>
      <c r="X18" s="1817"/>
      <c r="Y18" s="3298"/>
      <c r="Z18" s="1818"/>
      <c r="AA18" s="1815">
        <v>1</v>
      </c>
      <c r="AB18" s="1815">
        <v>1</v>
      </c>
      <c r="AC18" s="2678">
        <v>1</v>
      </c>
    </row>
    <row r="19" spans="1:29" ht="28.5">
      <c r="A19" s="429"/>
      <c r="B19" s="632" t="s">
        <v>2682</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96"/>
      <c r="Q19" s="1814" t="str">
        <f>B19</f>
        <v>公共配套设施</v>
      </c>
      <c r="R19" s="774" t="s">
        <v>17</v>
      </c>
      <c r="S19" s="775">
        <f>F19</f>
        <v>100</v>
      </c>
      <c r="T19" s="774" t="s">
        <v>17</v>
      </c>
      <c r="U19" s="775">
        <f>H19</f>
        <v>100</v>
      </c>
      <c r="V19" s="774" t="s">
        <v>17</v>
      </c>
      <c r="W19" s="775">
        <f>J19</f>
        <v>100</v>
      </c>
      <c r="X19" s="1817"/>
      <c r="Y19" s="3298"/>
      <c r="Z19" s="1818" t="str">
        <f>Q19</f>
        <v>公共配套设施</v>
      </c>
      <c r="AA19" s="1815">
        <f t="shared" si="3"/>
        <v>1</v>
      </c>
      <c r="AB19" s="1815">
        <f t="shared" si="4"/>
        <v>1</v>
      </c>
      <c r="AC19" s="2678">
        <f t="shared" si="5"/>
        <v>1</v>
      </c>
    </row>
    <row r="20" spans="1:29" ht="15">
      <c r="A20" s="429"/>
      <c r="B20" s="633"/>
      <c r="C20" s="2615" t="s">
        <v>3322</v>
      </c>
      <c r="D20" s="449"/>
      <c r="E20" s="2608" t="s">
        <v>3322</v>
      </c>
      <c r="F20" s="449"/>
      <c r="G20" s="2609" t="s">
        <v>3322</v>
      </c>
      <c r="H20" s="449"/>
      <c r="I20" s="2609" t="s">
        <v>3322</v>
      </c>
      <c r="J20" s="449"/>
      <c r="K20" s="616"/>
      <c r="L20" s="1143"/>
      <c r="M20" s="1134"/>
      <c r="N20" s="1134"/>
      <c r="O20" s="1134"/>
      <c r="P20" s="3296"/>
      <c r="Q20" s="1814"/>
      <c r="R20" s="774"/>
      <c r="S20" s="775"/>
      <c r="T20" s="774"/>
      <c r="U20" s="775"/>
      <c r="V20" s="774"/>
      <c r="W20" s="775"/>
      <c r="X20" s="1817"/>
      <c r="Y20" s="3298"/>
      <c r="Z20" s="1818"/>
      <c r="AA20" s="1815">
        <v>1</v>
      </c>
      <c r="AB20" s="1815">
        <v>1</v>
      </c>
      <c r="AC20" s="2678">
        <v>1</v>
      </c>
    </row>
    <row r="21" spans="1:29" ht="42.75">
      <c r="A21" s="429"/>
      <c r="B21" s="634" t="s">
        <v>2683</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v>2</v>
      </c>
      <c r="L21" s="1143"/>
      <c r="M21" s="1134"/>
      <c r="N21" s="1134"/>
      <c r="O21" s="1134"/>
      <c r="P21" s="3296"/>
      <c r="Q21" s="1814" t="str">
        <f>B21</f>
        <v>基础设施水平</v>
      </c>
      <c r="R21" s="774" t="s">
        <v>17</v>
      </c>
      <c r="S21" s="775">
        <f>F21</f>
        <v>100</v>
      </c>
      <c r="T21" s="774" t="s">
        <v>17</v>
      </c>
      <c r="U21" s="775">
        <f>H21</f>
        <v>100</v>
      </c>
      <c r="V21" s="774" t="s">
        <v>17</v>
      </c>
      <c r="W21" s="775">
        <f>J21</f>
        <v>100</v>
      </c>
      <c r="X21" s="1817"/>
      <c r="Y21" s="3298"/>
      <c r="Z21" s="1818" t="str">
        <f>Q21</f>
        <v>基础设施水平</v>
      </c>
      <c r="AA21" s="1815">
        <f t="shared" ref="AA21" si="8">D21/F21</f>
        <v>1</v>
      </c>
      <c r="AB21" s="1815">
        <f t="shared" ref="AB21" si="9">D21/H21</f>
        <v>1</v>
      </c>
      <c r="AC21" s="2678">
        <f t="shared" ref="AC21" si="10">D21/J21</f>
        <v>1</v>
      </c>
    </row>
    <row r="22" spans="1:29" ht="15">
      <c r="A22" s="429"/>
      <c r="B22" s="634"/>
      <c r="C22" s="2680" t="s">
        <v>3323</v>
      </c>
      <c r="D22" s="449"/>
      <c r="E22" s="448" t="s">
        <v>3323</v>
      </c>
      <c r="F22" s="449"/>
      <c r="G22" s="2615" t="s">
        <v>3323</v>
      </c>
      <c r="H22" s="449"/>
      <c r="I22" s="2615" t="s">
        <v>3323</v>
      </c>
      <c r="J22" s="449"/>
      <c r="K22" s="1386"/>
      <c r="L22" s="1143"/>
      <c r="M22" s="1134"/>
      <c r="N22" s="1134"/>
      <c r="O22" s="1134"/>
      <c r="P22" s="3296"/>
      <c r="Q22" s="1814"/>
      <c r="R22" s="774"/>
      <c r="S22" s="775"/>
      <c r="T22" s="774"/>
      <c r="U22" s="775"/>
      <c r="V22" s="774"/>
      <c r="W22" s="775"/>
      <c r="X22" s="1817"/>
      <c r="Y22" s="3298"/>
      <c r="Z22" s="1818"/>
      <c r="AA22" s="1815">
        <v>1</v>
      </c>
      <c r="AB22" s="1815">
        <v>1</v>
      </c>
      <c r="AC22" s="2678">
        <v>1</v>
      </c>
    </row>
    <row r="23" spans="1:29" ht="85.5">
      <c r="A23" s="429"/>
      <c r="B23" s="632" t="s">
        <v>2684</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96"/>
      <c r="Q23" s="1814" t="str">
        <f>B23</f>
        <v>环境质量</v>
      </c>
      <c r="R23" s="774" t="s">
        <v>17</v>
      </c>
      <c r="S23" s="775">
        <f>F23</f>
        <v>100</v>
      </c>
      <c r="T23" s="774" t="s">
        <v>17</v>
      </c>
      <c r="U23" s="775">
        <f>H23</f>
        <v>100</v>
      </c>
      <c r="V23" s="774" t="s">
        <v>17</v>
      </c>
      <c r="W23" s="775">
        <f>J23</f>
        <v>100</v>
      </c>
      <c r="X23" s="1817"/>
      <c r="Y23" s="3298"/>
      <c r="Z23" s="1818" t="str">
        <f>Q23</f>
        <v>环境质量</v>
      </c>
      <c r="AA23" s="1815">
        <f t="shared" si="3"/>
        <v>1</v>
      </c>
      <c r="AB23" s="1815">
        <f t="shared" si="4"/>
        <v>1</v>
      </c>
      <c r="AC23" s="2678">
        <f t="shared" si="5"/>
        <v>1</v>
      </c>
    </row>
    <row r="24" spans="1:29" ht="15">
      <c r="A24" s="429"/>
      <c r="B24" s="634"/>
      <c r="C24" s="2615" t="s">
        <v>3324</v>
      </c>
      <c r="D24" s="449"/>
      <c r="E24" s="2608" t="s">
        <v>3324</v>
      </c>
      <c r="F24" s="449"/>
      <c r="G24" s="2609" t="s">
        <v>3324</v>
      </c>
      <c r="H24" s="449"/>
      <c r="I24" s="2609" t="s">
        <v>3324</v>
      </c>
      <c r="J24" s="449"/>
      <c r="K24" s="616"/>
      <c r="L24" s="1143"/>
      <c r="M24" s="1134"/>
      <c r="N24" s="1134"/>
      <c r="O24" s="1134"/>
      <c r="P24" s="3296"/>
      <c r="Q24" s="1814"/>
      <c r="R24" s="774"/>
      <c r="S24" s="775"/>
      <c r="T24" s="774"/>
      <c r="U24" s="775"/>
      <c r="V24" s="774"/>
      <c r="W24" s="775"/>
      <c r="X24" s="1817"/>
      <c r="Y24" s="3298"/>
      <c r="Z24" s="1818"/>
      <c r="AA24" s="1815">
        <v>1</v>
      </c>
      <c r="AB24" s="1815">
        <v>1</v>
      </c>
      <c r="AC24" s="2678">
        <v>1</v>
      </c>
    </row>
    <row r="25" spans="1:29" ht="27">
      <c r="A25" s="405"/>
      <c r="B25" s="632" t="s">
        <v>2685</v>
      </c>
      <c r="C25" s="3039" t="s">
        <v>3325</v>
      </c>
      <c r="D25" s="436">
        <v>100</v>
      </c>
      <c r="E25" s="3051" t="s">
        <v>3411</v>
      </c>
      <c r="F25" s="436">
        <f>SUMIF(87:87,E26,88:88)-SUMIF(87:87,C26,88:88)+100</f>
        <v>100</v>
      </c>
      <c r="G25" s="3039" t="s">
        <v>3413</v>
      </c>
      <c r="H25" s="436">
        <f>SUMIF(87:87,G26,88:88)-SUMIF(87:87,C26,88:88)+100</f>
        <v>103</v>
      </c>
      <c r="I25" s="3051" t="s">
        <v>3413</v>
      </c>
      <c r="J25" s="436">
        <f>SUMIF(87:87,I26,88:88)-SUMIF(87:87,C26,88:88)+100</f>
        <v>103</v>
      </c>
      <c r="K25" s="615">
        <v>1</v>
      </c>
      <c r="L25" s="1143"/>
      <c r="M25" s="1134"/>
      <c r="N25" s="1134"/>
      <c r="O25" s="1134"/>
      <c r="P25" s="3296"/>
      <c r="Q25" s="1814" t="str">
        <f>B25</f>
        <v>毗邻道路的类型与等级</v>
      </c>
      <c r="R25" s="774" t="s">
        <v>17</v>
      </c>
      <c r="S25" s="775">
        <f>F25</f>
        <v>100</v>
      </c>
      <c r="T25" s="774" t="s">
        <v>17</v>
      </c>
      <c r="U25" s="775">
        <f>H25</f>
        <v>103</v>
      </c>
      <c r="V25" s="774" t="s">
        <v>17</v>
      </c>
      <c r="W25" s="775">
        <f>J25</f>
        <v>103</v>
      </c>
      <c r="X25" s="1817"/>
      <c r="Y25" s="3298"/>
      <c r="Z25" s="1818" t="str">
        <f>Q25</f>
        <v>毗邻道路的类型与等级</v>
      </c>
      <c r="AA25" s="1815">
        <f t="shared" si="3"/>
        <v>1</v>
      </c>
      <c r="AB25" s="1815">
        <f t="shared" si="4"/>
        <v>0.970873786407767</v>
      </c>
      <c r="AC25" s="2678">
        <f t="shared" si="5"/>
        <v>0.970873786407767</v>
      </c>
    </row>
    <row r="26" spans="1:29" ht="15">
      <c r="A26" s="405"/>
      <c r="B26" s="633"/>
      <c r="C26" s="635" t="s">
        <v>3314</v>
      </c>
      <c r="D26" s="436"/>
      <c r="E26" s="617" t="s">
        <v>3314</v>
      </c>
      <c r="F26" s="436"/>
      <c r="G26" s="635" t="s">
        <v>3412</v>
      </c>
      <c r="H26" s="436"/>
      <c r="I26" s="617" t="s">
        <v>3412</v>
      </c>
      <c r="J26" s="436"/>
      <c r="K26" s="616"/>
      <c r="L26" s="1143"/>
      <c r="M26" s="1134"/>
      <c r="N26" s="1134"/>
      <c r="O26" s="1134"/>
      <c r="P26" s="3296"/>
      <c r="Q26" s="1814"/>
      <c r="R26" s="774"/>
      <c r="S26" s="775"/>
      <c r="T26" s="774"/>
      <c r="U26" s="775"/>
      <c r="V26" s="774"/>
      <c r="W26" s="775"/>
      <c r="X26" s="1817"/>
      <c r="Y26" s="3298"/>
      <c r="Z26" s="1818"/>
      <c r="AA26" s="1815">
        <v>1</v>
      </c>
      <c r="AB26" s="1815">
        <v>1</v>
      </c>
      <c r="AC26" s="2678">
        <v>1</v>
      </c>
    </row>
    <row r="27" spans="1:29" ht="15.75" thickBot="1">
      <c r="A27" s="429"/>
      <c r="B27" s="633" t="s">
        <v>2653</v>
      </c>
      <c r="C27" s="635" t="s">
        <v>3334</v>
      </c>
      <c r="D27" s="436">
        <v>100</v>
      </c>
      <c r="E27" s="617" t="s">
        <v>3332</v>
      </c>
      <c r="F27" s="436">
        <f>SUMIF(89:89,E27,90:90)-SUMIF(89:89,C27,90:90)+100</f>
        <v>105</v>
      </c>
      <c r="G27" s="635" t="s">
        <v>3332</v>
      </c>
      <c r="H27" s="436">
        <f>SUMIF(89:89,G27,90:90)-SUMIF(89:89,C27,90:90)+100</f>
        <v>105</v>
      </c>
      <c r="I27" s="617" t="s">
        <v>3332</v>
      </c>
      <c r="J27" s="436">
        <f>SUMIF(89:89,I27,90:90)-SUMIF(89:89,C27,90:90)+100</f>
        <v>105</v>
      </c>
      <c r="K27" s="613">
        <v>5</v>
      </c>
      <c r="L27" s="1143"/>
      <c r="M27" s="1134"/>
      <c r="N27" s="1134"/>
      <c r="O27" s="1134"/>
      <c r="P27" s="3296"/>
      <c r="Q27" s="1814" t="str">
        <f t="shared" ref="Q27:Q47" si="11">B27</f>
        <v>楼层</v>
      </c>
      <c r="R27" s="774" t="s">
        <v>17</v>
      </c>
      <c r="S27" s="775">
        <f>F27</f>
        <v>105</v>
      </c>
      <c r="T27" s="774" t="s">
        <v>17</v>
      </c>
      <c r="U27" s="775">
        <f>H27</f>
        <v>105</v>
      </c>
      <c r="V27" s="774" t="s">
        <v>17</v>
      </c>
      <c r="W27" s="775">
        <f>J27</f>
        <v>105</v>
      </c>
      <c r="X27" s="1817"/>
      <c r="Y27" s="3298"/>
      <c r="Z27" s="1818" t="str">
        <f>Q27</f>
        <v>楼层</v>
      </c>
      <c r="AA27" s="1815">
        <f t="shared" si="3"/>
        <v>0.95238095238095233</v>
      </c>
      <c r="AB27" s="1815">
        <f t="shared" si="4"/>
        <v>0.95238095238095233</v>
      </c>
      <c r="AC27" s="2678">
        <f t="shared" si="5"/>
        <v>0.95238095238095233</v>
      </c>
    </row>
    <row r="28" spans="1:29" s="117" customFormat="1" ht="15" hidden="1">
      <c r="A28" s="432"/>
      <c r="B28" s="632" t="s">
        <v>2686</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96"/>
      <c r="Q28" s="1799" t="str">
        <f t="shared" si="11"/>
        <v>朝向</v>
      </c>
      <c r="R28" s="770" t="s">
        <v>17</v>
      </c>
      <c r="S28" s="771">
        <f>F28</f>
        <v>100</v>
      </c>
      <c r="T28" s="770" t="s">
        <v>17</v>
      </c>
      <c r="U28" s="771">
        <f>H28</f>
        <v>100</v>
      </c>
      <c r="V28" s="770" t="s">
        <v>17</v>
      </c>
      <c r="W28" s="771">
        <f>J28</f>
        <v>100</v>
      </c>
      <c r="X28" s="772"/>
      <c r="Y28" s="3298"/>
      <c r="Z28" s="55" t="str">
        <f>Q28</f>
        <v>朝向</v>
      </c>
      <c r="AA28" s="1815">
        <f>D28/F28</f>
        <v>1</v>
      </c>
      <c r="AB28" s="1815">
        <f>D28/H28</f>
        <v>1</v>
      </c>
      <c r="AC28" s="2678">
        <f>D28/J28</f>
        <v>1</v>
      </c>
    </row>
    <row r="29" spans="1:29" ht="15" hidden="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96"/>
      <c r="Q29" s="1814">
        <f t="shared" si="11"/>
        <v>0</v>
      </c>
      <c r="R29" s="774" t="s">
        <v>17</v>
      </c>
      <c r="S29" s="775">
        <f t="shared" ref="S29:S47" si="12">F29</f>
        <v>100</v>
      </c>
      <c r="T29" s="774" t="s">
        <v>17</v>
      </c>
      <c r="U29" s="775">
        <f t="shared" ref="U29:U47" si="13">H29</f>
        <v>100</v>
      </c>
      <c r="V29" s="774" t="s">
        <v>17</v>
      </c>
      <c r="W29" s="775">
        <f t="shared" ref="W29:W47" si="14">J29</f>
        <v>100</v>
      </c>
      <c r="X29" s="1817"/>
      <c r="Y29" s="3298"/>
      <c r="Z29" s="1818">
        <f t="shared" ref="Z29:Z47" si="15">Q29</f>
        <v>0</v>
      </c>
      <c r="AA29" s="1815">
        <f t="shared" si="3"/>
        <v>1</v>
      </c>
      <c r="AB29" s="1815">
        <f t="shared" si="4"/>
        <v>1</v>
      </c>
      <c r="AC29" s="2678">
        <f t="shared" si="5"/>
        <v>1</v>
      </c>
    </row>
    <row r="30" spans="1:29" ht="15" hidden="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96"/>
      <c r="Q30" s="1814">
        <f t="shared" si="11"/>
        <v>0</v>
      </c>
      <c r="R30" s="774" t="s">
        <v>17</v>
      </c>
      <c r="S30" s="775">
        <f t="shared" si="12"/>
        <v>100</v>
      </c>
      <c r="T30" s="774" t="s">
        <v>17</v>
      </c>
      <c r="U30" s="775">
        <f t="shared" si="13"/>
        <v>100</v>
      </c>
      <c r="V30" s="774" t="s">
        <v>17</v>
      </c>
      <c r="W30" s="775">
        <f t="shared" si="14"/>
        <v>100</v>
      </c>
      <c r="X30" s="1817"/>
      <c r="Y30" s="3298"/>
      <c r="Z30" s="1818">
        <f t="shared" si="15"/>
        <v>0</v>
      </c>
      <c r="AA30" s="1815">
        <f t="shared" si="3"/>
        <v>1</v>
      </c>
      <c r="AB30" s="1815">
        <f t="shared" si="4"/>
        <v>1</v>
      </c>
      <c r="AC30" s="2678">
        <f t="shared" si="5"/>
        <v>1</v>
      </c>
    </row>
    <row r="31" spans="1:29" ht="15" hidden="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96"/>
      <c r="Q31" s="1814">
        <f t="shared" si="11"/>
        <v>0</v>
      </c>
      <c r="R31" s="774" t="s">
        <v>17</v>
      </c>
      <c r="S31" s="775">
        <f t="shared" si="12"/>
        <v>100</v>
      </c>
      <c r="T31" s="774" t="s">
        <v>17</v>
      </c>
      <c r="U31" s="775">
        <f t="shared" si="13"/>
        <v>100</v>
      </c>
      <c r="V31" s="774" t="s">
        <v>17</v>
      </c>
      <c r="W31" s="775">
        <f t="shared" si="14"/>
        <v>100</v>
      </c>
      <c r="X31" s="1817"/>
      <c r="Y31" s="3298"/>
      <c r="Z31" s="1818">
        <f t="shared" si="15"/>
        <v>0</v>
      </c>
      <c r="AA31" s="1815">
        <f t="shared" si="3"/>
        <v>1</v>
      </c>
      <c r="AB31" s="1815">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96"/>
      <c r="Q32" s="1814">
        <f t="shared" si="11"/>
        <v>0</v>
      </c>
      <c r="R32" s="774" t="s">
        <v>17</v>
      </c>
      <c r="S32" s="775">
        <f t="shared" si="12"/>
        <v>100</v>
      </c>
      <c r="T32" s="774" t="s">
        <v>17</v>
      </c>
      <c r="U32" s="775">
        <f t="shared" si="13"/>
        <v>100</v>
      </c>
      <c r="V32" s="774" t="s">
        <v>17</v>
      </c>
      <c r="W32" s="775">
        <f t="shared" si="14"/>
        <v>100</v>
      </c>
      <c r="X32" s="1817"/>
      <c r="Y32" s="3298"/>
      <c r="Z32" s="1818">
        <f t="shared" si="15"/>
        <v>0</v>
      </c>
      <c r="AA32" s="1815">
        <f t="shared" si="3"/>
        <v>1</v>
      </c>
      <c r="AB32" s="1815">
        <f t="shared" si="4"/>
        <v>1</v>
      </c>
      <c r="AC32" s="2678">
        <f t="shared" si="5"/>
        <v>1</v>
      </c>
    </row>
    <row r="33" spans="1:29" ht="15">
      <c r="A33" s="441" t="s">
        <v>2557</v>
      </c>
      <c r="B33" s="71" t="s">
        <v>2687</v>
      </c>
      <c r="C33" s="2683" t="s">
        <v>3336</v>
      </c>
      <c r="D33" s="468">
        <v>100</v>
      </c>
      <c r="E33" s="3061" t="s">
        <v>3414</v>
      </c>
      <c r="F33" s="462">
        <f>SUMIF(101:101,E33,102:102)-SUMIF(101:101,C33,102:102)+100</f>
        <v>100</v>
      </c>
      <c r="G33" s="3061" t="s">
        <v>3414</v>
      </c>
      <c r="H33" s="436">
        <f>SUMIF(101:101,G33,102:102)-SUMIF(101:101,C33,102:102)+100</f>
        <v>100</v>
      </c>
      <c r="I33" s="3061" t="s">
        <v>3414</v>
      </c>
      <c r="J33" s="468">
        <f>SUMIF(101:101,I33,102:102)-SUMIF(101:101,C33,102:102)+100</f>
        <v>100</v>
      </c>
      <c r="K33" s="613">
        <v>2</v>
      </c>
      <c r="L33" s="1143"/>
      <c r="M33" s="1134"/>
      <c r="N33" s="1134"/>
      <c r="O33" s="1134"/>
      <c r="P33" s="3299" t="s">
        <v>2559</v>
      </c>
      <c r="Q33" s="1814" t="str">
        <f t="shared" si="11"/>
        <v>建筑类型</v>
      </c>
      <c r="R33" s="774" t="s">
        <v>17</v>
      </c>
      <c r="S33" s="775">
        <f t="shared" si="12"/>
        <v>100</v>
      </c>
      <c r="T33" s="774" t="s">
        <v>17</v>
      </c>
      <c r="U33" s="775">
        <f t="shared" si="13"/>
        <v>100</v>
      </c>
      <c r="V33" s="774" t="s">
        <v>17</v>
      </c>
      <c r="W33" s="775">
        <f t="shared" si="14"/>
        <v>100</v>
      </c>
      <c r="X33" s="1817"/>
      <c r="Y33" s="3302" t="s">
        <v>2559</v>
      </c>
      <c r="Z33" s="1818" t="str">
        <f t="shared" si="15"/>
        <v>建筑类型</v>
      </c>
      <c r="AA33" s="1815">
        <f t="shared" si="3"/>
        <v>1</v>
      </c>
      <c r="AB33" s="1815">
        <f t="shared" si="4"/>
        <v>1</v>
      </c>
      <c r="AC33" s="2678">
        <f t="shared" si="5"/>
        <v>1</v>
      </c>
    </row>
    <row r="34" spans="1:29" s="472" customFormat="1" ht="15">
      <c r="A34" s="469"/>
      <c r="B34" s="423" t="s">
        <v>2560</v>
      </c>
      <c r="C34" s="470">
        <f>清单及结果!D2</f>
        <v>337.41</v>
      </c>
      <c r="D34" s="136">
        <v>100</v>
      </c>
      <c r="E34" s="431">
        <v>225</v>
      </c>
      <c r="F34" s="426">
        <f>LOOKUP(E34,104:104,105:105)-LOOKUP(C34,104:104,105:105)+100</f>
        <v>100</v>
      </c>
      <c r="G34" s="430">
        <v>1050</v>
      </c>
      <c r="H34" s="136">
        <f>LOOKUP(G34,104:104,105:105)-LOOKUP(C34,104:104,105:105)+100</f>
        <v>96</v>
      </c>
      <c r="I34" s="430">
        <v>200</v>
      </c>
      <c r="J34" s="136">
        <f>LOOKUP(I34,104:104,105:105)-LOOKUP(C34,104:104,105:105)+100</f>
        <v>100</v>
      </c>
      <c r="K34" s="614"/>
      <c r="L34" s="1141"/>
      <c r="M34" s="1144"/>
      <c r="N34" s="1144"/>
      <c r="O34" s="1144"/>
      <c r="P34" s="3300"/>
      <c r="Q34" s="776" t="str">
        <f t="shared" si="11"/>
        <v>项目建筑规模</v>
      </c>
      <c r="R34" s="777" t="s">
        <v>17</v>
      </c>
      <c r="S34" s="778">
        <f t="shared" si="12"/>
        <v>100</v>
      </c>
      <c r="T34" s="777" t="s">
        <v>17</v>
      </c>
      <c r="U34" s="778">
        <f t="shared" si="13"/>
        <v>96</v>
      </c>
      <c r="V34" s="777" t="s">
        <v>17</v>
      </c>
      <c r="W34" s="778">
        <f t="shared" si="14"/>
        <v>100</v>
      </c>
      <c r="X34" s="779"/>
      <c r="Y34" s="3302"/>
      <c r="Z34" s="780" t="str">
        <f t="shared" si="15"/>
        <v>项目建筑规模</v>
      </c>
      <c r="AA34" s="1815">
        <f t="shared" si="3"/>
        <v>1</v>
      </c>
      <c r="AB34" s="1815">
        <f t="shared" si="4"/>
        <v>1.0416666666666667</v>
      </c>
      <c r="AC34" s="2678">
        <f t="shared" si="5"/>
        <v>1</v>
      </c>
    </row>
    <row r="35" spans="1:29" ht="15">
      <c r="A35" s="473"/>
      <c r="B35" s="423" t="s">
        <v>2561</v>
      </c>
      <c r="C35" s="461" t="s">
        <v>3338</v>
      </c>
      <c r="D35" s="436">
        <v>100</v>
      </c>
      <c r="E35" s="461" t="s">
        <v>3338</v>
      </c>
      <c r="F35" s="462">
        <f>SUMIF(106:106,E35,107:107)-SUMIF(106:106,C35,107:107)+100</f>
        <v>100</v>
      </c>
      <c r="G35" s="461" t="s">
        <v>3338</v>
      </c>
      <c r="H35" s="436">
        <f>SUMIF(106:106,G35,107:107)-SUMIF(106:106,C35,107:107)+100</f>
        <v>100</v>
      </c>
      <c r="I35" s="461" t="s">
        <v>3338</v>
      </c>
      <c r="J35" s="436">
        <f>SUMIF(106:106,I35,107:107)-SUMIF(106:106,C35,107:107)+100</f>
        <v>100</v>
      </c>
      <c r="K35" s="613">
        <v>2</v>
      </c>
      <c r="L35" s="1143"/>
      <c r="M35" s="1134"/>
      <c r="N35" s="1134"/>
      <c r="O35" s="1134"/>
      <c r="P35" s="3300"/>
      <c r="Q35" s="1814" t="str">
        <f t="shared" si="11"/>
        <v>建筑结构</v>
      </c>
      <c r="R35" s="774" t="s">
        <v>17</v>
      </c>
      <c r="S35" s="775">
        <f t="shared" si="12"/>
        <v>100</v>
      </c>
      <c r="T35" s="774" t="s">
        <v>17</v>
      </c>
      <c r="U35" s="775">
        <f t="shared" si="13"/>
        <v>100</v>
      </c>
      <c r="V35" s="774" t="s">
        <v>17</v>
      </c>
      <c r="W35" s="775">
        <f t="shared" si="14"/>
        <v>100</v>
      </c>
      <c r="X35" s="1817"/>
      <c r="Y35" s="3302"/>
      <c r="Z35" s="1818" t="str">
        <f t="shared" si="15"/>
        <v>建筑结构</v>
      </c>
      <c r="AA35" s="1815">
        <f t="shared" si="3"/>
        <v>1</v>
      </c>
      <c r="AB35" s="1815">
        <f t="shared" si="4"/>
        <v>1</v>
      </c>
      <c r="AC35" s="2678">
        <f t="shared" si="5"/>
        <v>1</v>
      </c>
    </row>
    <row r="36" spans="1:29" ht="15">
      <c r="A36" s="473"/>
      <c r="B36" s="423" t="s">
        <v>2655</v>
      </c>
      <c r="C36" s="461" t="s">
        <v>3341</v>
      </c>
      <c r="D36" s="436">
        <v>100</v>
      </c>
      <c r="E36" s="461" t="s">
        <v>3341</v>
      </c>
      <c r="F36" s="462">
        <f>SUMIF(108:108,E36,109:109)-SUMIF(108:108,C36,109:109)+100</f>
        <v>100</v>
      </c>
      <c r="G36" s="461" t="s">
        <v>3341</v>
      </c>
      <c r="H36" s="436">
        <f>SUMIF(108:108,G36,109:109)-SUMIF(108:108,C36,109:109)+100</f>
        <v>100</v>
      </c>
      <c r="I36" s="461" t="s">
        <v>3341</v>
      </c>
      <c r="J36" s="436">
        <f>SUMIF(108:108,I36,109:109)-SUMIF(108:108,C36,109:109)+100</f>
        <v>100</v>
      </c>
      <c r="K36" s="613">
        <v>2</v>
      </c>
      <c r="L36" s="1143"/>
      <c r="M36" s="1134"/>
      <c r="N36" s="1134"/>
      <c r="O36" s="1134"/>
      <c r="P36" s="3300"/>
      <c r="Q36" s="1814" t="str">
        <f t="shared" si="11"/>
        <v>公共部分装修</v>
      </c>
      <c r="R36" s="774" t="s">
        <v>17</v>
      </c>
      <c r="S36" s="775">
        <f t="shared" si="12"/>
        <v>100</v>
      </c>
      <c r="T36" s="774" t="s">
        <v>17</v>
      </c>
      <c r="U36" s="775">
        <f t="shared" si="13"/>
        <v>100</v>
      </c>
      <c r="V36" s="774" t="s">
        <v>17</v>
      </c>
      <c r="W36" s="775">
        <f t="shared" si="14"/>
        <v>100</v>
      </c>
      <c r="X36" s="1817"/>
      <c r="Y36" s="3302"/>
      <c r="Z36" s="1818" t="str">
        <f t="shared" si="15"/>
        <v>公共部分装修</v>
      </c>
      <c r="AA36" s="1815">
        <f t="shared" si="3"/>
        <v>1</v>
      </c>
      <c r="AB36" s="1815">
        <f t="shared" si="4"/>
        <v>1</v>
      </c>
      <c r="AC36" s="2678">
        <f t="shared" si="5"/>
        <v>1</v>
      </c>
    </row>
    <row r="37" spans="1:29" ht="15">
      <c r="A37" s="473"/>
      <c r="B37" s="423" t="s">
        <v>2656</v>
      </c>
      <c r="C37" s="475">
        <f>'数据-取费表'!N6</f>
        <v>0.8</v>
      </c>
      <c r="D37" s="436">
        <v>100</v>
      </c>
      <c r="E37" s="475">
        <v>0.8</v>
      </c>
      <c r="F37" s="462">
        <f>LOOKUP(E37,111:111,112:112)-LOOKUP(C37,111:111,112:112)+100</f>
        <v>100</v>
      </c>
      <c r="G37" s="475">
        <v>0.8</v>
      </c>
      <c r="H37" s="462">
        <f>LOOKUP(G37,111:111,112:112)-LOOKUP(C37,111:111,112:112)+100</f>
        <v>100</v>
      </c>
      <c r="I37" s="475">
        <v>0.82</v>
      </c>
      <c r="J37" s="436">
        <f>LOOKUP(I37,111:111,112:112)-LOOKUP(C37,111:111,112:112)+100</f>
        <v>100</v>
      </c>
      <c r="K37" s="613">
        <v>2</v>
      </c>
      <c r="L37" s="1143"/>
      <c r="M37" s="1134"/>
      <c r="N37" s="1134"/>
      <c r="O37" s="1134"/>
      <c r="P37" s="3300"/>
      <c r="Q37" s="1814" t="str">
        <f t="shared" si="11"/>
        <v>成新度</v>
      </c>
      <c r="R37" s="774" t="s">
        <v>17</v>
      </c>
      <c r="S37" s="775">
        <f t="shared" si="12"/>
        <v>100</v>
      </c>
      <c r="T37" s="774" t="s">
        <v>17</v>
      </c>
      <c r="U37" s="775">
        <f t="shared" si="13"/>
        <v>100</v>
      </c>
      <c r="V37" s="774" t="s">
        <v>17</v>
      </c>
      <c r="W37" s="775">
        <f t="shared" si="14"/>
        <v>100</v>
      </c>
      <c r="X37" s="1817"/>
      <c r="Y37" s="3302"/>
      <c r="Z37" s="1818" t="str">
        <f t="shared" si="15"/>
        <v>成新度</v>
      </c>
      <c r="AA37" s="1815">
        <f t="shared" si="3"/>
        <v>1</v>
      </c>
      <c r="AB37" s="1815">
        <f t="shared" si="4"/>
        <v>1</v>
      </c>
      <c r="AC37" s="2678">
        <f t="shared" si="5"/>
        <v>1</v>
      </c>
    </row>
    <row r="38" spans="1:29" s="117" customFormat="1" ht="15">
      <c r="A38" s="474"/>
      <c r="B38" s="423" t="s">
        <v>2688</v>
      </c>
      <c r="C38" s="461" t="s">
        <v>3348</v>
      </c>
      <c r="D38" s="136">
        <v>100</v>
      </c>
      <c r="E38" s="461" t="s">
        <v>3348</v>
      </c>
      <c r="F38" s="462">
        <f>SUMIF(113:113,E38,114:114)-SUMIF(113:113,C38,114:114)+100</f>
        <v>100</v>
      </c>
      <c r="G38" s="461" t="s">
        <v>3348</v>
      </c>
      <c r="H38" s="436">
        <f>SUMIF(113:113,G38,114:114)-SUMIF(113:113,C38,114:114)+100</f>
        <v>100</v>
      </c>
      <c r="I38" s="461" t="s">
        <v>3348</v>
      </c>
      <c r="J38" s="436">
        <f>SUMIF(113:113,I38,114:114)-SUMIF(113:113,C38,114:114)+100</f>
        <v>100</v>
      </c>
      <c r="K38" s="613">
        <v>5</v>
      </c>
      <c r="L38" s="1135"/>
      <c r="M38" s="1136"/>
      <c r="N38" s="1136"/>
      <c r="O38" s="1136"/>
      <c r="P38" s="3300"/>
      <c r="Q38" s="1799" t="str">
        <f t="shared" si="11"/>
        <v>写字楼等级</v>
      </c>
      <c r="R38" s="770" t="s">
        <v>17</v>
      </c>
      <c r="S38" s="771">
        <f t="shared" si="12"/>
        <v>100</v>
      </c>
      <c r="T38" s="770" t="s">
        <v>17</v>
      </c>
      <c r="U38" s="771">
        <f t="shared" si="13"/>
        <v>100</v>
      </c>
      <c r="V38" s="770" t="s">
        <v>17</v>
      </c>
      <c r="W38" s="771">
        <f t="shared" si="14"/>
        <v>100</v>
      </c>
      <c r="X38" s="772"/>
      <c r="Y38" s="3302"/>
      <c r="Z38" s="55" t="str">
        <f t="shared" si="15"/>
        <v>写字楼等级</v>
      </c>
      <c r="AA38" s="773">
        <f t="shared" si="3"/>
        <v>1</v>
      </c>
      <c r="AB38" s="773">
        <f t="shared" si="4"/>
        <v>1</v>
      </c>
      <c r="AC38" s="2675">
        <f t="shared" si="5"/>
        <v>1</v>
      </c>
    </row>
    <row r="39" spans="1:29" ht="15">
      <c r="A39" s="473"/>
      <c r="B39" s="423" t="s">
        <v>2689</v>
      </c>
      <c r="C39" s="461" t="s">
        <v>3395</v>
      </c>
      <c r="D39" s="436">
        <v>100</v>
      </c>
      <c r="E39" s="461" t="s">
        <v>3395</v>
      </c>
      <c r="F39" s="462">
        <f>SUMIF(115:115,E39,116:116)-SUMIF(115:115,C39,116:116)+100</f>
        <v>100</v>
      </c>
      <c r="G39" s="461" t="s">
        <v>3395</v>
      </c>
      <c r="H39" s="436">
        <f>SUMIF(115:115,G39,116:116)-SUMIF(115:115,C39,116:116)+100</f>
        <v>100</v>
      </c>
      <c r="I39" s="461" t="s">
        <v>3395</v>
      </c>
      <c r="J39" s="436">
        <f>SUMIF(115:115,I39,116:116)-SUMIF(115:115,C39,116:116)+100</f>
        <v>100</v>
      </c>
      <c r="K39" s="613">
        <v>5</v>
      </c>
      <c r="L39" s="1143"/>
      <c r="M39" s="1134"/>
      <c r="N39" s="1134"/>
      <c r="O39" s="1134"/>
      <c r="P39" s="3300" t="s">
        <v>2559</v>
      </c>
      <c r="Q39" s="1814" t="str">
        <f t="shared" si="11"/>
        <v>物业管理</v>
      </c>
      <c r="R39" s="774" t="s">
        <v>17</v>
      </c>
      <c r="S39" s="775">
        <f t="shared" si="12"/>
        <v>100</v>
      </c>
      <c r="T39" s="774" t="s">
        <v>17</v>
      </c>
      <c r="U39" s="775">
        <f t="shared" si="13"/>
        <v>100</v>
      </c>
      <c r="V39" s="774" t="s">
        <v>17</v>
      </c>
      <c r="W39" s="775">
        <f t="shared" si="14"/>
        <v>100</v>
      </c>
      <c r="X39" s="1817"/>
      <c r="Y39" s="3302" t="s">
        <v>2559</v>
      </c>
      <c r="Z39" s="1818" t="str">
        <f t="shared" si="15"/>
        <v>物业管理</v>
      </c>
      <c r="AA39" s="1815">
        <f t="shared" si="3"/>
        <v>1</v>
      </c>
      <c r="AB39" s="1815">
        <f t="shared" si="4"/>
        <v>1</v>
      </c>
      <c r="AC39" s="2678">
        <f t="shared" si="5"/>
        <v>1</v>
      </c>
    </row>
    <row r="40" spans="1:29" ht="15">
      <c r="A40" s="473"/>
      <c r="B40" s="423" t="s">
        <v>2657</v>
      </c>
      <c r="C40" s="461" t="s">
        <v>3357</v>
      </c>
      <c r="D40" s="436">
        <v>100</v>
      </c>
      <c r="E40" s="461" t="s">
        <v>3357</v>
      </c>
      <c r="F40" s="462">
        <f>SUMIF(117:117,E40,118:118)-SUMIF(117:117,C40,118:118)+100</f>
        <v>100</v>
      </c>
      <c r="G40" s="461" t="s">
        <v>3357</v>
      </c>
      <c r="H40" s="436">
        <f>SUMIF(117:117,G40,118:118)-SUMIF(117:117,C40,118:118)+100</f>
        <v>100</v>
      </c>
      <c r="I40" s="461" t="s">
        <v>3357</v>
      </c>
      <c r="J40" s="436">
        <f>SUMIF(117:117,I40,118:118)-SUMIF(117:117,C40,118:118)+100</f>
        <v>100</v>
      </c>
      <c r="K40" s="613">
        <v>1</v>
      </c>
      <c r="L40" s="1143"/>
      <c r="M40" s="1134"/>
      <c r="N40" s="1134"/>
      <c r="O40" s="1134"/>
      <c r="P40" s="3300"/>
      <c r="Q40" s="1814" t="str">
        <f t="shared" si="11"/>
        <v>市政基础设施</v>
      </c>
      <c r="R40" s="774" t="s">
        <v>17</v>
      </c>
      <c r="S40" s="775">
        <f t="shared" si="12"/>
        <v>100</v>
      </c>
      <c r="T40" s="774" t="s">
        <v>17</v>
      </c>
      <c r="U40" s="775">
        <f t="shared" si="13"/>
        <v>100</v>
      </c>
      <c r="V40" s="774" t="s">
        <v>17</v>
      </c>
      <c r="W40" s="775">
        <f t="shared" si="14"/>
        <v>100</v>
      </c>
      <c r="X40" s="1817"/>
      <c r="Y40" s="3302"/>
      <c r="Z40" s="1818" t="str">
        <f t="shared" si="15"/>
        <v>市政基础设施</v>
      </c>
      <c r="AA40" s="1815">
        <f t="shared" si="3"/>
        <v>1</v>
      </c>
      <c r="AB40" s="1815">
        <f t="shared" si="4"/>
        <v>1</v>
      </c>
      <c r="AC40" s="2678">
        <f t="shared" si="5"/>
        <v>1</v>
      </c>
    </row>
    <row r="41" spans="1:29" ht="15">
      <c r="A41" s="473"/>
      <c r="B41" s="423" t="s">
        <v>2659</v>
      </c>
      <c r="C41" s="617" t="s">
        <v>3363</v>
      </c>
      <c r="D41" s="436">
        <v>100</v>
      </c>
      <c r="E41" s="617" t="s">
        <v>3363</v>
      </c>
      <c r="F41" s="462">
        <f>SUMIF(119:119,E41,120:120)-SUMIF(119:119,C41,120:120)+100</f>
        <v>100</v>
      </c>
      <c r="G41" s="617" t="s">
        <v>3363</v>
      </c>
      <c r="H41" s="436">
        <f>SUMIF(119:119,G41,120:120)-SUMIF(119:119,C41,120:120)+100</f>
        <v>100</v>
      </c>
      <c r="I41" s="617" t="s">
        <v>3363</v>
      </c>
      <c r="J41" s="436">
        <f>SUMIF(119:119,I41,120:120)-SUMIF(119:119,C41,120:120)+100</f>
        <v>100</v>
      </c>
      <c r="K41" s="613">
        <v>2</v>
      </c>
      <c r="L41" s="1143"/>
      <c r="M41" s="1134"/>
      <c r="N41" s="1134"/>
      <c r="O41" s="1134"/>
      <c r="P41" s="3300"/>
      <c r="Q41" s="1814" t="str">
        <f t="shared" si="11"/>
        <v>层高</v>
      </c>
      <c r="R41" s="774" t="s">
        <v>17</v>
      </c>
      <c r="S41" s="775">
        <f t="shared" si="12"/>
        <v>100</v>
      </c>
      <c r="T41" s="774" t="s">
        <v>17</v>
      </c>
      <c r="U41" s="775">
        <f t="shared" si="13"/>
        <v>100</v>
      </c>
      <c r="V41" s="774" t="s">
        <v>17</v>
      </c>
      <c r="W41" s="775">
        <f t="shared" si="14"/>
        <v>100</v>
      </c>
      <c r="X41" s="1817"/>
      <c r="Y41" s="3302"/>
      <c r="Z41" s="1818" t="str">
        <f t="shared" si="15"/>
        <v>层高</v>
      </c>
      <c r="AA41" s="1815">
        <f t="shared" si="3"/>
        <v>1</v>
      </c>
      <c r="AB41" s="1815">
        <f t="shared" si="4"/>
        <v>1</v>
      </c>
      <c r="AC41" s="2678">
        <f t="shared" si="5"/>
        <v>1</v>
      </c>
    </row>
    <row r="42" spans="1:29" s="472" customFormat="1" ht="15" hidden="1">
      <c r="A42" s="469"/>
      <c r="B42" s="1816" t="s">
        <v>2690</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300"/>
      <c r="Q42" s="776" t="str">
        <f t="shared" si="11"/>
        <v>单套建筑面积</v>
      </c>
      <c r="R42" s="777" t="s">
        <v>17</v>
      </c>
      <c r="S42" s="778">
        <f t="shared" si="12"/>
        <v>100</v>
      </c>
      <c r="T42" s="777" t="s">
        <v>17</v>
      </c>
      <c r="U42" s="778">
        <f t="shared" si="13"/>
        <v>100</v>
      </c>
      <c r="V42" s="777" t="s">
        <v>17</v>
      </c>
      <c r="W42" s="778">
        <f t="shared" si="14"/>
        <v>100</v>
      </c>
      <c r="X42" s="779"/>
      <c r="Y42" s="3302"/>
      <c r="Z42" s="780" t="str">
        <f t="shared" si="15"/>
        <v>单套建筑面积</v>
      </c>
      <c r="AA42" s="1815">
        <f t="shared" si="3"/>
        <v>1</v>
      </c>
      <c r="AB42" s="1815">
        <f t="shared" si="4"/>
        <v>1</v>
      </c>
      <c r="AC42" s="2678">
        <f t="shared" si="5"/>
        <v>1</v>
      </c>
    </row>
    <row r="43" spans="1:29" ht="15">
      <c r="A43" s="473"/>
      <c r="B43" s="423" t="s">
        <v>2662</v>
      </c>
      <c r="C43" s="461" t="s">
        <v>3343</v>
      </c>
      <c r="D43" s="436">
        <v>100</v>
      </c>
      <c r="E43" s="461" t="s">
        <v>3343</v>
      </c>
      <c r="F43" s="462">
        <f>SUMIF(123:123,E43,124:124)-SUMIF(123:123,C43,124:124)+100</f>
        <v>100</v>
      </c>
      <c r="G43" s="461" t="s">
        <v>3343</v>
      </c>
      <c r="H43" s="436">
        <f>SUMIF(123:123,G43,124:124)-SUMIF(123:123,C43,124:124)+100</f>
        <v>100</v>
      </c>
      <c r="I43" s="461" t="s">
        <v>3343</v>
      </c>
      <c r="J43" s="436">
        <f>SUMIF(123:123,I43,124:124)-SUMIF(123:123,C43,124:124)+100</f>
        <v>100</v>
      </c>
      <c r="K43" s="613">
        <v>2</v>
      </c>
      <c r="L43" s="1143"/>
      <c r="M43" s="1134"/>
      <c r="N43" s="1134"/>
      <c r="O43" s="1134"/>
      <c r="P43" s="3300"/>
      <c r="Q43" s="1814" t="str">
        <f t="shared" si="11"/>
        <v>内部装修</v>
      </c>
      <c r="R43" s="774" t="s">
        <v>17</v>
      </c>
      <c r="S43" s="775">
        <f t="shared" si="12"/>
        <v>100</v>
      </c>
      <c r="T43" s="774" t="s">
        <v>17</v>
      </c>
      <c r="U43" s="775">
        <f t="shared" si="13"/>
        <v>100</v>
      </c>
      <c r="V43" s="774" t="s">
        <v>17</v>
      </c>
      <c r="W43" s="775">
        <f t="shared" si="14"/>
        <v>100</v>
      </c>
      <c r="X43" s="1817"/>
      <c r="Y43" s="3302"/>
      <c r="Z43" s="1818" t="str">
        <f t="shared" si="15"/>
        <v>内部装修</v>
      </c>
      <c r="AA43" s="1815">
        <f t="shared" si="3"/>
        <v>1</v>
      </c>
      <c r="AB43" s="1815">
        <f t="shared" si="4"/>
        <v>1</v>
      </c>
      <c r="AC43" s="2678">
        <f t="shared" si="5"/>
        <v>1</v>
      </c>
    </row>
    <row r="44" spans="1:29" ht="15.75" thickBot="1">
      <c r="A44" s="473"/>
      <c r="B44" s="423" t="s">
        <v>2570</v>
      </c>
      <c r="C44" s="461" t="s">
        <v>3321</v>
      </c>
      <c r="D44" s="436">
        <v>100</v>
      </c>
      <c r="E44" s="3054" t="s">
        <v>3406</v>
      </c>
      <c r="F44" s="462">
        <f>SUMIF(125:125,E44,126:126)-SUMIF(125:125,C44,126:126)+100</f>
        <v>100</v>
      </c>
      <c r="G44" s="3054" t="s">
        <v>3406</v>
      </c>
      <c r="H44" s="436">
        <f>SUMIF(125:125,G44,126:126)-SUMIF(125:125,C44,126:126)+100</f>
        <v>100</v>
      </c>
      <c r="I44" s="3054" t="s">
        <v>3406</v>
      </c>
      <c r="J44" s="436">
        <f>SUMIF(125:125,I44,126:126)-SUMIF(125:125,C44,126:126)+100</f>
        <v>100</v>
      </c>
      <c r="K44" s="613"/>
      <c r="L44" s="1143"/>
      <c r="M44" s="1134"/>
      <c r="N44" s="1134"/>
      <c r="O44" s="1134"/>
      <c r="P44" s="3300"/>
      <c r="Q44" s="1814" t="str">
        <f t="shared" si="11"/>
        <v>内部装修维护情况</v>
      </c>
      <c r="R44" s="774" t="s">
        <v>17</v>
      </c>
      <c r="S44" s="775">
        <f t="shared" si="12"/>
        <v>100</v>
      </c>
      <c r="T44" s="774" t="s">
        <v>17</v>
      </c>
      <c r="U44" s="775">
        <f t="shared" si="13"/>
        <v>100</v>
      </c>
      <c r="V44" s="774" t="s">
        <v>17</v>
      </c>
      <c r="W44" s="775">
        <f t="shared" si="14"/>
        <v>100</v>
      </c>
      <c r="X44" s="1817"/>
      <c r="Y44" s="3302"/>
      <c r="Z44" s="1818" t="str">
        <f t="shared" si="15"/>
        <v>内部装修维护情况</v>
      </c>
      <c r="AA44" s="1815">
        <f t="shared" si="3"/>
        <v>1</v>
      </c>
      <c r="AB44" s="1815">
        <f t="shared" si="4"/>
        <v>1</v>
      </c>
      <c r="AC44" s="2678">
        <f t="shared" si="5"/>
        <v>1</v>
      </c>
    </row>
    <row r="45" spans="1:29" s="117" customFormat="1" ht="15" hidden="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300"/>
      <c r="Q45" s="1799">
        <f t="shared" si="11"/>
        <v>0</v>
      </c>
      <c r="R45" s="770" t="s">
        <v>17</v>
      </c>
      <c r="S45" s="771">
        <f t="shared" si="12"/>
        <v>100</v>
      </c>
      <c r="T45" s="770" t="s">
        <v>17</v>
      </c>
      <c r="U45" s="771">
        <f t="shared" si="13"/>
        <v>100</v>
      </c>
      <c r="V45" s="770" t="s">
        <v>17</v>
      </c>
      <c r="W45" s="771">
        <f t="shared" si="14"/>
        <v>100</v>
      </c>
      <c r="X45" s="772"/>
      <c r="Y45" s="3302"/>
      <c r="Z45" s="55">
        <f t="shared" si="15"/>
        <v>0</v>
      </c>
      <c r="AA45" s="773">
        <f t="shared" si="3"/>
        <v>1</v>
      </c>
      <c r="AB45" s="773">
        <f t="shared" si="4"/>
        <v>1</v>
      </c>
      <c r="AC45" s="2675">
        <f t="shared" si="5"/>
        <v>1</v>
      </c>
    </row>
    <row r="46" spans="1:29" ht="15" hidden="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300"/>
      <c r="Q46" s="1814">
        <f t="shared" si="11"/>
        <v>0</v>
      </c>
      <c r="R46" s="774" t="s">
        <v>17</v>
      </c>
      <c r="S46" s="775">
        <f t="shared" si="12"/>
        <v>100</v>
      </c>
      <c r="T46" s="774" t="s">
        <v>17</v>
      </c>
      <c r="U46" s="775">
        <f t="shared" si="13"/>
        <v>100</v>
      </c>
      <c r="V46" s="774" t="s">
        <v>17</v>
      </c>
      <c r="W46" s="775">
        <f t="shared" si="14"/>
        <v>100</v>
      </c>
      <c r="X46" s="1817"/>
      <c r="Y46" s="3302"/>
      <c r="Z46" s="1818">
        <f t="shared" si="15"/>
        <v>0</v>
      </c>
      <c r="AA46" s="1815">
        <f t="shared" si="3"/>
        <v>1</v>
      </c>
      <c r="AB46" s="1815">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301"/>
      <c r="Q47" s="1814">
        <f t="shared" si="11"/>
        <v>0</v>
      </c>
      <c r="R47" s="774" t="s">
        <v>17</v>
      </c>
      <c r="S47" s="775">
        <f t="shared" si="12"/>
        <v>100</v>
      </c>
      <c r="T47" s="774" t="s">
        <v>17</v>
      </c>
      <c r="U47" s="775">
        <f t="shared" si="13"/>
        <v>100</v>
      </c>
      <c r="V47" s="774" t="s">
        <v>17</v>
      </c>
      <c r="W47" s="775">
        <f t="shared" si="14"/>
        <v>100</v>
      </c>
      <c r="X47" s="1817"/>
      <c r="Y47" s="3303"/>
      <c r="Z47" s="1818">
        <f t="shared" si="15"/>
        <v>0</v>
      </c>
      <c r="AA47" s="1815">
        <f t="shared" si="3"/>
        <v>1</v>
      </c>
      <c r="AB47" s="1815">
        <f t="shared" si="4"/>
        <v>1</v>
      </c>
      <c r="AC47" s="2678">
        <f t="shared" si="5"/>
        <v>1</v>
      </c>
    </row>
    <row r="48" spans="1:29" ht="15">
      <c r="A48" s="480" t="s">
        <v>2571</v>
      </c>
      <c r="B48" s="481"/>
      <c r="C48" s="1410" t="s">
        <v>1</v>
      </c>
      <c r="D48" s="1411"/>
      <c r="E48" s="1412">
        <f>44000*0.9</f>
        <v>39600</v>
      </c>
      <c r="F48" s="1413"/>
      <c r="G48" s="1414">
        <f>48500*0.9</f>
        <v>43650</v>
      </c>
      <c r="H48" s="1415"/>
      <c r="I48" s="1412">
        <f>45000*0.9</f>
        <v>40500</v>
      </c>
      <c r="J48" s="486"/>
      <c r="K48" s="783"/>
      <c r="L48" s="1146"/>
      <c r="M48" s="1134"/>
      <c r="N48" s="1134"/>
      <c r="O48" s="1134"/>
      <c r="P48" s="3275" t="str">
        <f>A48</f>
        <v>成交单价（元/平方米）</v>
      </c>
      <c r="Q48" s="3304"/>
      <c r="R48" s="3305">
        <f>E48</f>
        <v>39600</v>
      </c>
      <c r="S48" s="3305"/>
      <c r="T48" s="3305">
        <f>G48</f>
        <v>43650</v>
      </c>
      <c r="U48" s="3305"/>
      <c r="V48" s="3305">
        <f>I48</f>
        <v>40500</v>
      </c>
      <c r="W48" s="3305"/>
      <c r="X48" s="447"/>
      <c r="Y48" s="781"/>
      <c r="Z48" s="447"/>
      <c r="AA48" s="447"/>
      <c r="AB48" s="447"/>
      <c r="AC48" s="631"/>
    </row>
    <row r="49" spans="1:29" ht="15.75" thickBot="1">
      <c r="A49" s="487" t="s">
        <v>2663</v>
      </c>
      <c r="B49" s="488"/>
      <c r="C49" s="1416">
        <f>R50</f>
        <v>37806</v>
      </c>
      <c r="D49" s="1417"/>
      <c r="E49" s="1418">
        <f>R49</f>
        <v>37714</v>
      </c>
      <c r="F49" s="1418"/>
      <c r="G49" s="1416">
        <f>T49</f>
        <v>40040</v>
      </c>
      <c r="H49" s="1417"/>
      <c r="I49" s="1418">
        <f>V49</f>
        <v>35665</v>
      </c>
      <c r="J49" s="490"/>
      <c r="K49" s="784"/>
      <c r="L49" s="1146"/>
      <c r="M49" s="1134"/>
      <c r="N49" s="1134"/>
      <c r="O49" s="1134"/>
      <c r="P49" s="3275" t="str">
        <f>A49</f>
        <v>比较价值（元/平方米）</v>
      </c>
      <c r="Q49" s="3304"/>
      <c r="R49" s="3305">
        <f>IF(F1="售价",ROUND(PRODUCT(R48,AA7:AA47),0),ROUND(PRODUCT(R48,AA7:AA47),1))</f>
        <v>37714</v>
      </c>
      <c r="S49" s="3305"/>
      <c r="T49" s="3305">
        <f>IF(F1="售价",ROUND(PRODUCT(T48,AB7:AB47),0),ROUND(PRODUCT(T48,AB7:AB47),1))</f>
        <v>40040</v>
      </c>
      <c r="U49" s="3305"/>
      <c r="V49" s="3305">
        <f>IF(F1="售价",ROUND(PRODUCT(V48,AC7:AC47),0),ROUND(PRODUCT(V48,AC7:AC47),1))</f>
        <v>35665</v>
      </c>
      <c r="W49" s="3305"/>
      <c r="X49" s="447"/>
      <c r="Y49" s="447"/>
      <c r="Z49" s="447"/>
      <c r="AA49" s="447"/>
      <c r="AB49" s="447"/>
      <c r="AC49" s="631"/>
    </row>
    <row r="50" spans="1:29" ht="53.25" customHeight="1" thickBot="1">
      <c r="A50" s="3043" t="s">
        <v>3365</v>
      </c>
      <c r="B50" s="494"/>
      <c r="C50" s="1420">
        <f>R50</f>
        <v>37806</v>
      </c>
      <c r="D50" s="1420"/>
      <c r="E50" s="1420"/>
      <c r="F50" s="1420"/>
      <c r="G50" s="1420"/>
      <c r="H50" s="1420"/>
      <c r="I50" s="1420"/>
      <c r="J50" s="495"/>
      <c r="K50" s="785"/>
      <c r="L50" s="1146"/>
      <c r="M50" s="1134"/>
      <c r="N50" s="1134"/>
      <c r="O50" s="1134"/>
      <c r="P50" s="3306" t="str">
        <f>A50</f>
        <v>估价对象501号办公用房的比较价值</v>
      </c>
      <c r="Q50" s="3307"/>
      <c r="R50" s="3308">
        <f>IF(F1="售价",ROUND(AVERAGE(R49:V49),0),ROUND(AVERAGE(R49:V49),1))</f>
        <v>37806</v>
      </c>
      <c r="S50" s="3308"/>
      <c r="T50" s="3308"/>
      <c r="U50" s="3308"/>
      <c r="V50" s="3308"/>
      <c r="W50" s="330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2665</v>
      </c>
      <c r="D53" s="499"/>
      <c r="E53" s="500">
        <f>IF(E48&lt;E49,E49/E48-1,E48/E49-1)</f>
        <v>5.0007954605716609E-2</v>
      </c>
      <c r="F53" s="501" t="str">
        <f>IF(OR(E53&gt;=0.3,E53&lt;=-0.3),"超过30%","")</f>
        <v/>
      </c>
      <c r="G53" s="500">
        <f>IF(G48&lt;G49,G49/G48-1,G48/G49-1)</f>
        <v>9.0159840159840243E-2</v>
      </c>
      <c r="H53" s="501" t="str">
        <f>IF(OR(G53&gt;=0.3,G53&lt;=-0.3),"超过30%","")</f>
        <v/>
      </c>
      <c r="I53" s="500">
        <f>IF(I48&lt;I49,I49/I48-1,I48/I49-1)</f>
        <v>0.13556708257395211</v>
      </c>
      <c r="J53" s="501" t="str">
        <f>IF(OR(I53&gt;=0.3,I53&lt;=-0.3),"超过30%","")</f>
        <v/>
      </c>
      <c r="K53" s="1108"/>
      <c r="L53" s="1109"/>
      <c r="M53" s="1147"/>
      <c r="N53" s="1147"/>
      <c r="O53" s="1147"/>
    </row>
    <row r="54" spans="1:29" ht="13.5" customHeight="1">
      <c r="A54" s="1147"/>
      <c r="B54" s="1147"/>
      <c r="C54" s="498" t="s">
        <v>2666</v>
      </c>
      <c r="D54" s="502"/>
      <c r="E54" s="500">
        <f>IF(E49&lt;G49,G49/E49-1,E49/G49-1)</f>
        <v>6.1674709656891258E-2</v>
      </c>
      <c r="F54" s="501" t="str">
        <f>IF(OR(E54&gt;=0.2,E54&lt;=-0.2),"超过20%","")</f>
        <v/>
      </c>
      <c r="G54" s="500">
        <f>IF(G49&lt;I49,I49/G49-1,G49/I49-1)</f>
        <v>0.12266928361138363</v>
      </c>
      <c r="H54" s="501" t="str">
        <f>IF(OR(G54&gt;=0.2,G54&lt;=-0.2),"超过20%","")</f>
        <v/>
      </c>
      <c r="I54" s="500">
        <f>IF(I49&lt;E49,E49/I49-1,I49/E49-1)</f>
        <v>5.7451282770222933E-2</v>
      </c>
      <c r="J54" s="501" t="str">
        <f>IF(OR(I54&gt;=0.2,I54&lt;=-0.2),"超过20%","")</f>
        <v/>
      </c>
      <c r="K54" s="1108"/>
      <c r="L54" s="1109"/>
      <c r="M54" s="1147"/>
      <c r="N54" s="1147"/>
      <c r="O54" s="1147"/>
    </row>
    <row r="55" spans="1:29" s="503" customFormat="1" ht="13.5" customHeight="1">
      <c r="A55" s="1148"/>
      <c r="B55" s="1148"/>
      <c r="C55" s="498" t="s">
        <v>2667</v>
      </c>
      <c r="D55" s="502"/>
      <c r="E55" s="500">
        <f>IF(E48&lt;G48,G48/E48-1,E48/G48-1)</f>
        <v>0.10227272727272729</v>
      </c>
      <c r="F55" s="501" t="str">
        <f>IF(OR(E55&gt;=0.3,E55&lt;=-0.3),"超过30%","")</f>
        <v/>
      </c>
      <c r="G55" s="500">
        <f>IF(G48&lt;I48,I48/G48-1,G48/I48-1)</f>
        <v>7.7777777777777724E-2</v>
      </c>
      <c r="H55" s="501" t="str">
        <f>IF(OR(G55&gt;=0.3,G55&lt;=-0.3),"超过30%","")</f>
        <v/>
      </c>
      <c r="I55" s="500">
        <f>IF(I48&lt;E48,E48/I48-1,I48/E48-1)</f>
        <v>2.2727272727272707E-2</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5"/>
      <c r="Q58" s="505"/>
    </row>
    <row r="59" spans="1:29" s="509" customFormat="1" ht="15">
      <c r="A59" s="506" t="s">
        <v>2542</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2579</v>
      </c>
      <c r="B61" s="517"/>
      <c r="C61" s="518"/>
      <c r="D61" s="519"/>
      <c r="E61" s="519"/>
      <c r="F61" s="519"/>
      <c r="G61" s="519"/>
      <c r="H61" s="519"/>
      <c r="I61" s="519"/>
      <c r="J61" s="519"/>
      <c r="K61" s="519"/>
      <c r="L61" s="519"/>
      <c r="M61" s="520"/>
      <c r="N61" s="519"/>
      <c r="O61" s="520"/>
      <c r="P61" s="2686"/>
      <c r="Q61" s="505"/>
    </row>
    <row r="62" spans="1:29" s="117" customFormat="1" ht="15">
      <c r="A62" s="522" t="s">
        <v>2544</v>
      </c>
      <c r="B62" s="511"/>
      <c r="C62" s="523" t="s">
        <v>2646</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2582</v>
      </c>
      <c r="B64" s="529" t="s">
        <v>2548</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2551</v>
      </c>
      <c r="C66" s="540" t="s">
        <v>2583</v>
      </c>
      <c r="D66" s="540" t="s">
        <v>2584</v>
      </c>
      <c r="E66" s="540" t="s">
        <v>2585</v>
      </c>
      <c r="F66" s="540" t="s">
        <v>2586</v>
      </c>
      <c r="G66" s="540" t="s">
        <v>2587</v>
      </c>
      <c r="H66" s="540" t="s">
        <v>2588</v>
      </c>
      <c r="I66" s="540" t="s">
        <v>2589</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5.75" hidden="1" thickTop="1">
      <c r="A68" s="535"/>
      <c r="B68" s="547" t="s">
        <v>2552</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5" hidden="1">
      <c r="A69" s="535"/>
      <c r="B69" s="549"/>
      <c r="C69" s="550">
        <v>0</v>
      </c>
      <c r="D69" s="550">
        <v>1</v>
      </c>
      <c r="E69" s="550">
        <v>2</v>
      </c>
      <c r="F69" s="550">
        <v>3</v>
      </c>
      <c r="G69" s="550">
        <v>4</v>
      </c>
      <c r="H69" s="550"/>
      <c r="I69" s="550"/>
      <c r="J69" s="550"/>
      <c r="K69" s="551"/>
      <c r="L69" s="552"/>
      <c r="M69" s="553"/>
      <c r="N69" s="1155"/>
      <c r="O69" s="1155"/>
      <c r="P69" s="2688"/>
      <c r="Q69" s="505"/>
    </row>
    <row r="70" spans="1:17" ht="15.75" hidden="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5.75" hidden="1" thickTop="1">
      <c r="A71" s="554"/>
      <c r="B71" s="539">
        <f>B12</f>
        <v>0</v>
      </c>
      <c r="C71" s="555"/>
      <c r="D71" s="555"/>
      <c r="E71" s="555"/>
      <c r="F71" s="555"/>
      <c r="G71" s="555"/>
      <c r="H71" s="556"/>
      <c r="I71" s="556"/>
      <c r="J71" s="556"/>
      <c r="K71" s="556"/>
      <c r="L71" s="557"/>
      <c r="M71" s="558"/>
      <c r="N71" s="1157"/>
      <c r="O71" s="1157"/>
      <c r="P71" s="2689"/>
      <c r="Q71" s="560"/>
    </row>
    <row r="72" spans="1:17" s="472" customFormat="1" ht="15.75" hidden="1" thickBot="1">
      <c r="A72" s="554"/>
      <c r="B72" s="544"/>
      <c r="C72" s="561"/>
      <c r="D72" s="537"/>
      <c r="E72" s="537"/>
      <c r="F72" s="537"/>
      <c r="G72" s="537"/>
      <c r="H72" s="537"/>
      <c r="I72" s="537"/>
      <c r="J72" s="537"/>
      <c r="K72" s="537"/>
      <c r="L72" s="537"/>
      <c r="M72" s="538"/>
      <c r="N72" s="1156"/>
      <c r="O72" s="1156"/>
      <c r="P72" s="2689"/>
      <c r="Q72" s="560"/>
    </row>
    <row r="73" spans="1:17" s="472" customFormat="1" ht="15.75" hidden="1" thickTop="1">
      <c r="A73" s="554"/>
      <c r="B73" s="539">
        <f>B13</f>
        <v>0</v>
      </c>
      <c r="C73" s="555"/>
      <c r="D73" s="555"/>
      <c r="E73" s="555"/>
      <c r="F73" s="555"/>
      <c r="G73" s="555"/>
      <c r="H73" s="556"/>
      <c r="I73" s="556"/>
      <c r="J73" s="556"/>
      <c r="K73" s="556"/>
      <c r="L73" s="557"/>
      <c r="M73" s="558"/>
      <c r="N73" s="1157"/>
      <c r="O73" s="1157"/>
      <c r="P73" s="2690"/>
      <c r="Q73" s="562"/>
    </row>
    <row r="74" spans="1:17" s="472" customFormat="1" ht="15.75" hidden="1" thickBot="1">
      <c r="A74" s="554"/>
      <c r="B74" s="544"/>
      <c r="C74" s="561"/>
      <c r="D74" s="561"/>
      <c r="E74" s="561"/>
      <c r="F74" s="561"/>
      <c r="G74" s="561"/>
      <c r="H74" s="563"/>
      <c r="I74" s="563"/>
      <c r="J74" s="563"/>
      <c r="K74" s="563"/>
      <c r="L74" s="563"/>
      <c r="M74" s="564"/>
      <c r="N74" s="1157"/>
      <c r="O74" s="1157"/>
      <c r="P74" s="2689"/>
      <c r="Q74" s="560"/>
    </row>
    <row r="75" spans="1:17" s="472" customFormat="1" ht="15.75" hidden="1" thickTop="1">
      <c r="A75" s="554"/>
      <c r="B75" s="547">
        <f>B14</f>
        <v>0</v>
      </c>
      <c r="C75" s="524"/>
      <c r="D75" s="524"/>
      <c r="E75" s="524"/>
      <c r="F75" s="524"/>
      <c r="G75" s="524"/>
      <c r="H75" s="565"/>
      <c r="I75" s="565"/>
      <c r="J75" s="565"/>
      <c r="K75" s="565"/>
      <c r="L75" s="566"/>
      <c r="M75" s="567"/>
      <c r="N75" s="1157"/>
      <c r="O75" s="1157"/>
      <c r="P75" s="2691"/>
      <c r="Q75" s="560"/>
    </row>
    <row r="76" spans="1:17" s="472" customFormat="1" ht="15.75" hidden="1" thickBot="1">
      <c r="A76" s="569"/>
      <c r="B76" s="570"/>
      <c r="C76" s="571"/>
      <c r="D76" s="571"/>
      <c r="E76" s="571"/>
      <c r="F76" s="571"/>
      <c r="G76" s="571"/>
      <c r="H76" s="572"/>
      <c r="I76" s="572"/>
      <c r="J76" s="572"/>
      <c r="K76" s="572"/>
      <c r="L76" s="572"/>
      <c r="M76" s="573"/>
      <c r="N76" s="1157"/>
      <c r="O76" s="1157"/>
      <c r="P76" s="2689"/>
      <c r="Q76" s="560"/>
    </row>
    <row r="77" spans="1:17" ht="15" thickTop="1">
      <c r="A77" s="528" t="s">
        <v>2553</v>
      </c>
      <c r="B77" s="529" t="s">
        <v>2691</v>
      </c>
      <c r="C77" s="574" t="s">
        <v>2591</v>
      </c>
      <c r="D77" s="574" t="s">
        <v>2592</v>
      </c>
      <c r="E77" s="574" t="s">
        <v>2593</v>
      </c>
      <c r="F77" s="574" t="s">
        <v>2594</v>
      </c>
      <c r="G77" s="574" t="s">
        <v>2595</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2596</v>
      </c>
      <c r="C79" s="579" t="s">
        <v>2591</v>
      </c>
      <c r="D79" s="579" t="s">
        <v>2592</v>
      </c>
      <c r="E79" s="579" t="s">
        <v>2593</v>
      </c>
      <c r="F79" s="579" t="s">
        <v>2594</v>
      </c>
      <c r="G79" s="579" t="s">
        <v>2595</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2597</v>
      </c>
      <c r="C81" s="579" t="s">
        <v>2591</v>
      </c>
      <c r="D81" s="579" t="s">
        <v>2592</v>
      </c>
      <c r="E81" s="579" t="s">
        <v>2593</v>
      </c>
      <c r="F81" s="579" t="s">
        <v>2594</v>
      </c>
      <c r="G81" s="579" t="s">
        <v>2595</v>
      </c>
      <c r="H81" s="540"/>
      <c r="I81" s="540"/>
      <c r="J81" s="540"/>
      <c r="K81" s="541"/>
      <c r="L81" s="542"/>
      <c r="M81" s="543"/>
      <c r="N81" s="1155"/>
      <c r="O81" s="1155"/>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88"/>
      <c r="Q82" s="505"/>
    </row>
    <row r="83" spans="1:17" ht="15.75" thickTop="1">
      <c r="A83" s="535"/>
      <c r="B83" s="547" t="s">
        <v>2683</v>
      </c>
      <c r="C83" s="661" t="s">
        <v>2669</v>
      </c>
      <c r="D83" s="661" t="s">
        <v>2670</v>
      </c>
      <c r="E83" s="661" t="s">
        <v>2671</v>
      </c>
      <c r="F83" s="661" t="s">
        <v>2672</v>
      </c>
      <c r="G83" s="661" t="s">
        <v>2673</v>
      </c>
      <c r="H83" s="540"/>
      <c r="I83" s="540"/>
      <c r="J83" s="540"/>
      <c r="K83" s="540"/>
      <c r="L83" s="540"/>
      <c r="M83" s="1385"/>
      <c r="N83" s="1156"/>
      <c r="O83" s="1156"/>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6"/>
      <c r="O84" s="1156"/>
      <c r="P84" s="2688"/>
      <c r="Q84" s="505"/>
    </row>
    <row r="85" spans="1:17" ht="15.75" thickTop="1">
      <c r="A85" s="535"/>
      <c r="B85" s="539" t="s">
        <v>2692</v>
      </c>
      <c r="C85" s="579" t="s">
        <v>2591</v>
      </c>
      <c r="D85" s="579" t="s">
        <v>2592</v>
      </c>
      <c r="E85" s="579" t="s">
        <v>2593</v>
      </c>
      <c r="F85" s="579" t="s">
        <v>2594</v>
      </c>
      <c r="G85" s="579" t="s">
        <v>2595</v>
      </c>
      <c r="H85" s="540"/>
      <c r="I85" s="540"/>
      <c r="J85" s="540"/>
      <c r="K85" s="541"/>
      <c r="L85" s="542"/>
      <c r="M85" s="543"/>
      <c r="N85" s="1155"/>
      <c r="O85" s="1155"/>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88"/>
      <c r="Q86" s="505"/>
    </row>
    <row r="87" spans="1:17" s="117" customFormat="1" ht="27.75" thickTop="1">
      <c r="A87" s="580"/>
      <c r="B87" s="539" t="s">
        <v>2693</v>
      </c>
      <c r="C87" s="3040" t="s">
        <v>3326</v>
      </c>
      <c r="D87" s="3056" t="s">
        <v>3413</v>
      </c>
      <c r="E87" s="3040" t="s">
        <v>3327</v>
      </c>
      <c r="F87" s="3040" t="s">
        <v>3328</v>
      </c>
      <c r="G87" s="3040" t="s">
        <v>3329</v>
      </c>
      <c r="H87" s="555"/>
      <c r="I87" s="555"/>
      <c r="J87" s="555"/>
      <c r="K87" s="555"/>
      <c r="L87" s="581"/>
      <c r="M87" s="582"/>
      <c r="N87" s="1154"/>
      <c r="O87" s="1154"/>
      <c r="P87" s="2688"/>
      <c r="Q87" s="505"/>
    </row>
    <row r="88" spans="1:17" s="117" customFormat="1" ht="15.75" thickBot="1">
      <c r="A88" s="580"/>
      <c r="B88" s="544"/>
      <c r="C88" s="583">
        <v>100</v>
      </c>
      <c r="D88" s="545">
        <f t="shared" ref="D88:M88" si="19">C88-$K25</f>
        <v>99</v>
      </c>
      <c r="E88" s="545">
        <f t="shared" si="19"/>
        <v>98</v>
      </c>
      <c r="F88" s="545">
        <f t="shared" si="19"/>
        <v>97</v>
      </c>
      <c r="G88" s="545">
        <f t="shared" si="19"/>
        <v>96</v>
      </c>
      <c r="H88" s="545">
        <f t="shared" si="19"/>
        <v>95</v>
      </c>
      <c r="I88" s="545">
        <f t="shared" si="19"/>
        <v>94</v>
      </c>
      <c r="J88" s="545">
        <f t="shared" si="19"/>
        <v>93</v>
      </c>
      <c r="K88" s="545">
        <f t="shared" si="19"/>
        <v>92</v>
      </c>
      <c r="L88" s="545">
        <f t="shared" si="19"/>
        <v>91</v>
      </c>
      <c r="M88" s="545">
        <f t="shared" si="19"/>
        <v>90</v>
      </c>
      <c r="N88" s="1156"/>
      <c r="O88" s="1156"/>
      <c r="P88" s="2688"/>
      <c r="Q88" s="505"/>
    </row>
    <row r="89" spans="1:17" s="117" customFormat="1" ht="15.75" thickTop="1">
      <c r="A89" s="580"/>
      <c r="B89" s="539" t="str">
        <f>B27</f>
        <v>楼层</v>
      </c>
      <c r="C89" s="3040" t="s">
        <v>3331</v>
      </c>
      <c r="D89" s="3040" t="s">
        <v>3333</v>
      </c>
      <c r="E89" s="3040" t="s">
        <v>3335</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5.75" hidden="1" thickTop="1">
      <c r="A91" s="554"/>
      <c r="B91" s="539" t="str">
        <f>B28</f>
        <v>朝向</v>
      </c>
      <c r="C91" s="555"/>
      <c r="D91" s="555"/>
      <c r="E91" s="555"/>
      <c r="F91" s="555"/>
      <c r="G91" s="555"/>
      <c r="H91" s="556"/>
      <c r="I91" s="556"/>
      <c r="J91" s="556"/>
      <c r="K91" s="556"/>
      <c r="L91" s="557"/>
      <c r="M91" s="558"/>
      <c r="N91" s="1157"/>
      <c r="O91" s="1157"/>
      <c r="P91" s="2689"/>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5.75" hidden="1" thickTop="1">
      <c r="A93" s="535"/>
      <c r="B93" s="539">
        <f>B29</f>
        <v>0</v>
      </c>
      <c r="C93" s="555"/>
      <c r="D93" s="555"/>
      <c r="E93" s="555"/>
      <c r="F93" s="555"/>
      <c r="G93" s="555"/>
      <c r="H93" s="555"/>
      <c r="I93" s="555"/>
      <c r="J93" s="555"/>
      <c r="K93" s="555"/>
      <c r="L93" s="581"/>
      <c r="M93" s="582"/>
      <c r="N93" s="1155"/>
      <c r="O93" s="1155"/>
      <c r="P93" s="2688"/>
      <c r="Q93" s="505"/>
    </row>
    <row r="94" spans="1:17" ht="15.75" hidden="1" thickBot="1">
      <c r="A94" s="535"/>
      <c r="B94" s="544"/>
      <c r="C94" s="561"/>
      <c r="D94" s="537"/>
      <c r="E94" s="537"/>
      <c r="F94" s="537"/>
      <c r="G94" s="537"/>
      <c r="H94" s="537"/>
      <c r="I94" s="537"/>
      <c r="J94" s="537"/>
      <c r="K94" s="537"/>
      <c r="L94" s="537"/>
      <c r="M94" s="538"/>
      <c r="N94" s="1156"/>
      <c r="O94" s="1156"/>
      <c r="P94" s="2688"/>
      <c r="Q94" s="505"/>
    </row>
    <row r="95" spans="1:17" ht="15.75" hidden="1" thickTop="1">
      <c r="A95" s="535"/>
      <c r="B95" s="539">
        <f>B30</f>
        <v>0</v>
      </c>
      <c r="C95" s="555"/>
      <c r="D95" s="555"/>
      <c r="E95" s="555"/>
      <c r="F95" s="555"/>
      <c r="G95" s="584"/>
      <c r="H95" s="584"/>
      <c r="I95" s="584"/>
      <c r="J95" s="584"/>
      <c r="K95" s="585"/>
      <c r="L95" s="586"/>
      <c r="M95" s="587"/>
      <c r="N95" s="1155"/>
      <c r="O95" s="1155"/>
      <c r="P95" s="2688"/>
      <c r="Q95" s="505"/>
    </row>
    <row r="96" spans="1:17" ht="15.75" hidden="1" thickBot="1">
      <c r="A96" s="535"/>
      <c r="B96" s="544"/>
      <c r="C96" s="561"/>
      <c r="D96" s="561"/>
      <c r="E96" s="561"/>
      <c r="F96" s="561"/>
      <c r="G96" s="537"/>
      <c r="H96" s="537"/>
      <c r="I96" s="537"/>
      <c r="J96" s="537"/>
      <c r="K96" s="537"/>
      <c r="L96" s="537"/>
      <c r="M96" s="538"/>
      <c r="N96" s="1156"/>
      <c r="O96" s="1156"/>
      <c r="P96" s="2688"/>
      <c r="Q96" s="505"/>
    </row>
    <row r="97" spans="1:17" ht="15.75" hidden="1" thickTop="1">
      <c r="A97" s="535"/>
      <c r="B97" s="539">
        <f>B31</f>
        <v>0</v>
      </c>
      <c r="C97" s="555"/>
      <c r="D97" s="555"/>
      <c r="E97" s="555"/>
      <c r="F97" s="555"/>
      <c r="G97" s="584"/>
      <c r="H97" s="584"/>
      <c r="I97" s="584"/>
      <c r="J97" s="584"/>
      <c r="K97" s="585"/>
      <c r="L97" s="586"/>
      <c r="M97" s="587"/>
      <c r="N97" s="1155"/>
      <c r="O97" s="1155"/>
      <c r="P97" s="2688"/>
      <c r="Q97" s="505"/>
    </row>
    <row r="98" spans="1:17" ht="15.75" hidden="1" thickBot="1">
      <c r="A98" s="535"/>
      <c r="B98" s="544"/>
      <c r="C98" s="561"/>
      <c r="D98" s="537"/>
      <c r="E98" s="537"/>
      <c r="F98" s="537"/>
      <c r="G98" s="537"/>
      <c r="H98" s="537"/>
      <c r="I98" s="537"/>
      <c r="J98" s="537"/>
      <c r="K98" s="537"/>
      <c r="L98" s="537"/>
      <c r="M98" s="538"/>
      <c r="N98" s="1156"/>
      <c r="O98" s="1156"/>
      <c r="P98" s="2688"/>
      <c r="Q98" s="505"/>
    </row>
    <row r="99" spans="1:17" ht="15.75" hidden="1" thickTop="1">
      <c r="A99" s="535"/>
      <c r="B99" s="547">
        <f>B32</f>
        <v>0</v>
      </c>
      <c r="C99" s="524"/>
      <c r="D99" s="524"/>
      <c r="E99" s="524"/>
      <c r="F99" s="524"/>
      <c r="G99" s="588"/>
      <c r="H99" s="588"/>
      <c r="I99" s="588"/>
      <c r="J99" s="588"/>
      <c r="K99" s="589"/>
      <c r="L99" s="590"/>
      <c r="M99" s="591"/>
      <c r="N99" s="1155"/>
      <c r="O99" s="1155"/>
      <c r="P99" s="2688"/>
      <c r="Q99" s="505"/>
    </row>
    <row r="100" spans="1:17" ht="15.75" hidden="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2557</v>
      </c>
      <c r="B101" s="529" t="s">
        <v>2606</v>
      </c>
      <c r="C101" s="3041" t="s">
        <v>3337</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2607</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2608</v>
      </c>
      <c r="C106" s="3040" t="s">
        <v>3339</v>
      </c>
      <c r="D106" s="3040" t="s">
        <v>3340</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2610</v>
      </c>
      <c r="C108" s="3040" t="s">
        <v>3342</v>
      </c>
      <c r="D108" s="3040" t="s">
        <v>3344</v>
      </c>
      <c r="E108" s="3040" t="s">
        <v>3345</v>
      </c>
      <c r="F108" s="3042" t="s">
        <v>3346</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2694</v>
      </c>
      <c r="C113" s="555" t="s">
        <v>3347</v>
      </c>
      <c r="D113" s="3040" t="s">
        <v>3349</v>
      </c>
      <c r="E113" s="3040" t="s">
        <v>3350</v>
      </c>
      <c r="F113" s="3040" t="s">
        <v>3351</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2611</v>
      </c>
      <c r="C115" s="3040" t="s">
        <v>3352</v>
      </c>
      <c r="D115" s="3040" t="s">
        <v>3353</v>
      </c>
      <c r="E115" s="3042" t="s">
        <v>3355</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2612</v>
      </c>
      <c r="C117" s="3040" t="s">
        <v>3356</v>
      </c>
      <c r="D117" s="3040" t="s">
        <v>3358</v>
      </c>
      <c r="E117" s="3040" t="s">
        <v>3359</v>
      </c>
      <c r="F117" s="3040" t="s">
        <v>3360</v>
      </c>
      <c r="G117" s="3040" t="s">
        <v>3361</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2695</v>
      </c>
      <c r="C119" s="3042" t="s">
        <v>3362</v>
      </c>
      <c r="D119" s="3042" t="s">
        <v>3364</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 hidden="1" thickTop="1">
      <c r="A121" s="594"/>
      <c r="B121" s="539" t="s">
        <v>2678</v>
      </c>
      <c r="C121" s="555"/>
      <c r="D121" s="555"/>
      <c r="E121" s="555"/>
      <c r="F121" s="584"/>
      <c r="G121" s="556"/>
      <c r="H121" s="556"/>
      <c r="I121" s="556"/>
      <c r="J121" s="556"/>
      <c r="K121" s="556"/>
      <c r="L121" s="557"/>
      <c r="M121" s="558"/>
      <c r="N121" s="1157"/>
      <c r="O121" s="1157"/>
      <c r="P121" s="2689"/>
      <c r="Q121" s="560"/>
    </row>
    <row r="122" spans="1:17" s="472" customFormat="1" ht="15.75" hidden="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2614</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2615</v>
      </c>
      <c r="C125" s="579" t="s">
        <v>2591</v>
      </c>
      <c r="D125" s="579" t="s">
        <v>2592</v>
      </c>
      <c r="E125" s="579" t="s">
        <v>2593</v>
      </c>
      <c r="F125" s="579" t="s">
        <v>2594</v>
      </c>
      <c r="G125" s="579" t="s">
        <v>2595</v>
      </c>
      <c r="H125" s="540"/>
      <c r="I125" s="540"/>
      <c r="J125" s="540"/>
      <c r="K125" s="541"/>
      <c r="L125" s="542"/>
      <c r="M125" s="543"/>
      <c r="N125" s="1155"/>
      <c r="O125" s="1155"/>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5.75" hidden="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5.75" hidden="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5.75" hidden="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10" zoomScale="90" zoomScaleNormal="90" workbookViewId="0">
      <selection activeCell="J50" sqref="J50"/>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2680</v>
      </c>
      <c r="C1" s="1624" t="s">
        <v>2524</v>
      </c>
      <c r="D1" s="1625" t="s">
        <v>3416</v>
      </c>
      <c r="E1" s="1634"/>
      <c r="F1" s="2588" t="s">
        <v>3378</v>
      </c>
      <c r="G1" s="1635" t="s">
        <v>2526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f>IF(C2="——",ROUND(C50*D3/10000,0),ROUND(C50*D3/10000,0)-D2)</f>
        <v>5</v>
      </c>
      <c r="C2" s="2590" t="s">
        <v>70</v>
      </c>
      <c r="D2" s="1368"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f>IF(C2="——",C50,ROUND(B2*10000/D3,0))</f>
        <v>7.2</v>
      </c>
      <c r="C3" s="401" t="s">
        <v>2528</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2639</v>
      </c>
      <c r="B4" s="403"/>
      <c r="C4" s="3279" t="s">
        <v>2530</v>
      </c>
      <c r="D4" s="3280"/>
      <c r="E4" s="3281" t="s">
        <v>2531</v>
      </c>
      <c r="F4" s="3282"/>
      <c r="G4" s="3279" t="s">
        <v>2532</v>
      </c>
      <c r="H4" s="3280"/>
      <c r="I4" s="3279" t="s">
        <v>2533</v>
      </c>
      <c r="J4" s="3280"/>
      <c r="K4" s="611" t="s">
        <v>2534</v>
      </c>
      <c r="L4" s="1133"/>
      <c r="M4" s="1134"/>
      <c r="N4" s="1134"/>
      <c r="O4" s="1134"/>
      <c r="P4" s="3283" t="s">
        <v>2535</v>
      </c>
      <c r="Q4" s="3284"/>
      <c r="R4" s="3263" t="s">
        <v>2531</v>
      </c>
      <c r="S4" s="3264"/>
      <c r="T4" s="3263" t="s">
        <v>2532</v>
      </c>
      <c r="U4" s="3264"/>
      <c r="V4" s="3291" t="s">
        <v>2533</v>
      </c>
      <c r="W4" s="3291"/>
      <c r="X4" s="3022"/>
      <c r="Y4" s="3263" t="s">
        <v>2535</v>
      </c>
      <c r="Z4" s="3264"/>
      <c r="AA4" s="3258" t="s">
        <v>2531</v>
      </c>
      <c r="AB4" s="3258" t="s">
        <v>2532</v>
      </c>
      <c r="AC4" s="3276" t="s">
        <v>2533</v>
      </c>
    </row>
    <row r="5" spans="1:29" ht="15">
      <c r="A5" s="405"/>
      <c r="B5" s="406"/>
      <c r="C5" s="3269" t="s">
        <v>3320</v>
      </c>
      <c r="D5" s="3270"/>
      <c r="E5" s="3267" t="s">
        <v>3379</v>
      </c>
      <c r="F5" s="3268"/>
      <c r="G5" s="3269" t="s">
        <v>3380</v>
      </c>
      <c r="H5" s="3270"/>
      <c r="I5" s="3269" t="s">
        <v>3381</v>
      </c>
      <c r="J5" s="3270"/>
      <c r="K5" s="611"/>
      <c r="L5" s="1133"/>
      <c r="M5" s="1134"/>
      <c r="N5" s="1134"/>
      <c r="O5" s="1134"/>
      <c r="P5" s="3285"/>
      <c r="Q5" s="3286"/>
      <c r="R5" s="3265"/>
      <c r="S5" s="3266"/>
      <c r="T5" s="3265"/>
      <c r="U5" s="3266"/>
      <c r="V5" s="3292"/>
      <c r="W5" s="3292"/>
      <c r="X5" s="3020"/>
      <c r="Y5" s="3265"/>
      <c r="Z5" s="3266"/>
      <c r="AA5" s="3259"/>
      <c r="AB5" s="3259"/>
      <c r="AC5" s="3277"/>
    </row>
    <row r="6" spans="1:29" ht="15.75" thickBot="1">
      <c r="A6" s="407"/>
      <c r="B6" s="408"/>
      <c r="C6" s="3271" t="s">
        <v>2791</v>
      </c>
      <c r="D6" s="3272"/>
      <c r="E6" s="3273" t="s">
        <v>2791</v>
      </c>
      <c r="F6" s="3274"/>
      <c r="G6" s="3271" t="s">
        <v>2791</v>
      </c>
      <c r="H6" s="3272"/>
      <c r="I6" s="3271" t="s">
        <v>2791</v>
      </c>
      <c r="J6" s="3272"/>
      <c r="K6" s="611" t="s">
        <v>2541</v>
      </c>
      <c r="L6" s="1133"/>
      <c r="M6" s="1134"/>
      <c r="N6" s="1134"/>
      <c r="O6" s="1134"/>
      <c r="P6" s="3287"/>
      <c r="Q6" s="3288"/>
      <c r="R6" s="3265"/>
      <c r="S6" s="3266"/>
      <c r="T6" s="3289"/>
      <c r="U6" s="3290"/>
      <c r="V6" s="3292"/>
      <c r="W6" s="3292"/>
      <c r="X6" s="3020"/>
      <c r="Y6" s="3289"/>
      <c r="Z6" s="3290"/>
      <c r="AA6" s="3260"/>
      <c r="AB6" s="3260"/>
      <c r="AC6" s="3278"/>
    </row>
    <row r="7" spans="1:29" s="117" customFormat="1" ht="15.75" thickBot="1">
      <c r="A7" s="409" t="s">
        <v>2542</v>
      </c>
      <c r="B7" s="410"/>
      <c r="C7" s="411">
        <f>'数据-取费表'!B2</f>
        <v>43047</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293" t="s">
        <v>2543</v>
      </c>
      <c r="Q7" s="3294"/>
      <c r="R7" s="770" t="s">
        <v>17</v>
      </c>
      <c r="S7" s="771">
        <f t="shared" ref="S7:S15" si="0">F7</f>
        <v>100</v>
      </c>
      <c r="T7" s="770" t="s">
        <v>17</v>
      </c>
      <c r="U7" s="771">
        <f t="shared" ref="U7:U15" si="1">H7</f>
        <v>100</v>
      </c>
      <c r="V7" s="770" t="s">
        <v>17</v>
      </c>
      <c r="W7" s="771">
        <f t="shared" ref="W7:W15" si="2">J7</f>
        <v>100</v>
      </c>
      <c r="X7" s="772"/>
      <c r="Y7" s="3261" t="s">
        <v>2543</v>
      </c>
      <c r="Z7" s="3262"/>
      <c r="AA7" s="773">
        <f>D7/F7</f>
        <v>1</v>
      </c>
      <c r="AB7" s="773">
        <f>D7/H7</f>
        <v>1</v>
      </c>
      <c r="AC7" s="2675">
        <f>D7/J7</f>
        <v>1</v>
      </c>
    </row>
    <row r="8" spans="1:29" s="117" customFormat="1" ht="15.75" thickBot="1">
      <c r="A8" s="409" t="s">
        <v>2544</v>
      </c>
      <c r="B8" s="410"/>
      <c r="C8" s="415" t="s">
        <v>2581</v>
      </c>
      <c r="D8" s="412">
        <v>100</v>
      </c>
      <c r="E8" s="3048" t="s">
        <v>3382</v>
      </c>
      <c r="F8" s="414">
        <f>SUMIF(62:62,E8,63:63)-SUMIF(62:62,C8,63:63)+100</f>
        <v>100</v>
      </c>
      <c r="G8" s="3048" t="s">
        <v>3382</v>
      </c>
      <c r="H8" s="412">
        <f>SUMIF(62:62,G8,63:63)-SUMIF(62:62,C8,63:63)+100</f>
        <v>100</v>
      </c>
      <c r="I8" s="3048" t="s">
        <v>3382</v>
      </c>
      <c r="J8" s="412">
        <f>SUMIF(62:62,I8,63:63)-SUMIF(62:62,C8,63:63)+100</f>
        <v>100</v>
      </c>
      <c r="K8" s="612"/>
      <c r="L8" s="1135"/>
      <c r="M8" s="1136"/>
      <c r="N8" s="1136"/>
      <c r="O8" s="1136"/>
      <c r="P8" s="3293" t="s">
        <v>2546</v>
      </c>
      <c r="Q8" s="3262"/>
      <c r="R8" s="770" t="s">
        <v>17</v>
      </c>
      <c r="S8" s="771">
        <f t="shared" si="0"/>
        <v>100</v>
      </c>
      <c r="T8" s="770" t="s">
        <v>17</v>
      </c>
      <c r="U8" s="771">
        <f t="shared" si="1"/>
        <v>100</v>
      </c>
      <c r="V8" s="770" t="s">
        <v>17</v>
      </c>
      <c r="W8" s="771">
        <f t="shared" si="2"/>
        <v>100</v>
      </c>
      <c r="X8" s="772"/>
      <c r="Y8" s="3261" t="s">
        <v>2546</v>
      </c>
      <c r="Z8" s="3262"/>
      <c r="AA8" s="773">
        <f t="shared" ref="AA8:AA47" si="3">D8/F8</f>
        <v>1</v>
      </c>
      <c r="AB8" s="773">
        <f t="shared" ref="AB8:AB47" si="4">D8/H8</f>
        <v>1</v>
      </c>
      <c r="AC8" s="2675">
        <f t="shared" ref="AC8:AC47" si="5">D8/J8</f>
        <v>1</v>
      </c>
    </row>
    <row r="9" spans="1:29" s="117" customFormat="1">
      <c r="A9" s="416" t="s">
        <v>2547</v>
      </c>
      <c r="B9" s="71" t="s">
        <v>2548</v>
      </c>
      <c r="C9" s="3044" t="s">
        <v>3367</v>
      </c>
      <c r="D9" s="135">
        <v>100</v>
      </c>
      <c r="E9" s="3049" t="s">
        <v>3383</v>
      </c>
      <c r="F9" s="135">
        <f>SUMIF(64:64,E9,65:65)-SUMIF(64:64,C9,65:65)+100</f>
        <v>100</v>
      </c>
      <c r="G9" s="3050" t="s">
        <v>3383</v>
      </c>
      <c r="H9" s="135">
        <f>SUMIF(64:64,G9,65:65)-SUMIF(64:64,C9,65:65)+100</f>
        <v>100</v>
      </c>
      <c r="I9" s="3050" t="s">
        <v>3383</v>
      </c>
      <c r="J9" s="135">
        <f>SUMIF(64:64,I9,65:65)-SUMIF(64:64,C9,65:65)+100</f>
        <v>100</v>
      </c>
      <c r="K9" s="612"/>
      <c r="L9" s="1135"/>
      <c r="M9" s="1136"/>
      <c r="N9" s="1136"/>
      <c r="O9" s="1136"/>
      <c r="P9" s="3275" t="s">
        <v>2549</v>
      </c>
      <c r="Q9" s="3014" t="str">
        <f t="shared" ref="Q9:Q15" si="6">B9</f>
        <v>用途</v>
      </c>
      <c r="R9" s="770" t="s">
        <v>17</v>
      </c>
      <c r="S9" s="771">
        <f t="shared" si="0"/>
        <v>100</v>
      </c>
      <c r="T9" s="770" t="s">
        <v>17</v>
      </c>
      <c r="U9" s="771">
        <f t="shared" si="1"/>
        <v>100</v>
      </c>
      <c r="V9" s="770" t="s">
        <v>17</v>
      </c>
      <c r="W9" s="771">
        <f t="shared" si="2"/>
        <v>100</v>
      </c>
      <c r="X9" s="772"/>
      <c r="Y9" s="3130" t="s">
        <v>2550</v>
      </c>
      <c r="Z9" s="3015" t="str">
        <f t="shared" ref="Z9:Z15" si="7">Q9</f>
        <v>用途</v>
      </c>
      <c r="AA9" s="773">
        <f t="shared" si="3"/>
        <v>1</v>
      </c>
      <c r="AB9" s="773">
        <f t="shared" si="4"/>
        <v>1</v>
      </c>
      <c r="AC9" s="2675">
        <f t="shared" si="5"/>
        <v>1</v>
      </c>
    </row>
    <row r="10" spans="1:29" s="428" customFormat="1" ht="27.75" thickBot="1">
      <c r="A10" s="422"/>
      <c r="B10" s="3016" t="s">
        <v>2551</v>
      </c>
      <c r="C10" s="424" t="s">
        <v>3366</v>
      </c>
      <c r="D10" s="136">
        <v>100</v>
      </c>
      <c r="E10" s="424" t="s">
        <v>3366</v>
      </c>
      <c r="F10" s="136">
        <f>SUMIF(66:66,E10,67:67)-SUMIF(66:66,C10,67:67)+100</f>
        <v>100</v>
      </c>
      <c r="G10" s="425" t="s">
        <v>3366</v>
      </c>
      <c r="H10" s="136">
        <f>SUMIF(66:66,G10,67:67)-SUMIF(66:66,C10,67:67)+100</f>
        <v>100</v>
      </c>
      <c r="I10" s="424" t="s">
        <v>3366</v>
      </c>
      <c r="J10" s="136">
        <f>SUMIF(66:66,I10,67:67)-SUMIF(66:66,C10,67:67)+100</f>
        <v>100</v>
      </c>
      <c r="K10" s="613"/>
      <c r="L10" s="1138"/>
      <c r="M10" s="1139"/>
      <c r="N10" s="1139"/>
      <c r="O10" s="1139"/>
      <c r="P10" s="3275"/>
      <c r="Q10" s="3014" t="str">
        <f t="shared" si="6"/>
        <v>土地使用年限（年）</v>
      </c>
      <c r="R10" s="770" t="s">
        <v>17</v>
      </c>
      <c r="S10" s="771">
        <f t="shared" si="0"/>
        <v>100</v>
      </c>
      <c r="T10" s="770" t="s">
        <v>17</v>
      </c>
      <c r="U10" s="771">
        <f t="shared" si="1"/>
        <v>100</v>
      </c>
      <c r="V10" s="770" t="s">
        <v>17</v>
      </c>
      <c r="W10" s="771">
        <f t="shared" si="2"/>
        <v>100</v>
      </c>
      <c r="X10" s="772"/>
      <c r="Y10" s="3130"/>
      <c r="Z10" s="3015" t="str">
        <f t="shared" si="7"/>
        <v>土地使用年限（年）</v>
      </c>
      <c r="AA10" s="773">
        <f t="shared" si="3"/>
        <v>1</v>
      </c>
      <c r="AB10" s="773">
        <f t="shared" si="4"/>
        <v>1</v>
      </c>
      <c r="AC10" s="2675">
        <f t="shared" si="5"/>
        <v>1</v>
      </c>
    </row>
    <row r="11" spans="1:29" ht="15.75" hidden="1" thickBot="1">
      <c r="A11" s="429"/>
      <c r="B11" s="3016" t="s">
        <v>2552</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75"/>
      <c r="Q11" s="3014" t="str">
        <f t="shared" si="6"/>
        <v>容积率</v>
      </c>
      <c r="R11" s="770" t="s">
        <v>17</v>
      </c>
      <c r="S11" s="771">
        <f t="shared" si="0"/>
        <v>100</v>
      </c>
      <c r="T11" s="770" t="s">
        <v>17</v>
      </c>
      <c r="U11" s="771">
        <f t="shared" si="1"/>
        <v>100</v>
      </c>
      <c r="V11" s="770" t="s">
        <v>17</v>
      </c>
      <c r="W11" s="771">
        <f t="shared" si="2"/>
        <v>100</v>
      </c>
      <c r="X11" s="772"/>
      <c r="Y11" s="3130"/>
      <c r="Z11" s="3015" t="str">
        <f t="shared" si="7"/>
        <v>容积率</v>
      </c>
      <c r="AA11" s="773">
        <f t="shared" si="3"/>
        <v>1</v>
      </c>
      <c r="AB11" s="773">
        <f t="shared" si="4"/>
        <v>1</v>
      </c>
      <c r="AC11" s="2675">
        <f t="shared" si="5"/>
        <v>1</v>
      </c>
    </row>
    <row r="12" spans="1:29" s="117" customFormat="1" ht="15.75" hidden="1" thickBot="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75"/>
      <c r="Q12" s="3014">
        <f t="shared" si="6"/>
        <v>0</v>
      </c>
      <c r="R12" s="770" t="s">
        <v>17</v>
      </c>
      <c r="S12" s="771">
        <f t="shared" si="0"/>
        <v>100</v>
      </c>
      <c r="T12" s="770" t="s">
        <v>17</v>
      </c>
      <c r="U12" s="771">
        <f t="shared" si="1"/>
        <v>100</v>
      </c>
      <c r="V12" s="770" t="s">
        <v>17</v>
      </c>
      <c r="W12" s="771">
        <f t="shared" si="2"/>
        <v>100</v>
      </c>
      <c r="X12" s="772"/>
      <c r="Y12" s="3130"/>
      <c r="Z12" s="3015">
        <f t="shared" si="7"/>
        <v>0</v>
      </c>
      <c r="AA12" s="773">
        <f>D12/F12</f>
        <v>1</v>
      </c>
      <c r="AB12" s="773">
        <f>D12/H12</f>
        <v>1</v>
      </c>
      <c r="AC12" s="2675">
        <f>D12/J12</f>
        <v>1</v>
      </c>
    </row>
    <row r="13" spans="1:29" ht="15.75" hidden="1" thickBot="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75"/>
      <c r="Q13" s="3014">
        <f t="shared" si="6"/>
        <v>0</v>
      </c>
      <c r="R13" s="770" t="s">
        <v>17</v>
      </c>
      <c r="S13" s="771">
        <f t="shared" si="0"/>
        <v>100</v>
      </c>
      <c r="T13" s="770" t="s">
        <v>17</v>
      </c>
      <c r="U13" s="771">
        <f t="shared" si="1"/>
        <v>100</v>
      </c>
      <c r="V13" s="770" t="s">
        <v>17</v>
      </c>
      <c r="W13" s="771">
        <f t="shared" si="2"/>
        <v>100</v>
      </c>
      <c r="X13" s="772"/>
      <c r="Y13" s="3130"/>
      <c r="Z13" s="301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75"/>
      <c r="Q14" s="3014">
        <f t="shared" si="6"/>
        <v>0</v>
      </c>
      <c r="R14" s="770" t="s">
        <v>17</v>
      </c>
      <c r="S14" s="771">
        <f t="shared" si="0"/>
        <v>100</v>
      </c>
      <c r="T14" s="770" t="s">
        <v>17</v>
      </c>
      <c r="U14" s="771">
        <f t="shared" si="1"/>
        <v>100</v>
      </c>
      <c r="V14" s="770" t="s">
        <v>17</v>
      </c>
      <c r="W14" s="771">
        <f t="shared" si="2"/>
        <v>100</v>
      </c>
      <c r="X14" s="772"/>
      <c r="Y14" s="3130"/>
      <c r="Z14" s="3015">
        <f t="shared" si="7"/>
        <v>0</v>
      </c>
      <c r="AA14" s="773">
        <f t="shared" si="3"/>
        <v>1</v>
      </c>
      <c r="AB14" s="773">
        <f t="shared" si="4"/>
        <v>1</v>
      </c>
      <c r="AC14" s="2675">
        <f t="shared" si="5"/>
        <v>1</v>
      </c>
    </row>
    <row r="15" spans="1:29" ht="85.5">
      <c r="A15" s="441" t="s">
        <v>2553</v>
      </c>
      <c r="B15" s="630" t="s">
        <v>2681</v>
      </c>
      <c r="C15" s="2677" t="str">
        <f>估价对象房地状况!C5</f>
        <v>估价对象位于国贸商圈，周边办公楼项目较多，有富力中心，乐成中心、佳龙大厦等，入驻率较高，办公集聚程度较好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f>'比较法-办公'!K15</f>
        <v>5</v>
      </c>
      <c r="L15" s="1143"/>
      <c r="M15" s="1134"/>
      <c r="N15" s="1134"/>
      <c r="O15" s="1134"/>
      <c r="P15" s="3295" t="s">
        <v>2554</v>
      </c>
      <c r="Q15" s="3018" t="str">
        <f t="shared" si="6"/>
        <v>办公集聚程度</v>
      </c>
      <c r="R15" s="774" t="s">
        <v>17</v>
      </c>
      <c r="S15" s="775">
        <f t="shared" si="0"/>
        <v>100</v>
      </c>
      <c r="T15" s="774" t="s">
        <v>17</v>
      </c>
      <c r="U15" s="775">
        <f t="shared" si="1"/>
        <v>100</v>
      </c>
      <c r="V15" s="774" t="s">
        <v>17</v>
      </c>
      <c r="W15" s="775">
        <f t="shared" si="2"/>
        <v>100</v>
      </c>
      <c r="X15" s="3020"/>
      <c r="Y15" s="3297" t="s">
        <v>2554</v>
      </c>
      <c r="Z15" s="3021" t="str">
        <f t="shared" si="7"/>
        <v>办公集聚程度</v>
      </c>
      <c r="AA15" s="3019">
        <f t="shared" si="3"/>
        <v>1</v>
      </c>
      <c r="AB15" s="3019">
        <f t="shared" si="4"/>
        <v>1</v>
      </c>
      <c r="AC15" s="2678">
        <f t="shared" si="5"/>
        <v>1</v>
      </c>
    </row>
    <row r="16" spans="1:29" ht="15">
      <c r="A16" s="429"/>
      <c r="B16" s="631"/>
      <c r="C16" s="2615" t="s">
        <v>3321</v>
      </c>
      <c r="D16" s="449"/>
      <c r="E16" s="448" t="s">
        <v>3321</v>
      </c>
      <c r="F16" s="449"/>
      <c r="G16" s="2615" t="s">
        <v>3321</v>
      </c>
      <c r="H16" s="451"/>
      <c r="I16" s="448" t="s">
        <v>3321</v>
      </c>
      <c r="J16" s="449"/>
      <c r="K16" s="616"/>
      <c r="L16" s="1143"/>
      <c r="M16" s="1134"/>
      <c r="N16" s="1134"/>
      <c r="O16" s="1134"/>
      <c r="P16" s="3296"/>
      <c r="Q16" s="3018"/>
      <c r="R16" s="774"/>
      <c r="S16" s="775"/>
      <c r="T16" s="774"/>
      <c r="U16" s="775"/>
      <c r="V16" s="774"/>
      <c r="W16" s="775"/>
      <c r="X16" s="3020"/>
      <c r="Y16" s="3298"/>
      <c r="Z16" s="3021"/>
      <c r="AA16" s="3019">
        <v>1</v>
      </c>
      <c r="AB16" s="3019">
        <v>1</v>
      </c>
      <c r="AC16" s="2678">
        <v>1</v>
      </c>
    </row>
    <row r="17" spans="1:29" ht="99.75" customHeight="1">
      <c r="A17" s="429"/>
      <c r="B17" s="632" t="s">
        <v>2093</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96"/>
      <c r="Q17" s="3018" t="str">
        <f>B17</f>
        <v>交通便捷度</v>
      </c>
      <c r="R17" s="774" t="s">
        <v>17</v>
      </c>
      <c r="S17" s="775">
        <f>F17</f>
        <v>100</v>
      </c>
      <c r="T17" s="774" t="s">
        <v>17</v>
      </c>
      <c r="U17" s="775">
        <f>H17</f>
        <v>100</v>
      </c>
      <c r="V17" s="774" t="s">
        <v>17</v>
      </c>
      <c r="W17" s="775">
        <f>J17</f>
        <v>100</v>
      </c>
      <c r="X17" s="3020"/>
      <c r="Y17" s="3298"/>
      <c r="Z17" s="3021" t="str">
        <f>Q17</f>
        <v>交通便捷度</v>
      </c>
      <c r="AA17" s="3019">
        <f t="shared" si="3"/>
        <v>1</v>
      </c>
      <c r="AB17" s="3019">
        <f t="shared" si="4"/>
        <v>1</v>
      </c>
      <c r="AC17" s="2678">
        <f t="shared" si="5"/>
        <v>1</v>
      </c>
    </row>
    <row r="18" spans="1:29" ht="15">
      <c r="A18" s="429"/>
      <c r="B18" s="633"/>
      <c r="C18" s="2680" t="s">
        <v>3322</v>
      </c>
      <c r="D18" s="451"/>
      <c r="E18" s="2613" t="s">
        <v>3322</v>
      </c>
      <c r="F18" s="451"/>
      <c r="G18" s="2614" t="s">
        <v>3322</v>
      </c>
      <c r="H18" s="449"/>
      <c r="I18" s="2614" t="s">
        <v>3322</v>
      </c>
      <c r="J18" s="449"/>
      <c r="K18" s="616"/>
      <c r="L18" s="1143"/>
      <c r="M18" s="1134"/>
      <c r="N18" s="1134"/>
      <c r="O18" s="1134"/>
      <c r="P18" s="3296"/>
      <c r="Q18" s="3018"/>
      <c r="R18" s="774"/>
      <c r="S18" s="775"/>
      <c r="T18" s="774"/>
      <c r="U18" s="775"/>
      <c r="V18" s="774"/>
      <c r="W18" s="775"/>
      <c r="X18" s="3020"/>
      <c r="Y18" s="3298"/>
      <c r="Z18" s="3021"/>
      <c r="AA18" s="3019">
        <v>1</v>
      </c>
      <c r="AB18" s="3019">
        <v>1</v>
      </c>
      <c r="AC18" s="2678">
        <v>1</v>
      </c>
    </row>
    <row r="19" spans="1:29" ht="28.5">
      <c r="A19" s="429"/>
      <c r="B19" s="632" t="s">
        <v>2682</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96"/>
      <c r="Q19" s="3018" t="str">
        <f>B19</f>
        <v>公共配套设施</v>
      </c>
      <c r="R19" s="774" t="s">
        <v>17</v>
      </c>
      <c r="S19" s="775">
        <f>F19</f>
        <v>100</v>
      </c>
      <c r="T19" s="774" t="s">
        <v>17</v>
      </c>
      <c r="U19" s="775">
        <f>H19</f>
        <v>100</v>
      </c>
      <c r="V19" s="774" t="s">
        <v>17</v>
      </c>
      <c r="W19" s="775">
        <f>J19</f>
        <v>100</v>
      </c>
      <c r="X19" s="3020"/>
      <c r="Y19" s="3298"/>
      <c r="Z19" s="3021" t="str">
        <f>Q19</f>
        <v>公共配套设施</v>
      </c>
      <c r="AA19" s="3019">
        <f t="shared" si="3"/>
        <v>1</v>
      </c>
      <c r="AB19" s="3019">
        <f t="shared" si="4"/>
        <v>1</v>
      </c>
      <c r="AC19" s="2678">
        <f t="shared" si="5"/>
        <v>1</v>
      </c>
    </row>
    <row r="20" spans="1:29" ht="15">
      <c r="A20" s="429"/>
      <c r="B20" s="633"/>
      <c r="C20" s="2615" t="s">
        <v>3322</v>
      </c>
      <c r="D20" s="449"/>
      <c r="E20" s="2608" t="s">
        <v>3322</v>
      </c>
      <c r="F20" s="449"/>
      <c r="G20" s="2609" t="s">
        <v>3322</v>
      </c>
      <c r="H20" s="449"/>
      <c r="I20" s="2609" t="s">
        <v>3322</v>
      </c>
      <c r="J20" s="449"/>
      <c r="K20" s="616"/>
      <c r="L20" s="1143"/>
      <c r="M20" s="1134"/>
      <c r="N20" s="1134"/>
      <c r="O20" s="1134"/>
      <c r="P20" s="3296"/>
      <c r="Q20" s="3018"/>
      <c r="R20" s="774"/>
      <c r="S20" s="775"/>
      <c r="T20" s="774"/>
      <c r="U20" s="775"/>
      <c r="V20" s="774"/>
      <c r="W20" s="775"/>
      <c r="X20" s="3020"/>
      <c r="Y20" s="3298"/>
      <c r="Z20" s="3021"/>
      <c r="AA20" s="3019">
        <v>1</v>
      </c>
      <c r="AB20" s="3019">
        <v>1</v>
      </c>
      <c r="AC20" s="2678">
        <v>1</v>
      </c>
    </row>
    <row r="21" spans="1:29" ht="42.75">
      <c r="A21" s="429"/>
      <c r="B21" s="634" t="s">
        <v>2683</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96"/>
      <c r="Q21" s="3018" t="str">
        <f>B21</f>
        <v>基础设施水平</v>
      </c>
      <c r="R21" s="774" t="s">
        <v>17</v>
      </c>
      <c r="S21" s="775">
        <f>F21</f>
        <v>100</v>
      </c>
      <c r="T21" s="774" t="s">
        <v>17</v>
      </c>
      <c r="U21" s="775">
        <f>H21</f>
        <v>100</v>
      </c>
      <c r="V21" s="774" t="s">
        <v>17</v>
      </c>
      <c r="W21" s="775">
        <f>J21</f>
        <v>100</v>
      </c>
      <c r="X21" s="3020"/>
      <c r="Y21" s="3298"/>
      <c r="Z21" s="3021" t="str">
        <f>Q21</f>
        <v>基础设施水平</v>
      </c>
      <c r="AA21" s="3019">
        <f t="shared" ref="AA21" si="8">D21/F21</f>
        <v>1</v>
      </c>
      <c r="AB21" s="3019">
        <f t="shared" ref="AB21" si="9">D21/H21</f>
        <v>1</v>
      </c>
      <c r="AC21" s="2678">
        <f t="shared" ref="AC21" si="10">D21/J21</f>
        <v>1</v>
      </c>
    </row>
    <row r="22" spans="1:29" ht="15">
      <c r="A22" s="429"/>
      <c r="B22" s="634"/>
      <c r="C22" s="2680" t="s">
        <v>3323</v>
      </c>
      <c r="D22" s="449"/>
      <c r="E22" s="448" t="s">
        <v>3357</v>
      </c>
      <c r="F22" s="449"/>
      <c r="G22" s="2615" t="s">
        <v>3323</v>
      </c>
      <c r="H22" s="449"/>
      <c r="I22" s="2615" t="s">
        <v>3323</v>
      </c>
      <c r="J22" s="449"/>
      <c r="K22" s="1386"/>
      <c r="L22" s="1143"/>
      <c r="M22" s="1134"/>
      <c r="N22" s="1134"/>
      <c r="O22" s="1134"/>
      <c r="P22" s="3296"/>
      <c r="Q22" s="3018"/>
      <c r="R22" s="774"/>
      <c r="S22" s="775"/>
      <c r="T22" s="774"/>
      <c r="U22" s="775"/>
      <c r="V22" s="774"/>
      <c r="W22" s="775"/>
      <c r="X22" s="3020"/>
      <c r="Y22" s="3298"/>
      <c r="Z22" s="3021"/>
      <c r="AA22" s="3019">
        <v>1</v>
      </c>
      <c r="AB22" s="3019">
        <v>1</v>
      </c>
      <c r="AC22" s="2678">
        <v>1</v>
      </c>
    </row>
    <row r="23" spans="1:29" ht="85.5">
      <c r="A23" s="429"/>
      <c r="B23" s="632" t="s">
        <v>2684</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96"/>
      <c r="Q23" s="3018" t="str">
        <f>B23</f>
        <v>环境质量</v>
      </c>
      <c r="R23" s="774" t="s">
        <v>17</v>
      </c>
      <c r="S23" s="775">
        <f>F23</f>
        <v>100</v>
      </c>
      <c r="T23" s="774" t="s">
        <v>17</v>
      </c>
      <c r="U23" s="775">
        <f>H23</f>
        <v>100</v>
      </c>
      <c r="V23" s="774" t="s">
        <v>17</v>
      </c>
      <c r="W23" s="775">
        <f>J23</f>
        <v>100</v>
      </c>
      <c r="X23" s="3020"/>
      <c r="Y23" s="3298"/>
      <c r="Z23" s="3021" t="str">
        <f>Q23</f>
        <v>环境质量</v>
      </c>
      <c r="AA23" s="3019">
        <f t="shared" si="3"/>
        <v>1</v>
      </c>
      <c r="AB23" s="3019">
        <f t="shared" si="4"/>
        <v>1</v>
      </c>
      <c r="AC23" s="2678">
        <f t="shared" si="5"/>
        <v>1</v>
      </c>
    </row>
    <row r="24" spans="1:29" ht="15">
      <c r="A24" s="429"/>
      <c r="B24" s="634"/>
      <c r="C24" s="2615" t="s">
        <v>3324</v>
      </c>
      <c r="D24" s="449"/>
      <c r="E24" s="2608" t="s">
        <v>3324</v>
      </c>
      <c r="F24" s="449"/>
      <c r="G24" s="2609" t="s">
        <v>3324</v>
      </c>
      <c r="H24" s="449"/>
      <c r="I24" s="2609" t="s">
        <v>3324</v>
      </c>
      <c r="J24" s="449"/>
      <c r="K24" s="616"/>
      <c r="L24" s="1143"/>
      <c r="M24" s="1134"/>
      <c r="N24" s="1134"/>
      <c r="O24" s="1134"/>
      <c r="P24" s="3296"/>
      <c r="Q24" s="3018"/>
      <c r="R24" s="774"/>
      <c r="S24" s="775"/>
      <c r="T24" s="774"/>
      <c r="U24" s="775"/>
      <c r="V24" s="774"/>
      <c r="W24" s="775"/>
      <c r="X24" s="3020"/>
      <c r="Y24" s="3298"/>
      <c r="Z24" s="3021"/>
      <c r="AA24" s="3019">
        <v>1</v>
      </c>
      <c r="AB24" s="3019">
        <v>1</v>
      </c>
      <c r="AC24" s="2678">
        <v>1</v>
      </c>
    </row>
    <row r="25" spans="1:29" ht="27">
      <c r="A25" s="405"/>
      <c r="B25" s="632" t="s">
        <v>2685</v>
      </c>
      <c r="C25" s="3039" t="s">
        <v>3325</v>
      </c>
      <c r="D25" s="436">
        <v>100</v>
      </c>
      <c r="E25" s="3051" t="s">
        <v>3384</v>
      </c>
      <c r="F25" s="436">
        <f>SUMIF(87:87,E26,88:88)-SUMIF(87:87,C26,88:88)+100</f>
        <v>106</v>
      </c>
      <c r="G25" s="3039" t="s">
        <v>3384</v>
      </c>
      <c r="H25" s="436">
        <f>SUMIF(87:87,G26,88:88)-SUMIF(87:87,C26,88:88)+100</f>
        <v>106</v>
      </c>
      <c r="I25" s="3051" t="s">
        <v>3385</v>
      </c>
      <c r="J25" s="436">
        <f>SUMIF(87:87,I26,88:88)-SUMIF(87:87,C26,88:88)+100</f>
        <v>100</v>
      </c>
      <c r="K25" s="615">
        <v>2</v>
      </c>
      <c r="L25" s="1143"/>
      <c r="M25" s="1134"/>
      <c r="N25" s="1134"/>
      <c r="O25" s="1134"/>
      <c r="P25" s="3296"/>
      <c r="Q25" s="3018" t="str">
        <f>B25</f>
        <v>毗邻道路的类型与等级</v>
      </c>
      <c r="R25" s="774" t="s">
        <v>17</v>
      </c>
      <c r="S25" s="775">
        <f>F25</f>
        <v>106</v>
      </c>
      <c r="T25" s="774" t="s">
        <v>17</v>
      </c>
      <c r="U25" s="775">
        <f>H25</f>
        <v>106</v>
      </c>
      <c r="V25" s="774" t="s">
        <v>17</v>
      </c>
      <c r="W25" s="775">
        <f>J25</f>
        <v>100</v>
      </c>
      <c r="X25" s="3020"/>
      <c r="Y25" s="3298"/>
      <c r="Z25" s="3021" t="str">
        <f>Q25</f>
        <v>毗邻道路的类型与等级</v>
      </c>
      <c r="AA25" s="3019">
        <f t="shared" si="3"/>
        <v>0.94339622641509435</v>
      </c>
      <c r="AB25" s="3019">
        <f t="shared" si="4"/>
        <v>0.94339622641509435</v>
      </c>
      <c r="AC25" s="2678">
        <f t="shared" si="5"/>
        <v>1</v>
      </c>
    </row>
    <row r="26" spans="1:29" ht="15">
      <c r="A26" s="405"/>
      <c r="B26" s="633"/>
      <c r="C26" s="635" t="s">
        <v>3314</v>
      </c>
      <c r="D26" s="436"/>
      <c r="E26" s="617" t="s">
        <v>3392</v>
      </c>
      <c r="F26" s="436"/>
      <c r="G26" s="635" t="s">
        <v>3392</v>
      </c>
      <c r="H26" s="436"/>
      <c r="I26" s="617" t="s">
        <v>3314</v>
      </c>
      <c r="J26" s="436"/>
      <c r="K26" s="616"/>
      <c r="L26" s="1143"/>
      <c r="M26" s="1134"/>
      <c r="N26" s="1134"/>
      <c r="O26" s="1134"/>
      <c r="P26" s="3296"/>
      <c r="Q26" s="3018"/>
      <c r="R26" s="774"/>
      <c r="S26" s="775"/>
      <c r="T26" s="774"/>
      <c r="U26" s="775"/>
      <c r="V26" s="774"/>
      <c r="W26" s="775"/>
      <c r="X26" s="3020"/>
      <c r="Y26" s="3298"/>
      <c r="Z26" s="3021"/>
      <c r="AA26" s="3019">
        <v>1</v>
      </c>
      <c r="AB26" s="3019">
        <v>1</v>
      </c>
      <c r="AC26" s="2678">
        <v>1</v>
      </c>
    </row>
    <row r="27" spans="1:29" ht="15.75" thickBot="1">
      <c r="A27" s="429"/>
      <c r="B27" s="633" t="s">
        <v>2653</v>
      </c>
      <c r="C27" s="635" t="s">
        <v>3334</v>
      </c>
      <c r="D27" s="436">
        <v>100</v>
      </c>
      <c r="E27" s="617" t="s">
        <v>3332</v>
      </c>
      <c r="F27" s="436">
        <f>SUMIF(89:89,E27,90:90)-SUMIF(89:89,C27,90:90)+100</f>
        <v>105</v>
      </c>
      <c r="G27" s="635" t="s">
        <v>3334</v>
      </c>
      <c r="H27" s="436">
        <f>SUMIF(89:89,G27,90:90)-SUMIF(89:89,C27,90:90)+100</f>
        <v>100</v>
      </c>
      <c r="I27" s="617" t="s">
        <v>3330</v>
      </c>
      <c r="J27" s="436">
        <f>SUMIF(89:89,I27,90:90)-SUMIF(89:89,C27,90:90)+100</f>
        <v>110</v>
      </c>
      <c r="K27" s="613">
        <f>'比较法-办公'!K27</f>
        <v>5</v>
      </c>
      <c r="L27" s="1143"/>
      <c r="M27" s="1134"/>
      <c r="N27" s="1134"/>
      <c r="O27" s="1134"/>
      <c r="P27" s="3296"/>
      <c r="Q27" s="3018" t="str">
        <f t="shared" ref="Q27:Q47" si="11">B27</f>
        <v>楼层</v>
      </c>
      <c r="R27" s="774" t="s">
        <v>17</v>
      </c>
      <c r="S27" s="775">
        <f>F27</f>
        <v>105</v>
      </c>
      <c r="T27" s="774" t="s">
        <v>17</v>
      </c>
      <c r="U27" s="775">
        <f>H27</f>
        <v>100</v>
      </c>
      <c r="V27" s="774" t="s">
        <v>17</v>
      </c>
      <c r="W27" s="775">
        <f>J27</f>
        <v>110</v>
      </c>
      <c r="X27" s="3020"/>
      <c r="Y27" s="3298"/>
      <c r="Z27" s="3021" t="str">
        <f>Q27</f>
        <v>楼层</v>
      </c>
      <c r="AA27" s="3019">
        <f t="shared" si="3"/>
        <v>0.95238095238095233</v>
      </c>
      <c r="AB27" s="3019">
        <f t="shared" si="4"/>
        <v>1</v>
      </c>
      <c r="AC27" s="2678">
        <f t="shared" si="5"/>
        <v>0.90909090909090906</v>
      </c>
    </row>
    <row r="28" spans="1:29" s="117" customFormat="1" ht="15.75" hidden="1" thickBot="1">
      <c r="A28" s="432"/>
      <c r="B28" s="632" t="s">
        <v>2686</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96"/>
      <c r="Q28" s="3014" t="str">
        <f t="shared" si="11"/>
        <v>朝向</v>
      </c>
      <c r="R28" s="770" t="s">
        <v>17</v>
      </c>
      <c r="S28" s="771">
        <f>F28</f>
        <v>100</v>
      </c>
      <c r="T28" s="770" t="s">
        <v>17</v>
      </c>
      <c r="U28" s="771">
        <f>H28</f>
        <v>100</v>
      </c>
      <c r="V28" s="770" t="s">
        <v>17</v>
      </c>
      <c r="W28" s="771">
        <f>J28</f>
        <v>100</v>
      </c>
      <c r="X28" s="772"/>
      <c r="Y28" s="3298"/>
      <c r="Z28" s="3015" t="str">
        <f>Q28</f>
        <v>朝向</v>
      </c>
      <c r="AA28" s="3019">
        <f>D28/F28</f>
        <v>1</v>
      </c>
      <c r="AB28" s="3019">
        <f>D28/H28</f>
        <v>1</v>
      </c>
      <c r="AC28" s="2678">
        <f>D28/J28</f>
        <v>1</v>
      </c>
    </row>
    <row r="29" spans="1:29" ht="15.75" hidden="1" thickBot="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96"/>
      <c r="Q29" s="3018">
        <f t="shared" si="11"/>
        <v>0</v>
      </c>
      <c r="R29" s="774" t="s">
        <v>17</v>
      </c>
      <c r="S29" s="775">
        <f t="shared" ref="S29:S47" si="12">F29</f>
        <v>100</v>
      </c>
      <c r="T29" s="774" t="s">
        <v>17</v>
      </c>
      <c r="U29" s="775">
        <f t="shared" ref="U29:U47" si="13">H29</f>
        <v>100</v>
      </c>
      <c r="V29" s="774" t="s">
        <v>17</v>
      </c>
      <c r="W29" s="775">
        <f t="shared" ref="W29:W47" si="14">J29</f>
        <v>100</v>
      </c>
      <c r="X29" s="3020"/>
      <c r="Y29" s="3298"/>
      <c r="Z29" s="3021">
        <f t="shared" ref="Z29:Z47" si="15">Q29</f>
        <v>0</v>
      </c>
      <c r="AA29" s="3019">
        <f t="shared" si="3"/>
        <v>1</v>
      </c>
      <c r="AB29" s="3019">
        <f t="shared" si="4"/>
        <v>1</v>
      </c>
      <c r="AC29" s="2678">
        <f t="shared" si="5"/>
        <v>1</v>
      </c>
    </row>
    <row r="30" spans="1:29" ht="15.75" hidden="1" thickBot="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96"/>
      <c r="Q30" s="3018">
        <f t="shared" si="11"/>
        <v>0</v>
      </c>
      <c r="R30" s="774" t="s">
        <v>17</v>
      </c>
      <c r="S30" s="775">
        <f t="shared" si="12"/>
        <v>100</v>
      </c>
      <c r="T30" s="774" t="s">
        <v>17</v>
      </c>
      <c r="U30" s="775">
        <f t="shared" si="13"/>
        <v>100</v>
      </c>
      <c r="V30" s="774" t="s">
        <v>17</v>
      </c>
      <c r="W30" s="775">
        <f t="shared" si="14"/>
        <v>100</v>
      </c>
      <c r="X30" s="3020"/>
      <c r="Y30" s="3298"/>
      <c r="Z30" s="3021">
        <f t="shared" si="15"/>
        <v>0</v>
      </c>
      <c r="AA30" s="3019">
        <f t="shared" si="3"/>
        <v>1</v>
      </c>
      <c r="AB30" s="3019">
        <f t="shared" si="4"/>
        <v>1</v>
      </c>
      <c r="AC30" s="2678">
        <f t="shared" si="5"/>
        <v>1</v>
      </c>
    </row>
    <row r="31" spans="1:29" ht="15.75" hidden="1" thickBot="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96"/>
      <c r="Q31" s="3018">
        <f t="shared" si="11"/>
        <v>0</v>
      </c>
      <c r="R31" s="774" t="s">
        <v>17</v>
      </c>
      <c r="S31" s="775">
        <f t="shared" si="12"/>
        <v>100</v>
      </c>
      <c r="T31" s="774" t="s">
        <v>17</v>
      </c>
      <c r="U31" s="775">
        <f t="shared" si="13"/>
        <v>100</v>
      </c>
      <c r="V31" s="774" t="s">
        <v>17</v>
      </c>
      <c r="W31" s="775">
        <f t="shared" si="14"/>
        <v>100</v>
      </c>
      <c r="X31" s="3020"/>
      <c r="Y31" s="3298"/>
      <c r="Z31" s="3021">
        <f t="shared" si="15"/>
        <v>0</v>
      </c>
      <c r="AA31" s="3019">
        <f t="shared" si="3"/>
        <v>1</v>
      </c>
      <c r="AB31" s="3019">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96"/>
      <c r="Q32" s="3018">
        <f t="shared" si="11"/>
        <v>0</v>
      </c>
      <c r="R32" s="774" t="s">
        <v>17</v>
      </c>
      <c r="S32" s="775">
        <f t="shared" si="12"/>
        <v>100</v>
      </c>
      <c r="T32" s="774" t="s">
        <v>17</v>
      </c>
      <c r="U32" s="775">
        <f t="shared" si="13"/>
        <v>100</v>
      </c>
      <c r="V32" s="774" t="s">
        <v>17</v>
      </c>
      <c r="W32" s="775">
        <f t="shared" si="14"/>
        <v>100</v>
      </c>
      <c r="X32" s="3020"/>
      <c r="Y32" s="3298"/>
      <c r="Z32" s="3021">
        <f t="shared" si="15"/>
        <v>0</v>
      </c>
      <c r="AA32" s="3019">
        <f t="shared" si="3"/>
        <v>1</v>
      </c>
      <c r="AB32" s="3019">
        <f t="shared" si="4"/>
        <v>1</v>
      </c>
      <c r="AC32" s="2678">
        <f t="shared" si="5"/>
        <v>1</v>
      </c>
    </row>
    <row r="33" spans="1:29" ht="15">
      <c r="A33" s="441" t="s">
        <v>2557</v>
      </c>
      <c r="B33" s="71" t="s">
        <v>2687</v>
      </c>
      <c r="C33" s="2683" t="s">
        <v>3336</v>
      </c>
      <c r="D33" s="468">
        <v>100</v>
      </c>
      <c r="E33" s="2683" t="s">
        <v>3336</v>
      </c>
      <c r="F33" s="462">
        <f>SUMIF(101:101,E33,102:102)-SUMIF(101:101,C33,102:102)+100</f>
        <v>100</v>
      </c>
      <c r="G33" s="2683" t="s">
        <v>3336</v>
      </c>
      <c r="H33" s="436">
        <f>SUMIF(101:101,G33,102:102)-SUMIF(101:101,C33,102:102)+100</f>
        <v>100</v>
      </c>
      <c r="I33" s="2683" t="s">
        <v>3336</v>
      </c>
      <c r="J33" s="468">
        <f>SUMIF(101:101,I33,102:102)-SUMIF(101:101,C33,102:102)+100</f>
        <v>100</v>
      </c>
      <c r="K33" s="613">
        <v>2</v>
      </c>
      <c r="L33" s="1143"/>
      <c r="M33" s="1134"/>
      <c r="N33" s="1134"/>
      <c r="O33" s="1134"/>
      <c r="P33" s="3299" t="s">
        <v>2559</v>
      </c>
      <c r="Q33" s="3018" t="str">
        <f t="shared" si="11"/>
        <v>建筑类型</v>
      </c>
      <c r="R33" s="774" t="s">
        <v>17</v>
      </c>
      <c r="S33" s="775">
        <f t="shared" si="12"/>
        <v>100</v>
      </c>
      <c r="T33" s="774" t="s">
        <v>17</v>
      </c>
      <c r="U33" s="775">
        <f t="shared" si="13"/>
        <v>100</v>
      </c>
      <c r="V33" s="774" t="s">
        <v>17</v>
      </c>
      <c r="W33" s="775">
        <f t="shared" si="14"/>
        <v>100</v>
      </c>
      <c r="X33" s="3020"/>
      <c r="Y33" s="3302" t="s">
        <v>2559</v>
      </c>
      <c r="Z33" s="3021" t="str">
        <f t="shared" si="15"/>
        <v>建筑类型</v>
      </c>
      <c r="AA33" s="3019">
        <f t="shared" si="3"/>
        <v>1</v>
      </c>
      <c r="AB33" s="3019">
        <f t="shared" si="4"/>
        <v>1</v>
      </c>
      <c r="AC33" s="2678">
        <f t="shared" si="5"/>
        <v>1</v>
      </c>
    </row>
    <row r="34" spans="1:29" s="472" customFormat="1" ht="15">
      <c r="A34" s="469"/>
      <c r="B34" s="3016" t="s">
        <v>2560</v>
      </c>
      <c r="C34" s="470">
        <f>清单及结果!D2</f>
        <v>337.41</v>
      </c>
      <c r="D34" s="136">
        <v>100</v>
      </c>
      <c r="E34" s="431">
        <v>1250</v>
      </c>
      <c r="F34" s="426">
        <f>LOOKUP(E34,104:104,105:105)-LOOKUP(C34,104:104,105:105)+100</f>
        <v>94</v>
      </c>
      <c r="G34" s="430">
        <v>500</v>
      </c>
      <c r="H34" s="136">
        <f>LOOKUP(G34,104:104,105:105)-LOOKUP(C34,104:104,105:105)+100</f>
        <v>102</v>
      </c>
      <c r="I34" s="430">
        <v>350</v>
      </c>
      <c r="J34" s="136">
        <f>LOOKUP(I34,104:104,105:105)-LOOKUP(C34,104:104,105:105)+100</f>
        <v>100</v>
      </c>
      <c r="K34" s="614"/>
      <c r="L34" s="1141"/>
      <c r="M34" s="1144"/>
      <c r="N34" s="1144"/>
      <c r="O34" s="1144"/>
      <c r="P34" s="3300"/>
      <c r="Q34" s="776" t="str">
        <f t="shared" si="11"/>
        <v>项目建筑规模</v>
      </c>
      <c r="R34" s="777" t="s">
        <v>17</v>
      </c>
      <c r="S34" s="778">
        <f t="shared" si="12"/>
        <v>94</v>
      </c>
      <c r="T34" s="777" t="s">
        <v>17</v>
      </c>
      <c r="U34" s="778">
        <f t="shared" si="13"/>
        <v>102</v>
      </c>
      <c r="V34" s="777" t="s">
        <v>17</v>
      </c>
      <c r="W34" s="778">
        <f t="shared" si="14"/>
        <v>100</v>
      </c>
      <c r="X34" s="779"/>
      <c r="Y34" s="3302"/>
      <c r="Z34" s="780" t="str">
        <f t="shared" si="15"/>
        <v>项目建筑规模</v>
      </c>
      <c r="AA34" s="3019">
        <f t="shared" si="3"/>
        <v>1.0638297872340425</v>
      </c>
      <c r="AB34" s="3019">
        <f t="shared" si="4"/>
        <v>0.98039215686274506</v>
      </c>
      <c r="AC34" s="2678">
        <f t="shared" si="5"/>
        <v>1</v>
      </c>
    </row>
    <row r="35" spans="1:29" ht="15">
      <c r="A35" s="473"/>
      <c r="B35" s="3016" t="s">
        <v>2561</v>
      </c>
      <c r="C35" s="461" t="s">
        <v>3338</v>
      </c>
      <c r="D35" s="436">
        <v>100</v>
      </c>
      <c r="E35" s="461" t="s">
        <v>3338</v>
      </c>
      <c r="F35" s="462">
        <f>SUMIF(106:106,E35,107:107)-SUMIF(106:106,C35,107:107)+100</f>
        <v>100</v>
      </c>
      <c r="G35" s="461" t="s">
        <v>3338</v>
      </c>
      <c r="H35" s="436">
        <f>SUMIF(106:106,G35,107:107)-SUMIF(106:106,C35,107:107)+100</f>
        <v>100</v>
      </c>
      <c r="I35" s="461" t="s">
        <v>3338</v>
      </c>
      <c r="J35" s="436">
        <f>SUMIF(106:106,I35,107:107)-SUMIF(106:106,C35,107:107)+100</f>
        <v>100</v>
      </c>
      <c r="K35" s="613">
        <v>2</v>
      </c>
      <c r="L35" s="1143"/>
      <c r="M35" s="1134"/>
      <c r="N35" s="1134"/>
      <c r="O35" s="1134"/>
      <c r="P35" s="3300"/>
      <c r="Q35" s="3018" t="str">
        <f t="shared" si="11"/>
        <v>建筑结构</v>
      </c>
      <c r="R35" s="774" t="s">
        <v>17</v>
      </c>
      <c r="S35" s="775">
        <f t="shared" si="12"/>
        <v>100</v>
      </c>
      <c r="T35" s="774" t="s">
        <v>17</v>
      </c>
      <c r="U35" s="775">
        <f t="shared" si="13"/>
        <v>100</v>
      </c>
      <c r="V35" s="774" t="s">
        <v>17</v>
      </c>
      <c r="W35" s="775">
        <f t="shared" si="14"/>
        <v>100</v>
      </c>
      <c r="X35" s="3020"/>
      <c r="Y35" s="3302"/>
      <c r="Z35" s="3021" t="str">
        <f t="shared" si="15"/>
        <v>建筑结构</v>
      </c>
      <c r="AA35" s="3019">
        <f t="shared" si="3"/>
        <v>1</v>
      </c>
      <c r="AB35" s="3019">
        <f t="shared" si="4"/>
        <v>1</v>
      </c>
      <c r="AC35" s="2678">
        <f t="shared" si="5"/>
        <v>1</v>
      </c>
    </row>
    <row r="36" spans="1:29" ht="15">
      <c r="A36" s="473"/>
      <c r="B36" s="3016" t="s">
        <v>2655</v>
      </c>
      <c r="C36" s="461" t="s">
        <v>3341</v>
      </c>
      <c r="D36" s="436">
        <v>100</v>
      </c>
      <c r="E36" s="461" t="s">
        <v>3341</v>
      </c>
      <c r="F36" s="462">
        <f>SUMIF(108:108,E36,109:109)-SUMIF(108:108,C36,109:109)+100</f>
        <v>100</v>
      </c>
      <c r="G36" s="461" t="s">
        <v>3341</v>
      </c>
      <c r="H36" s="436">
        <f>SUMIF(108:108,G36,109:109)-SUMIF(108:108,C36,109:109)+100</f>
        <v>100</v>
      </c>
      <c r="I36" s="461" t="s">
        <v>3341</v>
      </c>
      <c r="J36" s="436">
        <f>SUMIF(108:108,I36,109:109)-SUMIF(108:108,C36,109:109)+100</f>
        <v>100</v>
      </c>
      <c r="K36" s="613">
        <v>2</v>
      </c>
      <c r="L36" s="1143"/>
      <c r="M36" s="1134"/>
      <c r="N36" s="1134"/>
      <c r="O36" s="1134"/>
      <c r="P36" s="3300"/>
      <c r="Q36" s="3018" t="str">
        <f t="shared" si="11"/>
        <v>公共部分装修</v>
      </c>
      <c r="R36" s="774" t="s">
        <v>17</v>
      </c>
      <c r="S36" s="775">
        <f t="shared" si="12"/>
        <v>100</v>
      </c>
      <c r="T36" s="774" t="s">
        <v>17</v>
      </c>
      <c r="U36" s="775">
        <f t="shared" si="13"/>
        <v>100</v>
      </c>
      <c r="V36" s="774" t="s">
        <v>17</v>
      </c>
      <c r="W36" s="775">
        <f t="shared" si="14"/>
        <v>100</v>
      </c>
      <c r="X36" s="3020"/>
      <c r="Y36" s="3302"/>
      <c r="Z36" s="3021" t="str">
        <f t="shared" si="15"/>
        <v>公共部分装修</v>
      </c>
      <c r="AA36" s="3019">
        <f t="shared" si="3"/>
        <v>1</v>
      </c>
      <c r="AB36" s="3019">
        <f t="shared" si="4"/>
        <v>1</v>
      </c>
      <c r="AC36" s="2678">
        <f t="shared" si="5"/>
        <v>1</v>
      </c>
    </row>
    <row r="37" spans="1:29" ht="15">
      <c r="A37" s="473"/>
      <c r="B37" s="3016" t="s">
        <v>2656</v>
      </c>
      <c r="C37" s="475">
        <f>'数据-取费表'!N6</f>
        <v>0.8</v>
      </c>
      <c r="D37" s="436">
        <v>100</v>
      </c>
      <c r="E37" s="475">
        <v>0.73</v>
      </c>
      <c r="F37" s="462">
        <f>LOOKUP(E37,111:111,112:112)-LOOKUP(C37,111:111,112:112)+100</f>
        <v>98</v>
      </c>
      <c r="G37" s="475">
        <v>0.82</v>
      </c>
      <c r="H37" s="462">
        <f>LOOKUP(G37,111:111,112:112)-LOOKUP(C37,111:111,112:112)+100</f>
        <v>100</v>
      </c>
      <c r="I37" s="475">
        <v>0.82</v>
      </c>
      <c r="J37" s="436">
        <f>LOOKUP(I37,111:111,112:112)-LOOKUP(C37,111:111,112:112)+100</f>
        <v>100</v>
      </c>
      <c r="K37" s="613">
        <v>2</v>
      </c>
      <c r="L37" s="1143"/>
      <c r="M37" s="1134"/>
      <c r="N37" s="1134"/>
      <c r="O37" s="1134"/>
      <c r="P37" s="3300"/>
      <c r="Q37" s="3018" t="str">
        <f t="shared" si="11"/>
        <v>成新度</v>
      </c>
      <c r="R37" s="774" t="s">
        <v>17</v>
      </c>
      <c r="S37" s="775">
        <f t="shared" si="12"/>
        <v>98</v>
      </c>
      <c r="T37" s="774" t="s">
        <v>17</v>
      </c>
      <c r="U37" s="775">
        <f t="shared" si="13"/>
        <v>100</v>
      </c>
      <c r="V37" s="774" t="s">
        <v>17</v>
      </c>
      <c r="W37" s="775">
        <f t="shared" si="14"/>
        <v>100</v>
      </c>
      <c r="X37" s="3020"/>
      <c r="Y37" s="3302"/>
      <c r="Z37" s="3021" t="str">
        <f t="shared" si="15"/>
        <v>成新度</v>
      </c>
      <c r="AA37" s="3019">
        <f t="shared" si="3"/>
        <v>1.0204081632653061</v>
      </c>
      <c r="AB37" s="3019">
        <f t="shared" si="4"/>
        <v>1</v>
      </c>
      <c r="AC37" s="2678">
        <f t="shared" si="5"/>
        <v>1</v>
      </c>
    </row>
    <row r="38" spans="1:29" s="117" customFormat="1" ht="15">
      <c r="A38" s="474"/>
      <c r="B38" s="3016" t="s">
        <v>2688</v>
      </c>
      <c r="C38" s="461" t="s">
        <v>3348</v>
      </c>
      <c r="D38" s="136">
        <v>100</v>
      </c>
      <c r="E38" s="3052" t="s">
        <v>3386</v>
      </c>
      <c r="F38" s="462">
        <f>SUMIF(113:113,E38,114:114)-SUMIF(113:113,C38,114:114)+100</f>
        <v>100</v>
      </c>
      <c r="G38" s="3052" t="s">
        <v>3394</v>
      </c>
      <c r="H38" s="436">
        <f>SUMIF(113:113,G38,114:114)-SUMIF(113:113,C38,114:114)+100</f>
        <v>105</v>
      </c>
      <c r="I38" s="3052" t="s">
        <v>3386</v>
      </c>
      <c r="J38" s="436">
        <f>SUMIF(113:113,I38,114:114)-SUMIF(113:113,C38,114:114)+100</f>
        <v>100</v>
      </c>
      <c r="K38" s="613">
        <f>'比较法-办公'!K38</f>
        <v>5</v>
      </c>
      <c r="L38" s="1135"/>
      <c r="M38" s="1136"/>
      <c r="N38" s="1136"/>
      <c r="O38" s="1136"/>
      <c r="P38" s="3300"/>
      <c r="Q38" s="3014" t="str">
        <f t="shared" si="11"/>
        <v>写字楼等级</v>
      </c>
      <c r="R38" s="770" t="s">
        <v>17</v>
      </c>
      <c r="S38" s="771">
        <f t="shared" si="12"/>
        <v>100</v>
      </c>
      <c r="T38" s="770" t="s">
        <v>17</v>
      </c>
      <c r="U38" s="771">
        <f t="shared" si="13"/>
        <v>105</v>
      </c>
      <c r="V38" s="770" t="s">
        <v>17</v>
      </c>
      <c r="W38" s="771">
        <f t="shared" si="14"/>
        <v>100</v>
      </c>
      <c r="X38" s="772"/>
      <c r="Y38" s="3302"/>
      <c r="Z38" s="3015" t="str">
        <f t="shared" si="15"/>
        <v>写字楼等级</v>
      </c>
      <c r="AA38" s="773">
        <f t="shared" si="3"/>
        <v>1</v>
      </c>
      <c r="AB38" s="773">
        <f t="shared" si="4"/>
        <v>0.95238095238095233</v>
      </c>
      <c r="AC38" s="2675">
        <f t="shared" si="5"/>
        <v>1</v>
      </c>
    </row>
    <row r="39" spans="1:29" ht="15">
      <c r="A39" s="473"/>
      <c r="B39" s="3016" t="s">
        <v>2689</v>
      </c>
      <c r="C39" s="461" t="s">
        <v>3395</v>
      </c>
      <c r="D39" s="436">
        <v>100</v>
      </c>
      <c r="E39" s="461" t="s">
        <v>3395</v>
      </c>
      <c r="F39" s="462">
        <f>SUMIF(115:115,E39,116:116)-SUMIF(115:115,C39,116:116)+100</f>
        <v>100</v>
      </c>
      <c r="G39" s="3052" t="s">
        <v>3387</v>
      </c>
      <c r="H39" s="436">
        <f>SUMIF(115:115,G39,116:116)-SUMIF(115:115,C39,116:116)+100</f>
        <v>105</v>
      </c>
      <c r="I39" s="3052" t="s">
        <v>3395</v>
      </c>
      <c r="J39" s="436">
        <f>SUMIF(115:115,I39,116:116)-SUMIF(115:115,C39,116:116)+100</f>
        <v>100</v>
      </c>
      <c r="K39" s="613">
        <f>'比较法-办公'!K39</f>
        <v>5</v>
      </c>
      <c r="L39" s="1143"/>
      <c r="M39" s="1134"/>
      <c r="N39" s="1134"/>
      <c r="O39" s="1134"/>
      <c r="P39" s="3300" t="s">
        <v>2559</v>
      </c>
      <c r="Q39" s="3018" t="str">
        <f t="shared" si="11"/>
        <v>物业管理</v>
      </c>
      <c r="R39" s="774" t="s">
        <v>17</v>
      </c>
      <c r="S39" s="775">
        <f t="shared" si="12"/>
        <v>100</v>
      </c>
      <c r="T39" s="774" t="s">
        <v>17</v>
      </c>
      <c r="U39" s="775">
        <f t="shared" si="13"/>
        <v>105</v>
      </c>
      <c r="V39" s="774" t="s">
        <v>17</v>
      </c>
      <c r="W39" s="775">
        <f t="shared" si="14"/>
        <v>100</v>
      </c>
      <c r="X39" s="3020"/>
      <c r="Y39" s="3302" t="s">
        <v>2559</v>
      </c>
      <c r="Z39" s="3021" t="str">
        <f t="shared" si="15"/>
        <v>物业管理</v>
      </c>
      <c r="AA39" s="3019">
        <f t="shared" si="3"/>
        <v>1</v>
      </c>
      <c r="AB39" s="3019">
        <f t="shared" si="4"/>
        <v>0.95238095238095233</v>
      </c>
      <c r="AC39" s="2678">
        <f t="shared" si="5"/>
        <v>1</v>
      </c>
    </row>
    <row r="40" spans="1:29" ht="15">
      <c r="A40" s="473"/>
      <c r="B40" s="3016" t="s">
        <v>2657</v>
      </c>
      <c r="C40" s="461" t="s">
        <v>3357</v>
      </c>
      <c r="D40" s="436">
        <v>100</v>
      </c>
      <c r="E40" s="461" t="s">
        <v>3357</v>
      </c>
      <c r="F40" s="462">
        <f>SUMIF(117:117,E40,118:118)-SUMIF(117:117,C40,118:118)+100</f>
        <v>100</v>
      </c>
      <c r="G40" s="3052" t="s">
        <v>3388</v>
      </c>
      <c r="H40" s="436">
        <f>SUMIF(117:117,G40,118:118)-SUMIF(117:117,C40,118:118)+100</f>
        <v>100</v>
      </c>
      <c r="I40" s="3052" t="s">
        <v>3388</v>
      </c>
      <c r="J40" s="436">
        <f>SUMIF(117:117,I40,118:118)-SUMIF(117:117,C40,118:118)+100</f>
        <v>100</v>
      </c>
      <c r="K40" s="613">
        <v>1</v>
      </c>
      <c r="L40" s="1143"/>
      <c r="M40" s="1134"/>
      <c r="N40" s="1134"/>
      <c r="O40" s="1134"/>
      <c r="P40" s="3300"/>
      <c r="Q40" s="3018" t="str">
        <f t="shared" si="11"/>
        <v>市政基础设施</v>
      </c>
      <c r="R40" s="774" t="s">
        <v>17</v>
      </c>
      <c r="S40" s="775">
        <f t="shared" si="12"/>
        <v>100</v>
      </c>
      <c r="T40" s="774" t="s">
        <v>17</v>
      </c>
      <c r="U40" s="775">
        <f t="shared" si="13"/>
        <v>100</v>
      </c>
      <c r="V40" s="774" t="s">
        <v>17</v>
      </c>
      <c r="W40" s="775">
        <f t="shared" si="14"/>
        <v>100</v>
      </c>
      <c r="X40" s="3020"/>
      <c r="Y40" s="3302"/>
      <c r="Z40" s="3021" t="str">
        <f t="shared" si="15"/>
        <v>市政基础设施</v>
      </c>
      <c r="AA40" s="3019">
        <f t="shared" si="3"/>
        <v>1</v>
      </c>
      <c r="AB40" s="3019">
        <f t="shared" si="4"/>
        <v>1</v>
      </c>
      <c r="AC40" s="2678">
        <f t="shared" si="5"/>
        <v>1</v>
      </c>
    </row>
    <row r="41" spans="1:29" ht="15">
      <c r="A41" s="473"/>
      <c r="B41" s="3016" t="s">
        <v>2659</v>
      </c>
      <c r="C41" s="617" t="s">
        <v>3363</v>
      </c>
      <c r="D41" s="436">
        <v>100</v>
      </c>
      <c r="E41" s="617" t="s">
        <v>3363</v>
      </c>
      <c r="F41" s="462">
        <f>SUMIF(119:119,E41,120:120)-SUMIF(119:119,C41,120:120)+100</f>
        <v>100</v>
      </c>
      <c r="G41" s="3053" t="s">
        <v>3389</v>
      </c>
      <c r="H41" s="436">
        <f>SUMIF(119:119,G41,120:120)-SUMIF(119:119,C41,120:120)+100</f>
        <v>100</v>
      </c>
      <c r="I41" s="3053" t="s">
        <v>3389</v>
      </c>
      <c r="J41" s="436">
        <f>SUMIF(119:119,I41,120:120)-SUMIF(119:119,C41,120:120)+100</f>
        <v>100</v>
      </c>
      <c r="K41" s="613">
        <v>2</v>
      </c>
      <c r="L41" s="1143"/>
      <c r="M41" s="1134"/>
      <c r="N41" s="1134"/>
      <c r="O41" s="1134"/>
      <c r="P41" s="3300"/>
      <c r="Q41" s="3018" t="str">
        <f t="shared" si="11"/>
        <v>层高</v>
      </c>
      <c r="R41" s="774" t="s">
        <v>17</v>
      </c>
      <c r="S41" s="775">
        <f t="shared" si="12"/>
        <v>100</v>
      </c>
      <c r="T41" s="774" t="s">
        <v>17</v>
      </c>
      <c r="U41" s="775">
        <f t="shared" si="13"/>
        <v>100</v>
      </c>
      <c r="V41" s="774" t="s">
        <v>17</v>
      </c>
      <c r="W41" s="775">
        <f t="shared" si="14"/>
        <v>100</v>
      </c>
      <c r="X41" s="3020"/>
      <c r="Y41" s="3302"/>
      <c r="Z41" s="3021" t="str">
        <f t="shared" si="15"/>
        <v>层高</v>
      </c>
      <c r="AA41" s="3019">
        <f t="shared" si="3"/>
        <v>1</v>
      </c>
      <c r="AB41" s="3019">
        <f t="shared" si="4"/>
        <v>1</v>
      </c>
      <c r="AC41" s="2678">
        <f t="shared" si="5"/>
        <v>1</v>
      </c>
    </row>
    <row r="42" spans="1:29" s="472" customFormat="1" ht="15" hidden="1">
      <c r="A42" s="469"/>
      <c r="B42" s="3017" t="s">
        <v>2690</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300"/>
      <c r="Q42" s="776" t="str">
        <f t="shared" si="11"/>
        <v>单套建筑面积</v>
      </c>
      <c r="R42" s="777" t="s">
        <v>17</v>
      </c>
      <c r="S42" s="778">
        <f t="shared" si="12"/>
        <v>100</v>
      </c>
      <c r="T42" s="777" t="s">
        <v>17</v>
      </c>
      <c r="U42" s="778">
        <f t="shared" si="13"/>
        <v>100</v>
      </c>
      <c r="V42" s="777" t="s">
        <v>17</v>
      </c>
      <c r="W42" s="778">
        <f t="shared" si="14"/>
        <v>100</v>
      </c>
      <c r="X42" s="779"/>
      <c r="Y42" s="3302"/>
      <c r="Z42" s="780" t="str">
        <f t="shared" si="15"/>
        <v>单套建筑面积</v>
      </c>
      <c r="AA42" s="3019">
        <f t="shared" si="3"/>
        <v>1</v>
      </c>
      <c r="AB42" s="3019">
        <f t="shared" si="4"/>
        <v>1</v>
      </c>
      <c r="AC42" s="2678">
        <f t="shared" si="5"/>
        <v>1</v>
      </c>
    </row>
    <row r="43" spans="1:29" ht="15">
      <c r="A43" s="473"/>
      <c r="B43" s="3016" t="s">
        <v>2662</v>
      </c>
      <c r="C43" s="461" t="s">
        <v>3343</v>
      </c>
      <c r="D43" s="436">
        <v>100</v>
      </c>
      <c r="E43" s="461" t="s">
        <v>3343</v>
      </c>
      <c r="F43" s="462">
        <f>SUMIF(123:123,E43,124:124)-SUMIF(123:123,C43,124:124)+100</f>
        <v>100</v>
      </c>
      <c r="G43" s="3052" t="s">
        <v>3390</v>
      </c>
      <c r="H43" s="436">
        <f>SUMIF(123:123,G43,124:124)-SUMIF(123:123,C43,124:124)+100</f>
        <v>100</v>
      </c>
      <c r="I43" s="3052" t="s">
        <v>3390</v>
      </c>
      <c r="J43" s="436">
        <f>SUMIF(123:123,I43,124:124)-SUMIF(123:123,C43,124:124)+100</f>
        <v>100</v>
      </c>
      <c r="K43" s="613">
        <v>2</v>
      </c>
      <c r="L43" s="1143"/>
      <c r="M43" s="1134"/>
      <c r="N43" s="1134"/>
      <c r="O43" s="1134"/>
      <c r="P43" s="3300"/>
      <c r="Q43" s="3018" t="str">
        <f t="shared" si="11"/>
        <v>内部装修</v>
      </c>
      <c r="R43" s="774" t="s">
        <v>17</v>
      </c>
      <c r="S43" s="775">
        <f t="shared" si="12"/>
        <v>100</v>
      </c>
      <c r="T43" s="774" t="s">
        <v>17</v>
      </c>
      <c r="U43" s="775">
        <f t="shared" si="13"/>
        <v>100</v>
      </c>
      <c r="V43" s="774" t="s">
        <v>17</v>
      </c>
      <c r="W43" s="775">
        <f t="shared" si="14"/>
        <v>100</v>
      </c>
      <c r="X43" s="3020"/>
      <c r="Y43" s="3302"/>
      <c r="Z43" s="3021" t="str">
        <f t="shared" si="15"/>
        <v>内部装修</v>
      </c>
      <c r="AA43" s="3019">
        <f t="shared" si="3"/>
        <v>1</v>
      </c>
      <c r="AB43" s="3019">
        <f t="shared" si="4"/>
        <v>1</v>
      </c>
      <c r="AC43" s="2678">
        <f t="shared" si="5"/>
        <v>1</v>
      </c>
    </row>
    <row r="44" spans="1:29" ht="15.75" thickBot="1">
      <c r="A44" s="473"/>
      <c r="B44" s="3016" t="s">
        <v>2570</v>
      </c>
      <c r="C44" s="461" t="s">
        <v>3321</v>
      </c>
      <c r="D44" s="436">
        <v>100</v>
      </c>
      <c r="E44" s="2617" t="s">
        <v>3321</v>
      </c>
      <c r="F44" s="462">
        <f>SUMIF(125:125,E44,126:126)-SUMIF(125:125,C44,126:126)+100</f>
        <v>100</v>
      </c>
      <c r="G44" s="3054" t="s">
        <v>3391</v>
      </c>
      <c r="H44" s="436">
        <f>SUMIF(125:125,G44,126:126)-SUMIF(125:125,C44,126:126)+100</f>
        <v>100</v>
      </c>
      <c r="I44" s="3054" t="s">
        <v>3391</v>
      </c>
      <c r="J44" s="436">
        <f>SUMIF(125:125,I44,126:126)-SUMIF(125:125,C44,126:126)+100</f>
        <v>100</v>
      </c>
      <c r="K44" s="613">
        <v>2</v>
      </c>
      <c r="L44" s="1143"/>
      <c r="M44" s="1134"/>
      <c r="N44" s="1134"/>
      <c r="O44" s="1134"/>
      <c r="P44" s="3300"/>
      <c r="Q44" s="3018" t="str">
        <f t="shared" si="11"/>
        <v>内部装修维护情况</v>
      </c>
      <c r="R44" s="774" t="s">
        <v>17</v>
      </c>
      <c r="S44" s="775">
        <f t="shared" si="12"/>
        <v>100</v>
      </c>
      <c r="T44" s="774" t="s">
        <v>17</v>
      </c>
      <c r="U44" s="775">
        <f t="shared" si="13"/>
        <v>100</v>
      </c>
      <c r="V44" s="774" t="s">
        <v>17</v>
      </c>
      <c r="W44" s="775">
        <f t="shared" si="14"/>
        <v>100</v>
      </c>
      <c r="X44" s="3020"/>
      <c r="Y44" s="3302"/>
      <c r="Z44" s="3021" t="str">
        <f t="shared" si="15"/>
        <v>内部装修维护情况</v>
      </c>
      <c r="AA44" s="3019">
        <f t="shared" si="3"/>
        <v>1</v>
      </c>
      <c r="AB44" s="3019">
        <f t="shared" si="4"/>
        <v>1</v>
      </c>
      <c r="AC44" s="2678">
        <f t="shared" si="5"/>
        <v>1</v>
      </c>
    </row>
    <row r="45" spans="1:29" s="117" customFormat="1" ht="15.75" hidden="1" thickBot="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300"/>
      <c r="Q45" s="3014">
        <f t="shared" si="11"/>
        <v>0</v>
      </c>
      <c r="R45" s="770" t="s">
        <v>17</v>
      </c>
      <c r="S45" s="771">
        <f t="shared" si="12"/>
        <v>100</v>
      </c>
      <c r="T45" s="770" t="s">
        <v>17</v>
      </c>
      <c r="U45" s="771">
        <f t="shared" si="13"/>
        <v>100</v>
      </c>
      <c r="V45" s="770" t="s">
        <v>17</v>
      </c>
      <c r="W45" s="771">
        <f t="shared" si="14"/>
        <v>100</v>
      </c>
      <c r="X45" s="772"/>
      <c r="Y45" s="3302"/>
      <c r="Z45" s="3015">
        <f t="shared" si="15"/>
        <v>0</v>
      </c>
      <c r="AA45" s="773">
        <f t="shared" si="3"/>
        <v>1</v>
      </c>
      <c r="AB45" s="773">
        <f t="shared" si="4"/>
        <v>1</v>
      </c>
      <c r="AC45" s="2675">
        <f t="shared" si="5"/>
        <v>1</v>
      </c>
    </row>
    <row r="46" spans="1:29" ht="15.75" hidden="1" thickBot="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300"/>
      <c r="Q46" s="3018">
        <f t="shared" si="11"/>
        <v>0</v>
      </c>
      <c r="R46" s="774" t="s">
        <v>17</v>
      </c>
      <c r="S46" s="775">
        <f t="shared" si="12"/>
        <v>100</v>
      </c>
      <c r="T46" s="774" t="s">
        <v>17</v>
      </c>
      <c r="U46" s="775">
        <f t="shared" si="13"/>
        <v>100</v>
      </c>
      <c r="V46" s="774" t="s">
        <v>17</v>
      </c>
      <c r="W46" s="775">
        <f t="shared" si="14"/>
        <v>100</v>
      </c>
      <c r="X46" s="3020"/>
      <c r="Y46" s="3302"/>
      <c r="Z46" s="3021">
        <f t="shared" si="15"/>
        <v>0</v>
      </c>
      <c r="AA46" s="3019">
        <f t="shared" si="3"/>
        <v>1</v>
      </c>
      <c r="AB46" s="3019">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301"/>
      <c r="Q47" s="3018">
        <f t="shared" si="11"/>
        <v>0</v>
      </c>
      <c r="R47" s="774" t="s">
        <v>17</v>
      </c>
      <c r="S47" s="775">
        <f t="shared" si="12"/>
        <v>100</v>
      </c>
      <c r="T47" s="774" t="s">
        <v>17</v>
      </c>
      <c r="U47" s="775">
        <f t="shared" si="13"/>
        <v>100</v>
      </c>
      <c r="V47" s="774" t="s">
        <v>17</v>
      </c>
      <c r="W47" s="775">
        <f t="shared" si="14"/>
        <v>100</v>
      </c>
      <c r="X47" s="3020"/>
      <c r="Y47" s="3303"/>
      <c r="Z47" s="3021">
        <f t="shared" si="15"/>
        <v>0</v>
      </c>
      <c r="AA47" s="3019">
        <f t="shared" si="3"/>
        <v>1</v>
      </c>
      <c r="AB47" s="3019">
        <f t="shared" si="4"/>
        <v>1</v>
      </c>
      <c r="AC47" s="2678">
        <f t="shared" si="5"/>
        <v>1</v>
      </c>
    </row>
    <row r="48" spans="1:29" ht="15">
      <c r="A48" s="480" t="s">
        <v>2571</v>
      </c>
      <c r="B48" s="481"/>
      <c r="C48" s="1410" t="s">
        <v>1</v>
      </c>
      <c r="D48" s="1411"/>
      <c r="E48" s="1412">
        <v>7</v>
      </c>
      <c r="F48" s="1413"/>
      <c r="G48" s="1414">
        <v>9</v>
      </c>
      <c r="H48" s="1415"/>
      <c r="I48" s="3055">
        <v>8</v>
      </c>
      <c r="J48" s="486"/>
      <c r="K48" s="783"/>
      <c r="L48" s="1146"/>
      <c r="M48" s="1134"/>
      <c r="N48" s="1134"/>
      <c r="O48" s="1134"/>
      <c r="P48" s="3275" t="str">
        <f>A48</f>
        <v>成交单价（元/平方米）</v>
      </c>
      <c r="Q48" s="3304"/>
      <c r="R48" s="3305">
        <f>E48</f>
        <v>7</v>
      </c>
      <c r="S48" s="3305"/>
      <c r="T48" s="3305">
        <f>G48</f>
        <v>9</v>
      </c>
      <c r="U48" s="3305"/>
      <c r="V48" s="3305">
        <f>I48</f>
        <v>8</v>
      </c>
      <c r="W48" s="3305"/>
      <c r="X48" s="447"/>
      <c r="Y48" s="781"/>
      <c r="Z48" s="447"/>
      <c r="AA48" s="447"/>
      <c r="AB48" s="447"/>
      <c r="AC48" s="631"/>
    </row>
    <row r="49" spans="1:29" ht="15.75" thickBot="1">
      <c r="A49" s="487" t="s">
        <v>2572</v>
      </c>
      <c r="B49" s="488"/>
      <c r="C49" s="3057">
        <f>R50</f>
        <v>7.2</v>
      </c>
      <c r="D49" s="1417"/>
      <c r="E49" s="1418">
        <f>R49</f>
        <v>6.8</v>
      </c>
      <c r="F49" s="1418"/>
      <c r="G49" s="1416">
        <f>T49</f>
        <v>7.6</v>
      </c>
      <c r="H49" s="1417"/>
      <c r="I49" s="1418">
        <f>V49</f>
        <v>7.3</v>
      </c>
      <c r="J49" s="490"/>
      <c r="K49" s="784"/>
      <c r="L49" s="1146"/>
      <c r="M49" s="1134"/>
      <c r="N49" s="1134"/>
      <c r="O49" s="1134"/>
      <c r="P49" s="3275" t="str">
        <f>A49</f>
        <v>比较价值（元/平方米）</v>
      </c>
      <c r="Q49" s="3304"/>
      <c r="R49" s="3305">
        <f>IF(F1="售价",ROUND(PRODUCT(R48,AA7:AA47),0),ROUND(PRODUCT(R48,AA7:AA47),1))</f>
        <v>6.8</v>
      </c>
      <c r="S49" s="3305"/>
      <c r="T49" s="3305">
        <f>IF(F1="售价",ROUND(PRODUCT(T48,AB7:AB47),0),ROUND(PRODUCT(T48,AB7:AB47),1))</f>
        <v>7.6</v>
      </c>
      <c r="U49" s="3305"/>
      <c r="V49" s="3305">
        <f>IF(F1="售价",ROUND(PRODUCT(V48,AC7:AC47),0),ROUND(PRODUCT(V48,AC7:AC47),1))</f>
        <v>7.3</v>
      </c>
      <c r="W49" s="3305"/>
      <c r="X49" s="447"/>
      <c r="Y49" s="447"/>
      <c r="Z49" s="447"/>
      <c r="AA49" s="447"/>
      <c r="AB49" s="447"/>
      <c r="AC49" s="631"/>
    </row>
    <row r="50" spans="1:29" ht="53.25" customHeight="1" thickBot="1">
      <c r="A50" s="3043" t="s">
        <v>3365</v>
      </c>
      <c r="B50" s="494"/>
      <c r="C50" s="3058">
        <f>R50</f>
        <v>7.2</v>
      </c>
      <c r="D50" s="1420"/>
      <c r="E50" s="1420"/>
      <c r="F50" s="1420"/>
      <c r="G50" s="1420"/>
      <c r="H50" s="1420"/>
      <c r="I50" s="1420"/>
      <c r="J50" s="495"/>
      <c r="K50" s="785"/>
      <c r="L50" s="1146"/>
      <c r="M50" s="1134"/>
      <c r="N50" s="1134"/>
      <c r="O50" s="1134"/>
      <c r="P50" s="3306" t="str">
        <f>A50</f>
        <v>估价对象501号办公用房的比较价值</v>
      </c>
      <c r="Q50" s="3307"/>
      <c r="R50" s="3308">
        <f>IF(F1="售价",ROUND(AVERAGE(R49:V49),0),ROUND(AVERAGE(R49:V49),1))</f>
        <v>7.2</v>
      </c>
      <c r="S50" s="3308"/>
      <c r="T50" s="3308"/>
      <c r="U50" s="3308"/>
      <c r="V50" s="3308"/>
      <c r="W50" s="330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2574</v>
      </c>
      <c r="D53" s="499"/>
      <c r="E53" s="500">
        <f>IF(E48&lt;E49,E49/E48-1,E48/E49-1)</f>
        <v>2.941176470588247E-2</v>
      </c>
      <c r="F53" s="501" t="str">
        <f>IF(OR(E53&gt;=0.3,E53&lt;=-0.3),"超过30%","")</f>
        <v/>
      </c>
      <c r="G53" s="500">
        <f>IF(G48&lt;G49,G49/G48-1,G48/G49-1)</f>
        <v>0.1842105263157896</v>
      </c>
      <c r="H53" s="501" t="str">
        <f>IF(OR(G53&gt;=0.3,G53&lt;=-0.3),"超过30%","")</f>
        <v/>
      </c>
      <c r="I53" s="500">
        <f>IF(I48&lt;I49,I49/I48-1,I48/I49-1)</f>
        <v>9.5890410958904049E-2</v>
      </c>
      <c r="J53" s="501" t="str">
        <f>IF(OR(I53&gt;=0.3,I53&lt;=-0.3),"超过30%","")</f>
        <v/>
      </c>
      <c r="K53" s="1108"/>
      <c r="L53" s="1109"/>
      <c r="M53" s="1147"/>
      <c r="N53" s="1147"/>
      <c r="O53" s="1147"/>
    </row>
    <row r="54" spans="1:29" ht="13.5" customHeight="1">
      <c r="A54" s="1147"/>
      <c r="B54" s="1147"/>
      <c r="C54" s="498" t="s">
        <v>2575</v>
      </c>
      <c r="D54" s="502"/>
      <c r="E54" s="500">
        <f>IF(E49&lt;G49,G49/E49-1,E49/G49-1)</f>
        <v>0.11764705882352944</v>
      </c>
      <c r="F54" s="501" t="str">
        <f>IF(OR(E54&gt;=0.2,E54&lt;=-0.2),"超过20%","")</f>
        <v/>
      </c>
      <c r="G54" s="500">
        <f>IF(G49&lt;I49,I49/G49-1,G49/I49-1)</f>
        <v>4.1095890410958846E-2</v>
      </c>
      <c r="H54" s="501" t="str">
        <f>IF(OR(G54&gt;=0.2,G54&lt;=-0.2),"超过20%","")</f>
        <v/>
      </c>
      <c r="I54" s="500">
        <f>IF(I49&lt;E49,E49/I49-1,I49/E49-1)</f>
        <v>7.3529411764705843E-2</v>
      </c>
      <c r="J54" s="501" t="str">
        <f>IF(OR(I54&gt;=0.2,I54&lt;=-0.2),"超过20%","")</f>
        <v/>
      </c>
      <c r="K54" s="1108"/>
      <c r="L54" s="1109"/>
      <c r="M54" s="1147"/>
      <c r="N54" s="1147"/>
      <c r="O54" s="1147"/>
    </row>
    <row r="55" spans="1:29" s="503" customFormat="1" ht="13.5" customHeight="1">
      <c r="A55" s="1148"/>
      <c r="B55" s="1148"/>
      <c r="C55" s="498" t="s">
        <v>2576</v>
      </c>
      <c r="D55" s="502"/>
      <c r="E55" s="500">
        <f>IF(E48&lt;G48,G48/E48-1,E48/G48-1)</f>
        <v>0.28571428571428581</v>
      </c>
      <c r="F55" s="501" t="str">
        <f>IF(OR(E55&gt;=0.3,E55&lt;=-0.3),"超过30%","")</f>
        <v/>
      </c>
      <c r="G55" s="500">
        <f>IF(G48&lt;I48,I48/G48-1,G48/I48-1)</f>
        <v>0.125</v>
      </c>
      <c r="H55" s="501" t="str">
        <f>IF(OR(G55&gt;=0.3,G55&lt;=-0.3),"超过30%","")</f>
        <v/>
      </c>
      <c r="I55" s="500">
        <f>IF(I48&lt;E48,E48/I48-1,I48/E48-1)</f>
        <v>0.14285714285714279</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5"/>
      <c r="Q58" s="505"/>
    </row>
    <row r="59" spans="1:29" s="509" customFormat="1" ht="15">
      <c r="A59" s="506" t="s">
        <v>2542</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2579</v>
      </c>
      <c r="B61" s="517"/>
      <c r="C61" s="518"/>
      <c r="D61" s="519"/>
      <c r="E61" s="519"/>
      <c r="F61" s="519"/>
      <c r="G61" s="519"/>
      <c r="H61" s="519"/>
      <c r="I61" s="519"/>
      <c r="J61" s="519"/>
      <c r="K61" s="519"/>
      <c r="L61" s="519"/>
      <c r="M61" s="520"/>
      <c r="N61" s="519"/>
      <c r="O61" s="520"/>
      <c r="P61" s="2686"/>
      <c r="Q61" s="505"/>
    </row>
    <row r="62" spans="1:29" s="117" customFormat="1" ht="15">
      <c r="A62" s="522" t="s">
        <v>2544</v>
      </c>
      <c r="B62" s="511"/>
      <c r="C62" s="523" t="s">
        <v>2581</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2582</v>
      </c>
      <c r="B64" s="529" t="s">
        <v>2548</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2551</v>
      </c>
      <c r="C66" s="540" t="s">
        <v>2583</v>
      </c>
      <c r="D66" s="540" t="s">
        <v>2584</v>
      </c>
      <c r="E66" s="540" t="s">
        <v>2585</v>
      </c>
      <c r="F66" s="540" t="s">
        <v>2586</v>
      </c>
      <c r="G66" s="540" t="s">
        <v>2587</v>
      </c>
      <c r="H66" s="540" t="s">
        <v>2588</v>
      </c>
      <c r="I66" s="540" t="s">
        <v>2589</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6.5" hidden="1" thickTop="1" thickBot="1">
      <c r="A68" s="535"/>
      <c r="B68" s="547" t="s">
        <v>2552</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6.5" hidden="1" thickTop="1" thickBot="1">
      <c r="A69" s="535"/>
      <c r="B69" s="549"/>
      <c r="C69" s="550">
        <v>0</v>
      </c>
      <c r="D69" s="550">
        <v>1</v>
      </c>
      <c r="E69" s="550">
        <v>2</v>
      </c>
      <c r="F69" s="550">
        <v>3</v>
      </c>
      <c r="G69" s="550">
        <v>4</v>
      </c>
      <c r="H69" s="550"/>
      <c r="I69" s="550"/>
      <c r="J69" s="550"/>
      <c r="K69" s="551"/>
      <c r="L69" s="552"/>
      <c r="M69" s="553"/>
      <c r="N69" s="1155"/>
      <c r="O69" s="1155"/>
      <c r="P69" s="2688"/>
      <c r="Q69" s="505"/>
    </row>
    <row r="70" spans="1:17" ht="16.5" hidden="1" thickTop="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6.5" hidden="1" thickTop="1" thickBot="1">
      <c r="A71" s="554"/>
      <c r="B71" s="539">
        <f>B12</f>
        <v>0</v>
      </c>
      <c r="C71" s="555"/>
      <c r="D71" s="555"/>
      <c r="E71" s="555"/>
      <c r="F71" s="555"/>
      <c r="G71" s="555"/>
      <c r="H71" s="556"/>
      <c r="I71" s="556"/>
      <c r="J71" s="556"/>
      <c r="K71" s="556"/>
      <c r="L71" s="557"/>
      <c r="M71" s="558"/>
      <c r="N71" s="1157"/>
      <c r="O71" s="1157"/>
      <c r="P71" s="2689"/>
      <c r="Q71" s="560"/>
    </row>
    <row r="72" spans="1:17" s="472" customFormat="1" ht="16.5" hidden="1" thickTop="1" thickBot="1">
      <c r="A72" s="554"/>
      <c r="B72" s="544"/>
      <c r="C72" s="561"/>
      <c r="D72" s="537"/>
      <c r="E72" s="537"/>
      <c r="F72" s="537"/>
      <c r="G72" s="537"/>
      <c r="H72" s="537"/>
      <c r="I72" s="537"/>
      <c r="J72" s="537"/>
      <c r="K72" s="537"/>
      <c r="L72" s="537"/>
      <c r="M72" s="538"/>
      <c r="N72" s="1156"/>
      <c r="O72" s="1156"/>
      <c r="P72" s="2689"/>
      <c r="Q72" s="560"/>
    </row>
    <row r="73" spans="1:17" s="472" customFormat="1" ht="16.5" hidden="1" thickTop="1" thickBot="1">
      <c r="A73" s="554"/>
      <c r="B73" s="539">
        <f>B13</f>
        <v>0</v>
      </c>
      <c r="C73" s="555"/>
      <c r="D73" s="555"/>
      <c r="E73" s="555"/>
      <c r="F73" s="555"/>
      <c r="G73" s="555"/>
      <c r="H73" s="556"/>
      <c r="I73" s="556"/>
      <c r="J73" s="556"/>
      <c r="K73" s="556"/>
      <c r="L73" s="557"/>
      <c r="M73" s="558"/>
      <c r="N73" s="1157"/>
      <c r="O73" s="1157"/>
      <c r="P73" s="2690"/>
      <c r="Q73" s="562"/>
    </row>
    <row r="74" spans="1:17" s="472" customFormat="1" ht="16.5" hidden="1" thickTop="1" thickBot="1">
      <c r="A74" s="554"/>
      <c r="B74" s="544"/>
      <c r="C74" s="561"/>
      <c r="D74" s="561"/>
      <c r="E74" s="561"/>
      <c r="F74" s="561"/>
      <c r="G74" s="561"/>
      <c r="H74" s="563"/>
      <c r="I74" s="563"/>
      <c r="J74" s="563"/>
      <c r="K74" s="563"/>
      <c r="L74" s="563"/>
      <c r="M74" s="564"/>
      <c r="N74" s="1157"/>
      <c r="O74" s="1157"/>
      <c r="P74" s="2689"/>
      <c r="Q74" s="560"/>
    </row>
    <row r="75" spans="1:17" s="472" customFormat="1" ht="16.5" hidden="1" thickTop="1" thickBot="1">
      <c r="A75" s="554"/>
      <c r="B75" s="547">
        <f>B14</f>
        <v>0</v>
      </c>
      <c r="C75" s="524"/>
      <c r="D75" s="524"/>
      <c r="E75" s="524"/>
      <c r="F75" s="524"/>
      <c r="G75" s="524"/>
      <c r="H75" s="565"/>
      <c r="I75" s="565"/>
      <c r="J75" s="565"/>
      <c r="K75" s="565"/>
      <c r="L75" s="566"/>
      <c r="M75" s="567"/>
      <c r="N75" s="1157"/>
      <c r="O75" s="1157"/>
      <c r="P75" s="2691"/>
      <c r="Q75" s="560"/>
    </row>
    <row r="76" spans="1:17" s="472" customFormat="1" ht="16.5" hidden="1" thickTop="1" thickBot="1">
      <c r="A76" s="569"/>
      <c r="B76" s="570"/>
      <c r="C76" s="571"/>
      <c r="D76" s="571"/>
      <c r="E76" s="571"/>
      <c r="F76" s="571"/>
      <c r="G76" s="571"/>
      <c r="H76" s="572"/>
      <c r="I76" s="572"/>
      <c r="J76" s="572"/>
      <c r="K76" s="572"/>
      <c r="L76" s="572"/>
      <c r="M76" s="573"/>
      <c r="N76" s="1157"/>
      <c r="O76" s="1157"/>
      <c r="P76" s="2689"/>
      <c r="Q76" s="560"/>
    </row>
    <row r="77" spans="1:17" ht="15" thickTop="1">
      <c r="A77" s="528" t="s">
        <v>2553</v>
      </c>
      <c r="B77" s="529" t="s">
        <v>2691</v>
      </c>
      <c r="C77" s="574" t="s">
        <v>2591</v>
      </c>
      <c r="D77" s="574" t="s">
        <v>2592</v>
      </c>
      <c r="E77" s="574" t="s">
        <v>2593</v>
      </c>
      <c r="F77" s="574" t="s">
        <v>2594</v>
      </c>
      <c r="G77" s="574" t="s">
        <v>2595</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2596</v>
      </c>
      <c r="C79" s="579" t="s">
        <v>2591</v>
      </c>
      <c r="D79" s="579" t="s">
        <v>2592</v>
      </c>
      <c r="E79" s="579" t="s">
        <v>2593</v>
      </c>
      <c r="F79" s="579" t="s">
        <v>2594</v>
      </c>
      <c r="G79" s="579" t="s">
        <v>2595</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2597</v>
      </c>
      <c r="C81" s="579" t="s">
        <v>2591</v>
      </c>
      <c r="D81" s="579" t="s">
        <v>2592</v>
      </c>
      <c r="E81" s="579" t="s">
        <v>2593</v>
      </c>
      <c r="F81" s="579" t="s">
        <v>2594</v>
      </c>
      <c r="G81" s="579" t="s">
        <v>2595</v>
      </c>
      <c r="H81" s="540"/>
      <c r="I81" s="540"/>
      <c r="J81" s="540"/>
      <c r="K81" s="541"/>
      <c r="L81" s="542"/>
      <c r="M81" s="543"/>
      <c r="N81" s="1155"/>
      <c r="O81" s="1155"/>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8"/>
      <c r="Q82" s="505"/>
    </row>
    <row r="83" spans="1:17" ht="15.75" thickTop="1">
      <c r="A83" s="535"/>
      <c r="B83" s="547" t="s">
        <v>2683</v>
      </c>
      <c r="C83" s="661" t="s">
        <v>2669</v>
      </c>
      <c r="D83" s="661" t="s">
        <v>2670</v>
      </c>
      <c r="E83" s="661" t="s">
        <v>2671</v>
      </c>
      <c r="F83" s="661" t="s">
        <v>2672</v>
      </c>
      <c r="G83" s="661" t="s">
        <v>2673</v>
      </c>
      <c r="H83" s="540"/>
      <c r="I83" s="540"/>
      <c r="J83" s="540"/>
      <c r="K83" s="540"/>
      <c r="L83" s="540"/>
      <c r="M83" s="1385"/>
      <c r="N83" s="1156"/>
      <c r="O83" s="1156"/>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8"/>
      <c r="Q84" s="505"/>
    </row>
    <row r="85" spans="1:17" ht="15.75" thickTop="1">
      <c r="A85" s="535"/>
      <c r="B85" s="539" t="s">
        <v>2692</v>
      </c>
      <c r="C85" s="579" t="s">
        <v>2591</v>
      </c>
      <c r="D85" s="579" t="s">
        <v>2592</v>
      </c>
      <c r="E85" s="579" t="s">
        <v>2593</v>
      </c>
      <c r="F85" s="579" t="s">
        <v>2594</v>
      </c>
      <c r="G85" s="579" t="s">
        <v>2595</v>
      </c>
      <c r="H85" s="540"/>
      <c r="I85" s="540"/>
      <c r="J85" s="540"/>
      <c r="K85" s="541"/>
      <c r="L85" s="542"/>
      <c r="M85" s="543"/>
      <c r="N85" s="1155"/>
      <c r="O85" s="1155"/>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8"/>
      <c r="Q86" s="505"/>
    </row>
    <row r="87" spans="1:17" s="117" customFormat="1" ht="27.75" thickTop="1">
      <c r="A87" s="580"/>
      <c r="B87" s="539" t="s">
        <v>2693</v>
      </c>
      <c r="C87" s="3040" t="s">
        <v>3326</v>
      </c>
      <c r="D87" s="3056" t="s">
        <v>3393</v>
      </c>
      <c r="E87" s="3040" t="s">
        <v>3327</v>
      </c>
      <c r="F87" s="3040" t="s">
        <v>3328</v>
      </c>
      <c r="G87" s="3040" t="s">
        <v>3329</v>
      </c>
      <c r="H87" s="555"/>
      <c r="I87" s="555"/>
      <c r="J87" s="555"/>
      <c r="K87" s="555"/>
      <c r="L87" s="581"/>
      <c r="M87" s="582"/>
      <c r="N87" s="1154"/>
      <c r="O87" s="1154"/>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88"/>
      <c r="Q88" s="505"/>
    </row>
    <row r="89" spans="1:17" s="117" customFormat="1" ht="15.75" thickTop="1">
      <c r="A89" s="580"/>
      <c r="B89" s="539" t="str">
        <f>B27</f>
        <v>楼层</v>
      </c>
      <c r="C89" s="3040" t="s">
        <v>3331</v>
      </c>
      <c r="D89" s="3040" t="s">
        <v>3333</v>
      </c>
      <c r="E89" s="3040" t="s">
        <v>3335</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6.5" hidden="1" thickTop="1" thickBot="1">
      <c r="A91" s="554"/>
      <c r="B91" s="539" t="str">
        <f>B28</f>
        <v>朝向</v>
      </c>
      <c r="C91" s="555"/>
      <c r="D91" s="555"/>
      <c r="E91" s="555"/>
      <c r="F91" s="555"/>
      <c r="G91" s="555"/>
      <c r="H91" s="556"/>
      <c r="I91" s="556"/>
      <c r="J91" s="556"/>
      <c r="K91" s="556"/>
      <c r="L91" s="557"/>
      <c r="M91" s="558"/>
      <c r="N91" s="1157"/>
      <c r="O91" s="1157"/>
      <c r="P91" s="2689"/>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6.5" hidden="1" thickTop="1" thickBot="1">
      <c r="A93" s="535"/>
      <c r="B93" s="539">
        <f>B29</f>
        <v>0</v>
      </c>
      <c r="C93" s="555"/>
      <c r="D93" s="555"/>
      <c r="E93" s="555"/>
      <c r="F93" s="555"/>
      <c r="G93" s="555"/>
      <c r="H93" s="555"/>
      <c r="I93" s="555"/>
      <c r="J93" s="555"/>
      <c r="K93" s="555"/>
      <c r="L93" s="581"/>
      <c r="M93" s="582"/>
      <c r="N93" s="1155"/>
      <c r="O93" s="1155"/>
      <c r="P93" s="2688"/>
      <c r="Q93" s="505"/>
    </row>
    <row r="94" spans="1:17" ht="16.5" hidden="1" thickTop="1" thickBot="1">
      <c r="A94" s="535"/>
      <c r="B94" s="544"/>
      <c r="C94" s="561"/>
      <c r="D94" s="537"/>
      <c r="E94" s="537"/>
      <c r="F94" s="537"/>
      <c r="G94" s="537"/>
      <c r="H94" s="537"/>
      <c r="I94" s="537"/>
      <c r="J94" s="537"/>
      <c r="K94" s="537"/>
      <c r="L94" s="537"/>
      <c r="M94" s="538"/>
      <c r="N94" s="1156"/>
      <c r="O94" s="1156"/>
      <c r="P94" s="2688"/>
      <c r="Q94" s="505"/>
    </row>
    <row r="95" spans="1:17" ht="16.5" hidden="1" thickTop="1" thickBot="1">
      <c r="A95" s="535"/>
      <c r="B95" s="539">
        <f>B30</f>
        <v>0</v>
      </c>
      <c r="C95" s="555"/>
      <c r="D95" s="555"/>
      <c r="E95" s="555"/>
      <c r="F95" s="555"/>
      <c r="G95" s="584"/>
      <c r="H95" s="584"/>
      <c r="I95" s="584"/>
      <c r="J95" s="584"/>
      <c r="K95" s="585"/>
      <c r="L95" s="586"/>
      <c r="M95" s="587"/>
      <c r="N95" s="1155"/>
      <c r="O95" s="1155"/>
      <c r="P95" s="2688"/>
      <c r="Q95" s="505"/>
    </row>
    <row r="96" spans="1:17" ht="16.5" hidden="1" thickTop="1" thickBot="1">
      <c r="A96" s="535"/>
      <c r="B96" s="544"/>
      <c r="C96" s="561"/>
      <c r="D96" s="561"/>
      <c r="E96" s="561"/>
      <c r="F96" s="561"/>
      <c r="G96" s="537"/>
      <c r="H96" s="537"/>
      <c r="I96" s="537"/>
      <c r="J96" s="537"/>
      <c r="K96" s="537"/>
      <c r="L96" s="537"/>
      <c r="M96" s="538"/>
      <c r="N96" s="1156"/>
      <c r="O96" s="1156"/>
      <c r="P96" s="2688"/>
      <c r="Q96" s="505"/>
    </row>
    <row r="97" spans="1:17" ht="16.5" hidden="1" thickTop="1" thickBot="1">
      <c r="A97" s="535"/>
      <c r="B97" s="539">
        <f>B31</f>
        <v>0</v>
      </c>
      <c r="C97" s="555"/>
      <c r="D97" s="555"/>
      <c r="E97" s="555"/>
      <c r="F97" s="555"/>
      <c r="G97" s="584"/>
      <c r="H97" s="584"/>
      <c r="I97" s="584"/>
      <c r="J97" s="584"/>
      <c r="K97" s="585"/>
      <c r="L97" s="586"/>
      <c r="M97" s="587"/>
      <c r="N97" s="1155"/>
      <c r="O97" s="1155"/>
      <c r="P97" s="2688"/>
      <c r="Q97" s="505"/>
    </row>
    <row r="98" spans="1:17" ht="16.5" hidden="1" thickTop="1" thickBot="1">
      <c r="A98" s="535"/>
      <c r="B98" s="544"/>
      <c r="C98" s="561"/>
      <c r="D98" s="537"/>
      <c r="E98" s="537"/>
      <c r="F98" s="537"/>
      <c r="G98" s="537"/>
      <c r="H98" s="537"/>
      <c r="I98" s="537"/>
      <c r="J98" s="537"/>
      <c r="K98" s="537"/>
      <c r="L98" s="537"/>
      <c r="M98" s="538"/>
      <c r="N98" s="1156"/>
      <c r="O98" s="1156"/>
      <c r="P98" s="2688"/>
      <c r="Q98" s="505"/>
    </row>
    <row r="99" spans="1:17" ht="16.5" hidden="1" thickTop="1" thickBot="1">
      <c r="A99" s="535"/>
      <c r="B99" s="547">
        <f>B32</f>
        <v>0</v>
      </c>
      <c r="C99" s="524"/>
      <c r="D99" s="524"/>
      <c r="E99" s="524"/>
      <c r="F99" s="524"/>
      <c r="G99" s="588"/>
      <c r="H99" s="588"/>
      <c r="I99" s="588"/>
      <c r="J99" s="588"/>
      <c r="K99" s="589"/>
      <c r="L99" s="590"/>
      <c r="M99" s="591"/>
      <c r="N99" s="1155"/>
      <c r="O99" s="1155"/>
      <c r="P99" s="2688"/>
      <c r="Q99" s="505"/>
    </row>
    <row r="100" spans="1:17" ht="16.5" hidden="1" thickTop="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2557</v>
      </c>
      <c r="B101" s="529" t="s">
        <v>2606</v>
      </c>
      <c r="C101" s="3041" t="s">
        <v>3337</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2607</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2608</v>
      </c>
      <c r="C106" s="3040" t="s">
        <v>3339</v>
      </c>
      <c r="D106" s="3040" t="s">
        <v>3340</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2610</v>
      </c>
      <c r="C108" s="3040" t="s">
        <v>3342</v>
      </c>
      <c r="D108" s="3040" t="s">
        <v>3344</v>
      </c>
      <c r="E108" s="3040" t="s">
        <v>3345</v>
      </c>
      <c r="F108" s="3042" t="s">
        <v>3346</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2694</v>
      </c>
      <c r="C113" s="555" t="s">
        <v>3347</v>
      </c>
      <c r="D113" s="3040" t="s">
        <v>3349</v>
      </c>
      <c r="E113" s="3040" t="s">
        <v>3350</v>
      </c>
      <c r="F113" s="3040" t="s">
        <v>3351</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2611</v>
      </c>
      <c r="C115" s="3040" t="s">
        <v>3352</v>
      </c>
      <c r="D115" s="3040" t="s">
        <v>3353</v>
      </c>
      <c r="E115" s="3042" t="s">
        <v>3355</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2612</v>
      </c>
      <c r="C117" s="3040" t="s">
        <v>3356</v>
      </c>
      <c r="D117" s="3040" t="s">
        <v>3358</v>
      </c>
      <c r="E117" s="3040" t="s">
        <v>3359</v>
      </c>
      <c r="F117" s="3040" t="s">
        <v>3360</v>
      </c>
      <c r="G117" s="3040" t="s">
        <v>3361</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2695</v>
      </c>
      <c r="C119" s="3042" t="s">
        <v>3362</v>
      </c>
      <c r="D119" s="3042" t="s">
        <v>3364</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75" hidden="1" thickTop="1" thickBot="1">
      <c r="A121" s="594"/>
      <c r="B121" s="539" t="s">
        <v>2678</v>
      </c>
      <c r="C121" s="555"/>
      <c r="D121" s="555"/>
      <c r="E121" s="555"/>
      <c r="F121" s="584"/>
      <c r="G121" s="556"/>
      <c r="H121" s="556"/>
      <c r="I121" s="556"/>
      <c r="J121" s="556"/>
      <c r="K121" s="556"/>
      <c r="L121" s="557"/>
      <c r="M121" s="558"/>
      <c r="N121" s="1157"/>
      <c r="O121" s="1157"/>
      <c r="P121" s="2689"/>
      <c r="Q121" s="560"/>
    </row>
    <row r="122" spans="1:17" s="472" customFormat="1" ht="16.5" hidden="1" thickTop="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2614</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2615</v>
      </c>
      <c r="C125" s="579" t="s">
        <v>2591</v>
      </c>
      <c r="D125" s="579" t="s">
        <v>2592</v>
      </c>
      <c r="E125" s="579" t="s">
        <v>2593</v>
      </c>
      <c r="F125" s="579" t="s">
        <v>2594</v>
      </c>
      <c r="G125" s="579" t="s">
        <v>2595</v>
      </c>
      <c r="H125" s="540"/>
      <c r="I125" s="540"/>
      <c r="J125" s="540"/>
      <c r="K125" s="541"/>
      <c r="L125" s="542"/>
      <c r="M125" s="543"/>
      <c r="N125" s="1155"/>
      <c r="O125" s="1155"/>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6.5" hidden="1" thickTop="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6.5" hidden="1" thickTop="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6.5" hidden="1" thickTop="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14" sqref="G1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3416</v>
      </c>
      <c r="D1" s="1824" t="s">
        <v>70</v>
      </c>
      <c r="E1" s="1825" t="s">
        <v>1388</v>
      </c>
      <c r="F1" s="1286">
        <f ca="1">J53</f>
        <v>32.159999999999997</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26371</v>
      </c>
      <c r="C2" s="1849" t="s">
        <v>1593</v>
      </c>
      <c r="D2" s="1942">
        <f ca="1">C40+J29+L46</f>
        <v>263711280</v>
      </c>
      <c r="E2" s="1850" t="s">
        <v>1594</v>
      </c>
      <c r="F2" s="1851"/>
      <c r="G2" s="1852"/>
      <c r="H2" s="1844"/>
      <c r="I2" s="1844"/>
      <c r="J2" s="1844"/>
      <c r="K2" s="1845"/>
      <c r="L2" s="1844"/>
      <c r="M2" s="1844"/>
    </row>
    <row r="3" spans="1:37" ht="18" customHeight="1" thickBot="1">
      <c r="A3" s="1853" t="s">
        <v>1595</v>
      </c>
      <c r="B3" s="1854">
        <f ca="1">IF(ISERROR(D2/F43),0,ROUND(D2/F43,0))</f>
        <v>37886</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18518800</v>
      </c>
      <c r="D5" s="1826" t="s">
        <v>1603</v>
      </c>
      <c r="E5" s="1296"/>
      <c r="F5" s="1297"/>
      <c r="G5" s="1855"/>
      <c r="H5" s="345">
        <v>1</v>
      </c>
      <c r="I5" s="346" t="s">
        <v>1602</v>
      </c>
      <c r="J5" s="1295">
        <f ca="1">J6+J10+J12</f>
        <v>16912305</v>
      </c>
      <c r="K5" s="1826" t="s">
        <v>1603</v>
      </c>
      <c r="L5" s="1296"/>
      <c r="M5" s="1297"/>
    </row>
    <row r="6" spans="1:37" ht="18" customHeight="1">
      <c r="A6" s="1294" t="s">
        <v>1035</v>
      </c>
      <c r="B6" s="3255" t="s">
        <v>1404</v>
      </c>
      <c r="C6" s="1299">
        <f ca="1">ROUND(F6*F8*F7*(1-F9),0)</f>
        <v>18495680</v>
      </c>
      <c r="D6" s="165" t="s">
        <v>3023</v>
      </c>
      <c r="E6" s="348" t="s">
        <v>1406</v>
      </c>
      <c r="F6" s="349">
        <f ca="1">INDIRECT("'数据-取费表'!u"&amp;$G$1)</f>
        <v>7.28</v>
      </c>
      <c r="G6" s="1855"/>
      <c r="H6" s="1294" t="s">
        <v>1035</v>
      </c>
      <c r="I6" s="3255" t="s">
        <v>1404</v>
      </c>
      <c r="J6" s="347">
        <f ca="1">ROUND(M6*M8*M7*(1-M9),0)</f>
        <v>16887470</v>
      </c>
      <c r="K6" s="1838" t="s">
        <v>3026</v>
      </c>
      <c r="L6" s="348" t="s">
        <v>1406</v>
      </c>
      <c r="M6" s="349">
        <f ca="1">INDIRECT("'数据-取费表'!z"&amp;$G$1)</f>
        <v>7.82</v>
      </c>
    </row>
    <row r="7" spans="1:37" ht="18" customHeight="1">
      <c r="A7" s="1298"/>
      <c r="B7" s="3256"/>
      <c r="C7" s="1300"/>
      <c r="D7" s="353"/>
      <c r="E7" s="1301" t="s">
        <v>1407</v>
      </c>
      <c r="F7" s="349">
        <f ca="1">IF(INDIRECT("'数据-取费表'!ah"&amp;$G$1)="",INDIRECT("'数据-取费表'!k"&amp;$G$1),INDIRECT("'数据-取费表'!ah"&amp;$G$1))</f>
        <v>6960.5900000000011</v>
      </c>
      <c r="G7" s="1855"/>
      <c r="H7" s="350"/>
      <c r="I7" s="3256"/>
      <c r="J7" s="352"/>
      <c r="K7" s="353"/>
      <c r="L7" s="348" t="s">
        <v>1407</v>
      </c>
      <c r="M7" s="349">
        <f ca="1">F7</f>
        <v>6960.5900000000011</v>
      </c>
    </row>
    <row r="8" spans="1:37" ht="18" customHeight="1">
      <c r="A8" s="350"/>
      <c r="B8" s="3256"/>
      <c r="C8" s="352"/>
      <c r="D8" s="353"/>
      <c r="E8" s="348" t="s">
        <v>1408</v>
      </c>
      <c r="F8" s="349">
        <f ca="1">INDIRECT("'数据-取费表'!ai"&amp;$G$1)</f>
        <v>365</v>
      </c>
      <c r="G8" s="1855"/>
      <c r="H8" s="350"/>
      <c r="I8" s="3256"/>
      <c r="J8" s="352"/>
      <c r="K8" s="353"/>
      <c r="L8" s="348" t="s">
        <v>1408</v>
      </c>
      <c r="M8" s="349">
        <f ca="1">INDIRECT("'数据-取费表'!ai"&amp;$G$1)</f>
        <v>365</v>
      </c>
    </row>
    <row r="9" spans="1:37" ht="18" customHeight="1">
      <c r="A9" s="350"/>
      <c r="B9" s="3257"/>
      <c r="C9" s="352"/>
      <c r="D9" s="353"/>
      <c r="E9" s="348" t="s">
        <v>1409</v>
      </c>
      <c r="F9" s="358">
        <f ca="1">INDIRECT("'数据-取费表'!w"&amp;$G$1)</f>
        <v>0</v>
      </c>
      <c r="G9" s="1855"/>
      <c r="H9" s="350"/>
      <c r="I9" s="3257"/>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ROUND(IF(F10="押一",F6*F8*F7/12*F11,IF(F10="押二",F6*F8*F7/12*2*F11,IF(F10="押三",F6*F8*F7/12*3*F11,C11*F11))),0)</f>
        <v>23120</v>
      </c>
      <c r="D10" s="1828" t="s">
        <v>3024</v>
      </c>
      <c r="E10" s="359" t="s">
        <v>1412</v>
      </c>
      <c r="F10" s="1369" t="s">
        <v>3310</v>
      </c>
      <c r="G10" s="1855"/>
      <c r="H10" s="1294" t="s">
        <v>1039</v>
      </c>
      <c r="I10" s="1827" t="s">
        <v>1410</v>
      </c>
      <c r="J10" s="347">
        <f ca="1">ROUND(IF(M10="押一",M6*M8*M7/12*M11,IF(M10="押二",M6*M8*M7/12*2*M11,IF(M10="押三",M6*M8*M7/12*3*M11,J11*M11))),0)</f>
        <v>24835</v>
      </c>
      <c r="K10" s="1839" t="s">
        <v>3025</v>
      </c>
      <c r="L10" s="359" t="s">
        <v>1412</v>
      </c>
      <c r="M10" s="1369" t="s">
        <v>3310</v>
      </c>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26714461</v>
      </c>
      <c r="D13" s="1334" t="s">
        <v>1417</v>
      </c>
      <c r="E13" s="1334" t="s">
        <v>1418</v>
      </c>
      <c r="F13" s="1335">
        <f ca="1">INDIRECT("'数据-取费表'!y"&amp;$G$1)</f>
        <v>0.8</v>
      </c>
      <c r="G13" s="1855"/>
      <c r="H13" s="1332">
        <v>2</v>
      </c>
      <c r="I13" s="1333" t="s">
        <v>1416</v>
      </c>
      <c r="J13" s="1293">
        <f ca="1">ROUND(J14*J15,0)</f>
        <v>24043015</v>
      </c>
      <c r="K13" s="1340" t="s">
        <v>1417</v>
      </c>
      <c r="L13" s="1856"/>
      <c r="M13" s="1857"/>
    </row>
    <row r="14" spans="1:37" ht="18" customHeight="1">
      <c r="A14" s="1204" t="s">
        <v>1034</v>
      </c>
      <c r="B14" s="348" t="s">
        <v>1419</v>
      </c>
      <c r="C14" s="364">
        <f ca="1">ROUND(INDIRECT("'数据-取费表'!l"&amp;$G$1)*F43+'数据-取费表'!L14*INDIRECT("'数据-取费表'!S"&amp;$G$1),0)</f>
        <v>20881770</v>
      </c>
      <c r="D14" s="1804" t="s">
        <v>1420</v>
      </c>
      <c r="E14" s="1798"/>
      <c r="F14" s="365"/>
      <c r="G14" s="1855"/>
      <c r="H14" s="1204" t="s">
        <v>1035</v>
      </c>
      <c r="I14" s="348" t="s">
        <v>1421</v>
      </c>
      <c r="J14" s="24">
        <f ca="1">C29</f>
        <v>33393076</v>
      </c>
      <c r="K14" s="15"/>
      <c r="L14" s="982"/>
      <c r="M14" s="983"/>
    </row>
    <row r="15" spans="1:37" s="1862" customFormat="1" ht="18" customHeight="1" thickBot="1">
      <c r="A15" s="1204" t="s">
        <v>1036</v>
      </c>
      <c r="B15" s="348" t="s">
        <v>1422</v>
      </c>
      <c r="C15" s="24">
        <f ca="1">ROUND(C14*F15,0)</f>
        <v>1044089</v>
      </c>
      <c r="D15" s="366" t="s">
        <v>1423</v>
      </c>
      <c r="E15" s="366" t="s">
        <v>1424</v>
      </c>
      <c r="F15" s="367">
        <f>'数据-取费表'!B33</f>
        <v>0.05</v>
      </c>
      <c r="G15" s="1858"/>
      <c r="H15" s="1342" t="s">
        <v>1039</v>
      </c>
      <c r="I15" s="1343" t="s">
        <v>1418</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2236686</v>
      </c>
      <c r="K16" s="1340" t="s">
        <v>1427</v>
      </c>
      <c r="L16" s="1341"/>
      <c r="M16" s="1297"/>
    </row>
    <row r="17" spans="1:37" s="1862" customFormat="1" ht="18" customHeight="1">
      <c r="A17" s="1204" t="s">
        <v>1391</v>
      </c>
      <c r="B17" s="348" t="s">
        <v>1428</v>
      </c>
      <c r="C17" s="24">
        <f ca="1">ROUND(F17*(F43+INDIRECT("'数据-取费表'!S"&amp;$G$1)),0)</f>
        <v>1392118</v>
      </c>
      <c r="D17" s="348" t="s">
        <v>1429</v>
      </c>
      <c r="E17" s="348" t="s">
        <v>1430</v>
      </c>
      <c r="F17" s="26">
        <f>'数据-取费表'!B35</f>
        <v>200</v>
      </c>
      <c r="G17" s="1858"/>
      <c r="H17" s="1204" t="s">
        <v>1035</v>
      </c>
      <c r="I17" s="348" t="s">
        <v>1431</v>
      </c>
      <c r="J17" s="24">
        <f ca="1">ROUND(IF(项目基本情况!B11="自然人",J5*M17,J18+J19+J20),0)</f>
        <v>1182492</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313227</v>
      </c>
      <c r="D18" s="348" t="s">
        <v>1423</v>
      </c>
      <c r="E18" s="348" t="s">
        <v>1424</v>
      </c>
      <c r="F18" s="368">
        <f>'数据-取费表'!B36</f>
        <v>1.4999999999999999E-2</v>
      </c>
      <c r="G18" s="1858"/>
      <c r="H18" s="1204" t="s">
        <v>1034</v>
      </c>
      <c r="I18" s="348" t="s">
        <v>1435</v>
      </c>
      <c r="J18" s="24">
        <f ca="1">ROUND(J5*M18/(1+'数据-取费表'!C42),0)</f>
        <v>901990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23631204</v>
      </c>
      <c r="D19" s="140" t="s">
        <v>1438</v>
      </c>
      <c r="E19" s="1822"/>
      <c r="F19" s="26"/>
      <c r="G19" s="1855"/>
      <c r="H19" s="1204" t="s">
        <v>1036</v>
      </c>
      <c r="I19" s="348" t="s">
        <v>1439</v>
      </c>
      <c r="J19" s="24">
        <f ca="1">IF(K19="按租金收入计税",ROUND(J5*M19,0),ROUND(C29*M19*0.7,0))</f>
        <v>280502</v>
      </c>
      <c r="K19" s="1832" t="s">
        <v>1440</v>
      </c>
      <c r="L19" s="348" t="s">
        <v>1424</v>
      </c>
      <c r="M19" s="368">
        <f>IF(K19="按租金收入计税",'数据-取费表'!B51,'数据-取费表'!B50)</f>
        <v>1.2E-2</v>
      </c>
    </row>
    <row r="20" spans="1:37" s="1862" customFormat="1" ht="18" customHeight="1">
      <c r="A20" s="1204" t="s">
        <v>1039</v>
      </c>
      <c r="B20" s="348" t="s">
        <v>1441</v>
      </c>
      <c r="C20" s="24">
        <f ca="1">ROUND(C19*F20,0)</f>
        <v>708936</v>
      </c>
      <c r="D20" s="370" t="s">
        <v>1442</v>
      </c>
      <c r="E20" s="348" t="s">
        <v>1424</v>
      </c>
      <c r="F20" s="368">
        <f>'数据-取费表'!B37</f>
        <v>0.03</v>
      </c>
      <c r="G20" s="1858"/>
      <c r="H20" s="1204" t="s">
        <v>1390</v>
      </c>
      <c r="I20" s="165" t="s">
        <v>1443</v>
      </c>
      <c r="J20" s="25">
        <f ca="1">ROUND(M20*M21,0)</f>
        <v>0</v>
      </c>
      <c r="K20" s="371" t="s">
        <v>1444</v>
      </c>
      <c r="L20" s="348" t="s">
        <v>1445</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0.03</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667862</v>
      </c>
      <c r="K22" s="1802" t="s">
        <v>1452</v>
      </c>
      <c r="L22" s="348" t="s">
        <v>1424</v>
      </c>
      <c r="M22" s="375">
        <f ca="1">INDIRECT("'数据-取费表'!Ak"&amp;$G$1)</f>
        <v>0.02</v>
      </c>
    </row>
    <row r="23" spans="1:37" s="1862" customFormat="1" ht="18" customHeight="1">
      <c r="A23" s="1204" t="s">
        <v>1034</v>
      </c>
      <c r="B23" s="348" t="s">
        <v>1453</v>
      </c>
      <c r="C23" s="24">
        <f ca="1">IF('数据-取费表'!B22&lt;=1,ROUND(C19*F24*F23/2,0)+ROUND(C20*F24*F23/2,0),ROUND(C19*(POWER((1+F24),F23/2)-1),0)+ROUND(C20*(POWER((1+F24),F23/2)-1),0))</f>
        <v>1156156</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48086</v>
      </c>
      <c r="K23" s="1802" t="s">
        <v>1456</v>
      </c>
      <c r="L23" s="348" t="s">
        <v>1457</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338246</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14675619</v>
      </c>
      <c r="K25" s="1348" t="s">
        <v>1466</v>
      </c>
      <c r="L25" s="1349"/>
      <c r="M25" s="1350"/>
    </row>
    <row r="26" spans="1:37" ht="18" customHeight="1">
      <c r="A26" s="1204" t="s">
        <v>1034</v>
      </c>
      <c r="B26" s="348" t="s">
        <v>1467</v>
      </c>
      <c r="C26" s="24">
        <f ca="1">ROUND((C19+C20)*F26,0)</f>
        <v>4868028</v>
      </c>
      <c r="D26" s="370" t="s">
        <v>1468</v>
      </c>
      <c r="E26" s="359" t="s">
        <v>1469</v>
      </c>
      <c r="F26" s="358">
        <f ca="1">INDIRECT("'数据-取费表'!q"&amp;$G$1)</f>
        <v>0.2</v>
      </c>
      <c r="G26" s="1855"/>
      <c r="H26" s="345" t="s">
        <v>1032</v>
      </c>
      <c r="I26" s="346" t="s">
        <v>1470</v>
      </c>
      <c r="J26" s="347">
        <f ca="1">IF(J5&lt;&gt;0,ROUND(J25*(1-((1+M28)/(1+M26))^M27)/(M26-M28),0),0)</f>
        <v>256164560</v>
      </c>
      <c r="K26" s="371" t="s">
        <v>1471</v>
      </c>
      <c r="L26" s="348" t="s">
        <v>1472</v>
      </c>
      <c r="M26" s="358">
        <f ca="1">INDIRECT("'数据-取费表'!I"&amp;$G$1)</f>
        <v>5.5E-2</v>
      </c>
    </row>
    <row r="27" spans="1:37" ht="18" customHeight="1">
      <c r="A27" s="1204" t="s">
        <v>1036</v>
      </c>
      <c r="B27" s="348" t="s">
        <v>1473</v>
      </c>
      <c r="C27" s="24">
        <f ca="1">ROUND(F21*F26,4)</f>
        <v>6.0000000000000001E-3</v>
      </c>
      <c r="D27" s="370" t="s">
        <v>1474</v>
      </c>
      <c r="E27" s="366"/>
      <c r="F27" s="367"/>
      <c r="G27" s="1855"/>
      <c r="H27" s="350"/>
      <c r="I27" s="351"/>
      <c r="J27" s="352"/>
      <c r="K27" s="379" t="s">
        <v>1475</v>
      </c>
      <c r="L27" s="348" t="s">
        <v>1476</v>
      </c>
      <c r="M27" s="380">
        <f ca="1">INDIRECT("'数据-取费表'!ag"&amp;$G$1)</f>
        <v>27.979999999999997</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33393076</v>
      </c>
      <c r="D29" s="1345"/>
      <c r="E29" s="1343"/>
      <c r="F29" s="1346"/>
      <c r="G29" s="1858"/>
      <c r="H29" s="381" t="s">
        <v>1033</v>
      </c>
      <c r="I29" s="382" t="s">
        <v>1481</v>
      </c>
      <c r="J29" s="383">
        <f ca="1">ROUND(J26/(1+F40)^F41,0)</f>
        <v>204797082</v>
      </c>
      <c r="K29" s="384" t="s">
        <v>1482</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2359838</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1268171</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987669</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280502</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0</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667862</v>
      </c>
      <c r="D36" s="1802" t="s">
        <v>1484</v>
      </c>
      <c r="E36" s="348" t="s">
        <v>1424</v>
      </c>
      <c r="F36" s="375">
        <f ca="1">INDIRECT("'数据-取费表'!Ak"&amp;$G$1)</f>
        <v>0.02</v>
      </c>
      <c r="G36" s="1855"/>
      <c r="H36" s="1863"/>
      <c r="I36" s="1864"/>
      <c r="J36" s="1865"/>
      <c r="K36" s="751"/>
      <c r="L36" s="1863"/>
      <c r="M36" s="1863"/>
    </row>
    <row r="37" spans="1:18" ht="18" customHeight="1">
      <c r="A37" s="1204" t="s">
        <v>1075</v>
      </c>
      <c r="B37" s="348" t="s">
        <v>1455</v>
      </c>
      <c r="C37" s="24">
        <f ca="1">ROUND(C13*F37,0)</f>
        <v>53429</v>
      </c>
      <c r="D37" s="1802" t="s">
        <v>1456</v>
      </c>
      <c r="E37" s="348" t="s">
        <v>1457</v>
      </c>
      <c r="F37" s="377">
        <f ca="1">INDIRECT("'数据-取费表'!Al"&amp;$G$1)</f>
        <v>2E-3</v>
      </c>
      <c r="G37" s="1855"/>
      <c r="H37" s="1863"/>
      <c r="I37" s="1864"/>
      <c r="J37" s="1865"/>
      <c r="K37" s="751"/>
      <c r="L37" s="1863"/>
      <c r="M37" s="1863"/>
    </row>
    <row r="38" spans="1:18" ht="18" customHeight="1" thickBot="1">
      <c r="A38" s="1342" t="s">
        <v>1394</v>
      </c>
      <c r="B38" s="1343" t="s">
        <v>1441</v>
      </c>
      <c r="C38" s="1344">
        <f ca="1">ROUND(C5*F38,1)</f>
        <v>370376</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6">
        <f ca="1">C5-C30</f>
        <v>16158962</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58914198</v>
      </c>
      <c r="D40" s="371" t="s">
        <v>1471</v>
      </c>
      <c r="E40" s="348" t="s">
        <v>1472</v>
      </c>
      <c r="F40" s="358">
        <f ca="1">INDIRECT("'数据-取费表'!I"&amp;$G$1)</f>
        <v>5.5E-2</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f ca="1">ROUND(C40/F43,0)</f>
        <v>8464</v>
      </c>
      <c r="D43" s="384" t="s">
        <v>1490</v>
      </c>
      <c r="E43" s="385" t="s">
        <v>1491</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-62566650</v>
      </c>
      <c r="D45" s="1944" t="s">
        <v>1606</v>
      </c>
      <c r="E45" s="1870"/>
      <c r="F45" s="1870"/>
      <c r="O45" s="1873" t="s">
        <v>1521</v>
      </c>
      <c r="P45" s="1843"/>
      <c r="Q45" s="1843"/>
      <c r="R45" s="1843"/>
    </row>
    <row r="46" spans="1:18" s="1846" customFormat="1" ht="13.5" thickBot="1">
      <c r="A46" s="1874" t="s">
        <v>1522</v>
      </c>
      <c r="C46" s="1875">
        <f ca="1">ROUND(C45/10000,0)</f>
        <v>-6257</v>
      </c>
      <c r="D46" s="1876" t="str">
        <f>C2</f>
        <v>万元</v>
      </c>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3338</v>
      </c>
      <c r="K47" s="1886" t="s">
        <v>1529</v>
      </c>
      <c r="L47" s="1887">
        <f ca="1">INDIRECT("'数据-取费表'!d"&amp;$G$1)</f>
        <v>50</v>
      </c>
      <c r="M47" s="1842" t="str">
        <f>IF(ISNUMBER(FIND("住宅",C1)),"住宅","非住宅")</f>
        <v>非住宅</v>
      </c>
      <c r="O47" s="1888" t="s">
        <v>1040</v>
      </c>
      <c r="P47" s="1889" t="s">
        <v>1530</v>
      </c>
      <c r="Q47" s="1890">
        <f ca="1">C40+J29</f>
        <v>263711280</v>
      </c>
      <c r="R47" s="1890" t="s">
        <v>1531</v>
      </c>
    </row>
    <row r="48" spans="1:18" s="1846" customFormat="1" ht="28.5" thickBot="1">
      <c r="A48" s="1363" t="s">
        <v>1135</v>
      </c>
      <c r="B48" s="346" t="s">
        <v>1402</v>
      </c>
      <c r="C48" s="1821">
        <f ca="1">C49+C53+C55</f>
        <v>0</v>
      </c>
      <c r="D48" s="1365"/>
      <c r="E48" s="1366"/>
      <c r="F48" s="1184"/>
      <c r="G48" s="792"/>
      <c r="H48" s="793"/>
      <c r="I48" s="1891" t="s">
        <v>1532</v>
      </c>
      <c r="J48" s="1892" t="s">
        <v>3368</v>
      </c>
      <c r="K48" s="1893" t="s">
        <v>1533</v>
      </c>
      <c r="L48" s="1894">
        <f ca="1">INDIRECT("'数据-取费表'!f"&amp;$G$1)</f>
        <v>32.159999999999997</v>
      </c>
      <c r="O48" s="1888" t="s">
        <v>1041</v>
      </c>
      <c r="P48" s="1889" t="s">
        <v>1534</v>
      </c>
      <c r="Q48" s="1890" t="str">
        <f ca="1">J60</f>
        <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v>2005</v>
      </c>
      <c r="K49" s="1893" t="s">
        <v>1537</v>
      </c>
      <c r="L49" s="1897"/>
      <c r="O49" s="1898" t="s">
        <v>1042</v>
      </c>
      <c r="P49" s="1889" t="s">
        <v>1538</v>
      </c>
      <c r="Q49" s="1890">
        <f ca="1">C29</f>
        <v>33393076</v>
      </c>
      <c r="R49" s="1890" t="s">
        <v>1531</v>
      </c>
    </row>
    <row r="50" spans="1:18" s="1846" customFormat="1" ht="13.5" thickBot="1">
      <c r="A50" s="1198"/>
      <c r="B50" s="1201"/>
      <c r="C50" s="1202"/>
      <c r="D50" s="1175"/>
      <c r="E50" s="1280" t="s">
        <v>1407</v>
      </c>
      <c r="F50" s="1281">
        <f ca="1">F7</f>
        <v>6960.5900000000011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9">
        <f ca="1">F8</f>
        <v>365</v>
      </c>
      <c r="I51" s="1902" t="s">
        <v>1542</v>
      </c>
      <c r="J51" s="1903">
        <f>IF(J49="",J50,J49+J50-YEAR('数据-取费表'!B2))</f>
        <v>48</v>
      </c>
      <c r="K51" s="1904" t="s">
        <v>1543</v>
      </c>
      <c r="L51" s="1905">
        <f ca="1">ROUND(-PV(INDIRECT("'数据-取费表'!h"&amp;$G$1),L48,(C39-C13*C76),0),0)</f>
        <v>222039704</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f>'数据-取费表'!J6+0.5%</f>
        <v>8.5000000000000006E-2</v>
      </c>
      <c r="K52" s="1907" t="s">
        <v>1546</v>
      </c>
      <c r="L52" s="1908"/>
      <c r="O52" s="1898" t="s">
        <v>1045</v>
      </c>
      <c r="P52" s="1889" t="s">
        <v>1547</v>
      </c>
      <c r="Q52" s="1890">
        <f ca="1">J53</f>
        <v>32.159999999999997</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f ca="1">IF(M47="住宅",J51,IF(D1="——",MIN(J51,L48),IF(D1="在建（套用方法）",MIN(J51,L48-'数据-取费表'!B24),IF(D1="土地（套用方法）",MIN(J51,L48-'数据-取费表'!B20)))))</f>
        <v>32.159999999999997</v>
      </c>
      <c r="K53" s="3253" t="s">
        <v>1550</v>
      </c>
      <c r="L53" s="3254"/>
      <c r="O53" s="1888" t="s">
        <v>1046</v>
      </c>
      <c r="P53" s="1889" t="s">
        <v>1551</v>
      </c>
      <c r="Q53" s="1890">
        <f ca="1">Q47+Q48</f>
        <v>263711280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26714461</v>
      </c>
      <c r="D56" s="1918"/>
      <c r="E56" s="1919"/>
      <c r="F56" s="1911"/>
      <c r="I56" s="1920" t="s">
        <v>1556</v>
      </c>
      <c r="J56" s="1921" t="s">
        <v>3299</v>
      </c>
      <c r="K56" s="1891" t="s">
        <v>1557</v>
      </c>
      <c r="L56" s="1894" t="str">
        <f ca="1">IF(L48&lt;J51,"——",L48-J51)</f>
        <v>——</v>
      </c>
      <c r="O56" s="1888" t="s">
        <v>1040</v>
      </c>
      <c r="P56" s="1889" t="s">
        <v>1530</v>
      </c>
      <c r="Q56" s="1890">
        <f ca="1">C40+J29</f>
        <v>263711280</v>
      </c>
      <c r="R56" s="1890" t="s">
        <v>1531</v>
      </c>
    </row>
    <row r="57" spans="1:18" s="1846" customFormat="1" ht="24.75" thickBot="1">
      <c r="A57" s="1922"/>
      <c r="B57" s="1172" t="s">
        <v>1480</v>
      </c>
      <c r="C57" s="283">
        <f ca="1">C29</f>
        <v>33393076</v>
      </c>
      <c r="D57" s="1923"/>
      <c r="E57" s="1924"/>
      <c r="F57" s="1925"/>
      <c r="I57" s="1926" t="s">
        <v>1558</v>
      </c>
      <c r="J57" s="1927" t="str">
        <f ca="1">IF(OR(M47="住宅",J51&lt;L48,J56="是"),"——",J51-L48)</f>
        <v>——</v>
      </c>
      <c r="K57" s="1891" t="s">
        <v>1607</v>
      </c>
      <c r="L57" s="1894" t="str">
        <f ca="1">IF(L48&lt;J51,"——",IF(L55="比较法",L49,IF(L55="基准地价",L50,L51)))</f>
        <v>——</v>
      </c>
      <c r="O57" s="1888" t="s">
        <v>1041</v>
      </c>
      <c r="P57" s="1889" t="s">
        <v>1608</v>
      </c>
      <c r="Q57" s="1890">
        <f ca="1">L60</f>
        <v>0</v>
      </c>
      <c r="R57" s="1890" t="s">
        <v>1609</v>
      </c>
    </row>
    <row r="58" spans="1:18" s="1846" customFormat="1" ht="24.75" thickBot="1">
      <c r="A58" s="361" t="s">
        <v>1030</v>
      </c>
      <c r="B58" s="1180" t="s">
        <v>1426</v>
      </c>
      <c r="C58" s="362">
        <f ca="1">ROUND(C59+C64+C65+C66,0)</f>
        <v>1001793</v>
      </c>
      <c r="D58" s="1182" t="s">
        <v>1427</v>
      </c>
      <c r="E58" s="1183"/>
      <c r="F58" s="1184"/>
      <c r="I58" s="1926" t="s">
        <v>1562</v>
      </c>
      <c r="J58" s="1928" t="e">
        <f ca="1">IF(J55&lt;0.4,0.4,J55)</f>
        <v>#VALUE!</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280502</v>
      </c>
      <c r="D59" s="1185" t="s">
        <v>1432</v>
      </c>
      <c r="E59" s="1186" t="s">
        <v>1433</v>
      </c>
      <c r="F59" s="369"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280502</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0</v>
      </c>
      <c r="I62" s="1933" t="s">
        <v>1572</v>
      </c>
      <c r="J62" s="1934" t="s">
        <v>1573</v>
      </c>
      <c r="K62" s="1934" t="s">
        <v>1574</v>
      </c>
      <c r="L62" s="1934" t="s">
        <v>1575</v>
      </c>
      <c r="M62" s="1935" t="s">
        <v>1576</v>
      </c>
      <c r="O62" s="1888" t="s">
        <v>1046</v>
      </c>
      <c r="P62" s="1889" t="s">
        <v>1577</v>
      </c>
      <c r="Q62" s="1890">
        <f ca="1">Q56+Q57</f>
        <v>263711280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667862</v>
      </c>
      <c r="D64" s="1186" t="s">
        <v>1504</v>
      </c>
      <c r="E64" s="1172" t="s">
        <v>1496</v>
      </c>
      <c r="F64" s="375">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53429</v>
      </c>
      <c r="D65" s="1186" t="s">
        <v>1456</v>
      </c>
      <c r="E65" s="1172" t="s">
        <v>1457</v>
      </c>
      <c r="F65" s="377">
        <f t="shared" ca="1" si="0"/>
        <v>2E-3</v>
      </c>
      <c r="I65" s="1933" t="s">
        <v>1581</v>
      </c>
      <c r="J65" s="1934">
        <v>40</v>
      </c>
      <c r="K65" s="1934">
        <v>30</v>
      </c>
      <c r="L65" s="1934">
        <v>50</v>
      </c>
      <c r="M65" s="1936">
        <v>0.02</v>
      </c>
      <c r="O65" s="1888" t="s">
        <v>1040</v>
      </c>
      <c r="P65" s="1889" t="s">
        <v>1582</v>
      </c>
      <c r="Q65" s="1890">
        <f ca="1">C40+J29</f>
        <v>263711280</v>
      </c>
      <c r="R65" s="1890" t="s">
        <v>1531</v>
      </c>
    </row>
    <row r="66" spans="1:18" s="1846" customFormat="1" ht="16.5" thickBot="1">
      <c r="A66" s="1204" t="s">
        <v>1506</v>
      </c>
      <c r="B66" s="1172" t="s">
        <v>1441</v>
      </c>
      <c r="C66" s="24">
        <f ca="1">ROUND(C48*F66,0)</f>
        <v>0</v>
      </c>
      <c r="D66" s="1186" t="s">
        <v>1507</v>
      </c>
      <c r="E66" s="1172" t="s">
        <v>1424</v>
      </c>
      <c r="F66" s="358">
        <f t="shared" ca="1" si="0"/>
        <v>0.02</v>
      </c>
      <c r="O66" s="1888" t="s">
        <v>1041</v>
      </c>
      <c r="P66" s="1889" t="s">
        <v>1560</v>
      </c>
      <c r="Q66" s="1890">
        <f ca="1">L60</f>
        <v>0</v>
      </c>
      <c r="R66" s="1890" t="s">
        <v>1583</v>
      </c>
    </row>
    <row r="67" spans="1:18" s="1846" customFormat="1" ht="16.5" thickBot="1">
      <c r="A67" s="1179" t="s">
        <v>1031</v>
      </c>
      <c r="B67" s="1189" t="s">
        <v>1465</v>
      </c>
      <c r="C67" s="362">
        <f ca="1">C48-C58</f>
        <v>-1001793</v>
      </c>
      <c r="D67" s="1185" t="s">
        <v>1466</v>
      </c>
      <c r="E67" s="1190"/>
      <c r="F67" s="1191"/>
      <c r="O67" s="1898" t="s">
        <v>1042</v>
      </c>
      <c r="P67" s="1889" t="s">
        <v>1564</v>
      </c>
      <c r="Q67" s="1937">
        <f ca="1">L51</f>
        <v>222039704</v>
      </c>
      <c r="R67" s="1890" t="s">
        <v>1584</v>
      </c>
    </row>
    <row r="68" spans="1:18" s="1846" customFormat="1" ht="16.5" thickBot="1">
      <c r="A68" s="1169" t="s">
        <v>1032</v>
      </c>
      <c r="B68" s="1170" t="s">
        <v>1487</v>
      </c>
      <c r="C68" s="347">
        <f ca="1">ROUND(C67*(1-((1+F70)/(1+F68))^F69)/(F68-F70),0)</f>
        <v>-3652452</v>
      </c>
      <c r="D68" s="1187" t="s">
        <v>1471</v>
      </c>
      <c r="E68" s="1172" t="s">
        <v>1472</v>
      </c>
      <c r="F68" s="358">
        <f ca="1">F40</f>
        <v>5.5E-2</v>
      </c>
      <c r="O68" s="1898" t="s">
        <v>1043</v>
      </c>
      <c r="P68" s="1938" t="s">
        <v>1585</v>
      </c>
      <c r="Q68" s="1890">
        <f ca="1">ROUND(Q69-Q70*Q71,0)</f>
        <v>14021805</v>
      </c>
      <c r="R68" s="1890" t="s">
        <v>1051</v>
      </c>
    </row>
    <row r="69" spans="1:18" s="1846" customFormat="1" ht="13.5" thickBot="1">
      <c r="A69" s="1173"/>
      <c r="B69" s="1174"/>
      <c r="C69" s="352"/>
      <c r="D69" s="1192" t="s">
        <v>1475</v>
      </c>
      <c r="E69" s="1172" t="s">
        <v>1476</v>
      </c>
      <c r="F69" s="380">
        <f ca="1">F41</f>
        <v>4.18</v>
      </c>
      <c r="O69" s="1898" t="s">
        <v>1048</v>
      </c>
      <c r="P69" s="1938" t="s">
        <v>1586</v>
      </c>
      <c r="Q69" s="1890">
        <f ca="1">C39</f>
        <v>16158962</v>
      </c>
      <c r="R69" s="1890" t="s">
        <v>1531</v>
      </c>
    </row>
    <row r="70" spans="1:18" s="1846" customFormat="1" ht="13.5" thickBot="1">
      <c r="A70" s="1176"/>
      <c r="B70" s="1177"/>
      <c r="C70" s="356"/>
      <c r="D70" s="1188"/>
      <c r="E70" s="1172" t="s">
        <v>1479</v>
      </c>
      <c r="F70" s="1278">
        <f ca="1">F42</f>
        <v>0</v>
      </c>
      <c r="O70" s="1898" t="s">
        <v>1049</v>
      </c>
      <c r="P70" s="1938" t="s">
        <v>1587</v>
      </c>
      <c r="Q70" s="1890">
        <f ca="1">C13</f>
        <v>26714461</v>
      </c>
      <c r="R70" s="1890" t="s">
        <v>1531</v>
      </c>
    </row>
    <row r="71" spans="1:18" s="1846" customFormat="1" ht="13.5" thickBot="1">
      <c r="A71" s="1193" t="s">
        <v>1033</v>
      </c>
      <c r="B71" s="1194" t="s">
        <v>1489</v>
      </c>
      <c r="C71" s="383">
        <f ca="1">ROUND(C68/F71,0)</f>
        <v>-525</v>
      </c>
      <c r="D71" s="1195" t="s">
        <v>1490</v>
      </c>
      <c r="E71" s="1196" t="s">
        <v>1491</v>
      </c>
      <c r="F71" s="386">
        <f ca="1">F43</f>
        <v>6960.5900000000011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2137157</v>
      </c>
      <c r="D75" s="1846"/>
      <c r="E75" s="1846"/>
      <c r="F75" s="1846"/>
      <c r="K75" s="1872"/>
      <c r="L75" s="1846"/>
      <c r="O75" s="1888" t="s">
        <v>1046</v>
      </c>
      <c r="P75" s="1889" t="s">
        <v>1551</v>
      </c>
      <c r="Q75" s="1890">
        <f ca="1">Q65+Q66</f>
        <v>263711280</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0.86799999999999999</v>
      </c>
    </row>
    <row r="80" spans="1:18">
      <c r="B80" s="387" t="s">
        <v>1513</v>
      </c>
      <c r="C80" s="319">
        <f ca="1">ROUND(C75/C39,3)</f>
        <v>0.13200000000000001</v>
      </c>
    </row>
    <row r="81" spans="2:3">
      <c r="B81" s="315" t="s">
        <v>1514</v>
      </c>
      <c r="C81" s="283"/>
    </row>
    <row r="82" spans="2:3">
      <c r="B82" s="318" t="s">
        <v>1515</v>
      </c>
      <c r="C82" s="320">
        <f ca="1">1-C83</f>
        <v>0.54699999999999993</v>
      </c>
    </row>
    <row r="83" spans="2:3">
      <c r="B83" s="318" t="s">
        <v>1516</v>
      </c>
      <c r="C83" s="319">
        <f ca="1">ROUND(C13/C40,3)</f>
        <v>0.45300000000000001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2520</v>
      </c>
      <c r="B1" s="2566"/>
      <c r="C1" s="2566"/>
      <c r="D1" s="2566"/>
      <c r="E1" s="2567"/>
    </row>
    <row r="2" spans="1:6" ht="15.75">
      <c r="A2" s="2568" t="s">
        <v>2321</v>
      </c>
      <c r="B2" s="2569">
        <f ca="1">SUMIF(B6:B13,"&lt;&gt;#ref!",B6:B13)</f>
        <v>26371</v>
      </c>
      <c r="C2" s="2570" t="s">
        <v>2513</v>
      </c>
      <c r="D2" s="2571" t="s">
        <v>2514</v>
      </c>
      <c r="E2" s="2572">
        <f>SUM(E6:E13)</f>
        <v>6960.5900000000011</v>
      </c>
    </row>
    <row r="3" spans="1:6" ht="15.75">
      <c r="A3" s="2568" t="s">
        <v>1396</v>
      </c>
      <c r="B3" s="2569">
        <f ca="1">ROUND(B2*10000/E2,0)</f>
        <v>37886</v>
      </c>
      <c r="C3" s="2570" t="s">
        <v>2521</v>
      </c>
      <c r="D3" s="2573"/>
      <c r="E3" s="2574"/>
    </row>
    <row r="4" spans="1:6" ht="15.75">
      <c r="A4" s="2575"/>
      <c r="B4" s="2573"/>
      <c r="C4" s="2573"/>
      <c r="D4" s="2573"/>
      <c r="E4" s="2574"/>
    </row>
    <row r="5" spans="1:6" ht="15">
      <c r="A5" s="2576" t="s">
        <v>2515</v>
      </c>
      <c r="B5" s="3309" t="s">
        <v>2516</v>
      </c>
      <c r="C5" s="3309"/>
      <c r="D5" s="2577"/>
      <c r="E5" s="2578" t="s">
        <v>2517</v>
      </c>
      <c r="F5" s="2579" t="s">
        <v>2518</v>
      </c>
    </row>
    <row r="6" spans="1:6">
      <c r="A6" s="2580" t="str">
        <f>'数据-取费表'!AN6</f>
        <v>收益法 (元)</v>
      </c>
      <c r="B6" s="2579">
        <f ca="1">IF(F6="是",'数据-取费表'!AO6,0)</f>
        <v>26371</v>
      </c>
      <c r="C6" s="2570" t="s">
        <v>2513</v>
      </c>
      <c r="D6" s="2573"/>
      <c r="E6" s="2581">
        <f>IF(OR(A6=0,F6="否"),0,'数据-取费表'!K6+'数据-取费表'!S6)</f>
        <v>6960.5900000000011</v>
      </c>
      <c r="F6" s="2582" t="s">
        <v>2519</v>
      </c>
    </row>
    <row r="7" spans="1:6">
      <c r="A7" s="2580">
        <f>'数据-取费表'!AN7</f>
        <v>0</v>
      </c>
      <c r="B7" s="2579" t="e">
        <f ca="1">IF(F7="是",'数据-取费表'!AO7,0)</f>
        <v>#REF!</v>
      </c>
      <c r="C7" s="2570" t="s">
        <v>2513</v>
      </c>
      <c r="D7" s="2573"/>
      <c r="E7" s="2581">
        <f>IF(OR(A7=0,F7="否"),0,'数据-取费表'!K7+'数据-取费表'!S7)</f>
        <v>0</v>
      </c>
      <c r="F7" s="2582" t="s">
        <v>2519</v>
      </c>
    </row>
    <row r="8" spans="1:6">
      <c r="A8" s="2580">
        <f>'数据-取费表'!AN8</f>
        <v>0</v>
      </c>
      <c r="B8" s="2579" t="e">
        <f ca="1">IF(F8="是",'数据-取费表'!AO8,0)</f>
        <v>#REF!</v>
      </c>
      <c r="C8" s="2570" t="s">
        <v>2513</v>
      </c>
      <c r="D8" s="2573"/>
      <c r="E8" s="2581">
        <f>IF(OR(A8=0,F8="否"),0,'数据-取费表'!K8+'数据-取费表'!S8)</f>
        <v>0</v>
      </c>
      <c r="F8" s="2582" t="s">
        <v>2519</v>
      </c>
    </row>
    <row r="9" spans="1:6">
      <c r="A9" s="2580">
        <f>'数据-取费表'!AN9</f>
        <v>0</v>
      </c>
      <c r="B9" s="2579" t="e">
        <f ca="1">IF(F9="是",'数据-取费表'!AO9,0)</f>
        <v>#REF!</v>
      </c>
      <c r="C9" s="2570" t="s">
        <v>2513</v>
      </c>
      <c r="D9" s="2573"/>
      <c r="E9" s="2581">
        <f>IF(OR(A9=0,F9="否"),0,'数据-取费表'!K9+'数据-取费表'!S9)</f>
        <v>0</v>
      </c>
      <c r="F9" s="2582" t="s">
        <v>2519</v>
      </c>
    </row>
    <row r="10" spans="1:6">
      <c r="A10" s="2580">
        <f>'数据-取费表'!AN10</f>
        <v>0</v>
      </c>
      <c r="B10" s="2579" t="e">
        <f ca="1">IF(F10="是",'数据-取费表'!AO10,0)</f>
        <v>#REF!</v>
      </c>
      <c r="C10" s="2570" t="s">
        <v>2513</v>
      </c>
      <c r="D10" s="2573"/>
      <c r="E10" s="2581">
        <f>IF(OR(A10=0,F10="否"),0,'数据-取费表'!K10+'数据-取费表'!S10)</f>
        <v>0</v>
      </c>
      <c r="F10" s="2582" t="s">
        <v>2519</v>
      </c>
    </row>
    <row r="11" spans="1:6">
      <c r="A11" s="2580">
        <f>'数据-取费表'!AN11</f>
        <v>0</v>
      </c>
      <c r="B11" s="2579" t="e">
        <f ca="1">IF(F11="是",'数据-取费表'!AO11,0)</f>
        <v>#REF!</v>
      </c>
      <c r="C11" s="2570" t="s">
        <v>2513</v>
      </c>
      <c r="D11" s="2573"/>
      <c r="E11" s="2581">
        <f>IF(OR(A11=0,F11="否"),0,'数据-取费表'!K11+'数据-取费表'!S11)</f>
        <v>0</v>
      </c>
      <c r="F11" s="2582" t="s">
        <v>2519</v>
      </c>
    </row>
    <row r="12" spans="1:6">
      <c r="A12" s="2580">
        <f>'数据-取费表'!AN12</f>
        <v>0</v>
      </c>
      <c r="B12" s="2579" t="e">
        <f ca="1">IF(F12="是",'数据-取费表'!AO12,0)</f>
        <v>#REF!</v>
      </c>
      <c r="C12" s="2570" t="s">
        <v>2513</v>
      </c>
      <c r="D12" s="2573"/>
      <c r="E12" s="2581">
        <f>IF(OR(A12=0,F12="否"),0,'数据-取费表'!K12+'数据-取费表'!S12)</f>
        <v>0</v>
      </c>
      <c r="F12" s="2582" t="s">
        <v>2519</v>
      </c>
    </row>
    <row r="13" spans="1:6" ht="15" thickBot="1">
      <c r="A13" s="2583">
        <f>'数据-取费表'!AN13</f>
        <v>0</v>
      </c>
      <c r="B13" s="2579" t="e">
        <f ca="1">IF(F13="是",'数据-取费表'!AO13,0)</f>
        <v>#REF!</v>
      </c>
      <c r="C13" s="2584" t="s">
        <v>2513</v>
      </c>
      <c r="D13" s="2585"/>
      <c r="E13" s="2581">
        <f>IF(OR(A13=0,F13="否"),0,'数据-取费表'!K13+'数据-取费表'!S13)</f>
        <v>0</v>
      </c>
      <c r="F13" s="2582"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0" t="s">
        <v>1076</v>
      </c>
      <c r="B1" s="3311"/>
      <c r="C1" s="3312"/>
      <c r="D1" s="3313">
        <f>SUM(I10,I15,I20,I21,I23)</f>
        <v>0</v>
      </c>
      <c r="E1" s="3313"/>
      <c r="F1" s="3313"/>
      <c r="G1" s="3313"/>
      <c r="H1" s="3313"/>
      <c r="I1" s="3314"/>
    </row>
    <row r="2" spans="1:9">
      <c r="A2" s="3315" t="s">
        <v>1077</v>
      </c>
      <c r="B2" s="3316" t="s">
        <v>1078</v>
      </c>
      <c r="C2" s="3316"/>
      <c r="D2" s="1304" t="s">
        <v>1079</v>
      </c>
      <c r="E2" s="1304" t="s">
        <v>1080</v>
      </c>
      <c r="F2" s="1304" t="s">
        <v>1081</v>
      </c>
      <c r="G2" s="1304" t="s">
        <v>1082</v>
      </c>
      <c r="H2" s="1304" t="s">
        <v>1083</v>
      </c>
      <c r="I2" s="1305" t="s">
        <v>1084</v>
      </c>
    </row>
    <row r="3" spans="1:9">
      <c r="A3" s="3315"/>
      <c r="B3" s="3316" t="s">
        <v>1085</v>
      </c>
      <c r="C3" s="3316"/>
      <c r="D3" s="1306"/>
      <c r="E3" s="1304"/>
      <c r="F3" s="1307"/>
      <c r="G3" s="1307"/>
      <c r="H3" s="1308"/>
      <c r="I3" s="1309">
        <f>ROUND(D3*E3*F3*G3*H3/10000,0)</f>
        <v>0</v>
      </c>
    </row>
    <row r="4" spans="1:9">
      <c r="A4" s="3315"/>
      <c r="B4" s="3316" t="s">
        <v>1086</v>
      </c>
      <c r="C4" s="3316"/>
      <c r="D4" s="1306"/>
      <c r="E4" s="1304"/>
      <c r="F4" s="1307"/>
      <c r="G4" s="1307"/>
      <c r="H4" s="1308"/>
      <c r="I4" s="1309">
        <f t="shared" ref="I4:I9" si="0">ROUND(D4*E4*F4*G4*H4/10000,0)</f>
        <v>0</v>
      </c>
    </row>
    <row r="5" spans="1:9">
      <c r="A5" s="3315"/>
      <c r="B5" s="3316" t="s">
        <v>1087</v>
      </c>
      <c r="C5" s="3316"/>
      <c r="D5" s="1306"/>
      <c r="E5" s="1304"/>
      <c r="F5" s="1307"/>
      <c r="G5" s="1307"/>
      <c r="H5" s="1308"/>
      <c r="I5" s="1309">
        <f t="shared" si="0"/>
        <v>0</v>
      </c>
    </row>
    <row r="6" spans="1:9">
      <c r="A6" s="3315"/>
      <c r="B6" s="3316" t="s">
        <v>1088</v>
      </c>
      <c r="C6" s="3316"/>
      <c r="D6" s="1306"/>
      <c r="E6" s="1304"/>
      <c r="F6" s="1307"/>
      <c r="G6" s="1307"/>
      <c r="H6" s="1308"/>
      <c r="I6" s="1309">
        <f t="shared" si="0"/>
        <v>0</v>
      </c>
    </row>
    <row r="7" spans="1:9">
      <c r="A7" s="3315"/>
      <c r="B7" s="3316" t="s">
        <v>1089</v>
      </c>
      <c r="C7" s="3316"/>
      <c r="D7" s="1306"/>
      <c r="E7" s="1304"/>
      <c r="F7" s="1307"/>
      <c r="G7" s="1307"/>
      <c r="H7" s="1308"/>
      <c r="I7" s="1309">
        <f t="shared" si="0"/>
        <v>0</v>
      </c>
    </row>
    <row r="8" spans="1:9">
      <c r="A8" s="3315"/>
      <c r="B8" s="3316" t="s">
        <v>1090</v>
      </c>
      <c r="C8" s="3316"/>
      <c r="D8" s="1306"/>
      <c r="E8" s="1304"/>
      <c r="F8" s="1307"/>
      <c r="G8" s="1307"/>
      <c r="H8" s="1308"/>
      <c r="I8" s="1309">
        <f t="shared" si="0"/>
        <v>0</v>
      </c>
    </row>
    <row r="9" spans="1:9">
      <c r="A9" s="3315"/>
      <c r="B9" s="3316" t="s">
        <v>1091</v>
      </c>
      <c r="C9" s="3316"/>
      <c r="D9" s="1306"/>
      <c r="E9" s="1304"/>
      <c r="F9" s="1307"/>
      <c r="G9" s="1307"/>
      <c r="H9" s="1308"/>
      <c r="I9" s="1309">
        <f t="shared" si="0"/>
        <v>0</v>
      </c>
    </row>
    <row r="10" spans="1:9">
      <c r="A10" s="3315"/>
      <c r="B10" s="3317" t="s">
        <v>1092</v>
      </c>
      <c r="C10" s="3317"/>
      <c r="D10" s="1310"/>
      <c r="E10" s="1310" t="e">
        <f>ROUND(D1*10000/D10/H9,0)</f>
        <v>#DIV/0!</v>
      </c>
      <c r="F10" s="1311"/>
      <c r="G10" s="1311"/>
      <c r="H10" s="1312"/>
      <c r="I10" s="1313">
        <f>SUM(I3:I9)</f>
        <v>0</v>
      </c>
    </row>
    <row r="11" spans="1:9" ht="14.25">
      <c r="A11" s="3315" t="s">
        <v>1093</v>
      </c>
      <c r="B11" s="3316" t="s">
        <v>1094</v>
      </c>
      <c r="C11" s="3316"/>
      <c r="D11" s="1306" t="s">
        <v>1095</v>
      </c>
      <c r="E11" s="1306" t="s">
        <v>1096</v>
      </c>
      <c r="F11" s="1307" t="s">
        <v>1097</v>
      </c>
      <c r="G11" s="1307" t="s">
        <v>1083</v>
      </c>
      <c r="H11" s="1314" t="s">
        <v>1098</v>
      </c>
      <c r="I11" s="1305" t="s">
        <v>1084</v>
      </c>
    </row>
    <row r="12" spans="1:9">
      <c r="A12" s="3315"/>
      <c r="B12" s="3316" t="s">
        <v>1099</v>
      </c>
      <c r="C12" s="3316"/>
      <c r="D12" s="1306"/>
      <c r="E12" s="1306"/>
      <c r="F12" s="1307"/>
      <c r="G12" s="1308"/>
      <c r="H12" s="1315"/>
      <c r="I12" s="1305">
        <f>ROUND(D12*E12*F12*G12/10000,0)</f>
        <v>0</v>
      </c>
    </row>
    <row r="13" spans="1:9">
      <c r="A13" s="3315"/>
      <c r="B13" s="3316" t="s">
        <v>1100</v>
      </c>
      <c r="C13" s="3316"/>
      <c r="D13" s="1306"/>
      <c r="E13" s="1306"/>
      <c r="F13" s="1307"/>
      <c r="G13" s="1308"/>
      <c r="H13" s="1315"/>
      <c r="I13" s="1305">
        <f>ROUND(D13*E13*F13*G13/10000,0)</f>
        <v>0</v>
      </c>
    </row>
    <row r="14" spans="1:9">
      <c r="A14" s="3315"/>
      <c r="B14" s="3316" t="s">
        <v>1101</v>
      </c>
      <c r="C14" s="3316"/>
      <c r="D14" s="1306"/>
      <c r="E14" s="1306"/>
      <c r="F14" s="1307"/>
      <c r="G14" s="1308"/>
      <c r="H14" s="1315"/>
      <c r="I14" s="1305">
        <f>ROUND(D14*E14*F14*G14/10000,0)</f>
        <v>0</v>
      </c>
    </row>
    <row r="15" spans="1:9">
      <c r="A15" s="3315"/>
      <c r="B15" s="3317" t="s">
        <v>1092</v>
      </c>
      <c r="C15" s="3317"/>
      <c r="D15" s="1310"/>
      <c r="E15" s="1310">
        <f>SUM(E12:E14)</f>
        <v>0</v>
      </c>
      <c r="F15" s="1311"/>
      <c r="G15" s="1308"/>
      <c r="H15" s="1315"/>
      <c r="I15" s="1316">
        <f>SUM(I12:I14)</f>
        <v>0</v>
      </c>
    </row>
    <row r="16" spans="1:9" ht="24">
      <c r="A16" s="3315" t="s">
        <v>1102</v>
      </c>
      <c r="B16" s="3316" t="s">
        <v>1103</v>
      </c>
      <c r="C16" s="3316"/>
      <c r="D16" s="1306" t="s">
        <v>1079</v>
      </c>
      <c r="E16" s="1317" t="s">
        <v>1104</v>
      </c>
      <c r="F16" s="1307" t="s">
        <v>1105</v>
      </c>
      <c r="G16" s="1308" t="s">
        <v>1083</v>
      </c>
      <c r="H16" s="1314" t="s">
        <v>1098</v>
      </c>
      <c r="I16" s="1305" t="s">
        <v>1084</v>
      </c>
    </row>
    <row r="17" spans="1:9" ht="14.25">
      <c r="A17" s="3315"/>
      <c r="B17" s="3316" t="s">
        <v>1106</v>
      </c>
      <c r="C17" s="3316"/>
      <c r="D17" s="1306"/>
      <c r="E17" s="1306"/>
      <c r="F17" s="1307"/>
      <c r="G17" s="1308"/>
      <c r="H17" s="1318"/>
      <c r="I17" s="1319">
        <f>ROUND(D17*E17*F17*G17/10000,0)</f>
        <v>0</v>
      </c>
    </row>
    <row r="18" spans="1:9" ht="14.25">
      <c r="A18" s="3315"/>
      <c r="B18" s="3316" t="s">
        <v>1107</v>
      </c>
      <c r="C18" s="3316"/>
      <c r="D18" s="1306"/>
      <c r="E18" s="1306"/>
      <c r="F18" s="1307"/>
      <c r="G18" s="1308"/>
      <c r="H18" s="1318"/>
      <c r="I18" s="1319">
        <f>ROUND(D18*E18*F18*G18/10000,0)</f>
        <v>0</v>
      </c>
    </row>
    <row r="19" spans="1:9" ht="14.25">
      <c r="A19" s="3315"/>
      <c r="B19" s="3316" t="s">
        <v>1108</v>
      </c>
      <c r="C19" s="3316"/>
      <c r="D19" s="1306"/>
      <c r="E19" s="1306"/>
      <c r="F19" s="1307"/>
      <c r="G19" s="1308"/>
      <c r="H19" s="1318"/>
      <c r="I19" s="1319">
        <f>ROUND(D19*E19*F19*G19/10000,0)</f>
        <v>0</v>
      </c>
    </row>
    <row r="20" spans="1:9">
      <c r="A20" s="3315"/>
      <c r="B20" s="3317" t="s">
        <v>1092</v>
      </c>
      <c r="C20" s="3317"/>
      <c r="D20" s="1310">
        <f>SUM(D17:D19)</f>
        <v>0</v>
      </c>
      <c r="E20" s="1310"/>
      <c r="F20" s="1311"/>
      <c r="G20" s="1308"/>
      <c r="H20" s="1315"/>
      <c r="I20" s="1316">
        <f>SUM(I17:I19)</f>
        <v>0</v>
      </c>
    </row>
    <row r="21" spans="1:9">
      <c r="A21" s="3315" t="s">
        <v>1109</v>
      </c>
      <c r="B21" s="3319"/>
      <c r="C21" s="3319"/>
      <c r="D21" s="3319"/>
      <c r="E21" s="3319"/>
      <c r="F21" s="3319"/>
      <c r="G21" s="3319"/>
      <c r="H21" s="1769">
        <v>0.1</v>
      </c>
      <c r="I21" s="1313">
        <f>ROUND(I10*H21,0)</f>
        <v>0</v>
      </c>
    </row>
    <row r="22" spans="1:9" ht="14.25">
      <c r="A22" s="3320" t="s">
        <v>1110</v>
      </c>
      <c r="B22" s="3321"/>
      <c r="C22" s="3322"/>
      <c r="D22" s="1320" t="s">
        <v>1111</v>
      </c>
      <c r="E22" s="1320" t="s">
        <v>1112</v>
      </c>
      <c r="F22" s="1321" t="s">
        <v>1113</v>
      </c>
      <c r="G22" s="1321" t="s">
        <v>1114</v>
      </c>
      <c r="H22" s="1314" t="s">
        <v>1115</v>
      </c>
      <c r="I22" s="1305" t="s">
        <v>1116</v>
      </c>
    </row>
    <row r="23" spans="1:9" ht="14.25" thickBot="1">
      <c r="A23" s="3323"/>
      <c r="B23" s="3324"/>
      <c r="C23" s="3325"/>
      <c r="D23" s="1322"/>
      <c r="E23" s="1322"/>
      <c r="F23" s="1322"/>
      <c r="G23" s="1323"/>
      <c r="H23" s="1324"/>
      <c r="I23" s="1325">
        <f>ROUND(E23*D23*F23*(1-G23)/10000,0)</f>
        <v>0</v>
      </c>
    </row>
    <row r="26" spans="1:9">
      <c r="A26" s="1326" t="s">
        <v>1117</v>
      </c>
      <c r="B26" s="1326"/>
      <c r="C26" s="1326"/>
      <c r="D26" s="1326"/>
      <c r="E26" s="3326">
        <f>C27-C30-C31-C32</f>
        <v>0</v>
      </c>
      <c r="F26" s="3326"/>
      <c r="G26" s="3326"/>
      <c r="H26" s="1741" t="s">
        <v>1341</v>
      </c>
    </row>
    <row r="27" spans="1:9">
      <c r="A27" s="1327">
        <v>1</v>
      </c>
      <c r="B27" s="1328" t="s">
        <v>1118</v>
      </c>
      <c r="C27" s="1328">
        <f>C28+C29</f>
        <v>0</v>
      </c>
      <c r="D27" s="1328"/>
      <c r="E27" s="3327"/>
      <c r="F27" s="3327"/>
      <c r="G27" s="3327"/>
    </row>
    <row r="28" spans="1:9">
      <c r="A28" s="1329" t="s">
        <v>1119</v>
      </c>
      <c r="B28" s="1328" t="s">
        <v>1120</v>
      </c>
      <c r="C28" s="1328"/>
      <c r="D28" s="1328"/>
      <c r="E28" s="3327"/>
      <c r="F28" s="3327"/>
      <c r="G28" s="332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8"/>
      <c r="F32" s="3318"/>
      <c r="G32" s="3318"/>
    </row>
    <row r="33" spans="1:7" hidden="1">
      <c r="A33" s="3328" t="s">
        <v>1129</v>
      </c>
      <c r="B33" s="3329"/>
      <c r="C33" s="3329"/>
      <c r="D33" s="3330"/>
      <c r="E33" s="3326"/>
      <c r="F33" s="3326"/>
      <c r="G33" s="3326"/>
    </row>
    <row r="34" spans="1:7" hidden="1">
      <c r="A34" s="1331">
        <v>1</v>
      </c>
      <c r="B34" s="1328" t="s">
        <v>1130</v>
      </c>
      <c r="C34" s="1328"/>
      <c r="D34" s="1328"/>
      <c r="E34" s="3327"/>
      <c r="F34" s="3327"/>
      <c r="G34" s="3327"/>
    </row>
    <row r="35" spans="1:7" hidden="1">
      <c r="A35" s="1331">
        <v>2</v>
      </c>
      <c r="B35" s="1328" t="s">
        <v>1131</v>
      </c>
      <c r="C35" s="1328"/>
      <c r="D35" s="1328"/>
      <c r="E35" s="3327"/>
      <c r="F35" s="3327"/>
      <c r="G35" s="3327"/>
    </row>
    <row r="36" spans="1:7" hidden="1">
      <c r="A36" s="1331">
        <v>3</v>
      </c>
      <c r="B36" s="1328" t="s">
        <v>1132</v>
      </c>
      <c r="C36" s="1328"/>
      <c r="D36" s="1328"/>
      <c r="E36" s="3327"/>
      <c r="F36" s="3327"/>
      <c r="G36" s="3327"/>
    </row>
    <row r="37" spans="1:7" hidden="1">
      <c r="A37" s="1331">
        <v>4</v>
      </c>
      <c r="B37" s="1328" t="s">
        <v>1133</v>
      </c>
      <c r="C37" s="1328"/>
      <c r="D37" s="1328"/>
      <c r="E37" s="3327"/>
      <c r="F37" s="3327"/>
      <c r="G37" s="3327"/>
    </row>
    <row r="38" spans="1:7" hidden="1">
      <c r="A38" s="3328" t="s">
        <v>1134</v>
      </c>
      <c r="B38" s="3329"/>
      <c r="C38" s="3329"/>
      <c r="D38" s="3330"/>
      <c r="E38" s="3326"/>
      <c r="F38" s="3326"/>
      <c r="G38" s="33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586" t="s">
        <v>2523</v>
      </c>
      <c r="C1" s="1638" t="s">
        <v>2524</v>
      </c>
      <c r="D1" s="1625"/>
      <c r="E1" s="2587"/>
      <c r="F1" s="2588" t="s">
        <v>2525</v>
      </c>
      <c r="G1" s="1635" t="s">
        <v>2526</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0"/>
      <c r="D2" s="1368" t="e">
        <f ca="1">SUMIF(INDIRECT("'"&amp;F2&amp;"'"&amp;"!A:A"),"承租人权益价值",INDIRECT("'"&amp;F2&amp;"'"&amp;"!c:c"))</f>
        <v>#REF!</v>
      </c>
      <c r="E2" s="2591" t="s">
        <v>2527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2528</v>
      </c>
      <c r="D3" s="400">
        <f>IF(D1="",'数据-汇总表'!E3,SUMIF('数据-汇总表'!$C19:$C33,D1,'数据-汇总表'!$E19:$E33))</f>
        <v>6960.5900000000011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2" t="s">
        <v>2529</v>
      </c>
      <c r="B4" s="403"/>
      <c r="C4" s="3279" t="s">
        <v>2530</v>
      </c>
      <c r="D4" s="3280"/>
      <c r="E4" s="3281" t="s">
        <v>2531</v>
      </c>
      <c r="F4" s="3282"/>
      <c r="G4" s="3279" t="s">
        <v>2532</v>
      </c>
      <c r="H4" s="3280"/>
      <c r="I4" s="3279" t="s">
        <v>2533</v>
      </c>
      <c r="J4" s="3280"/>
      <c r="K4" s="2600" t="s">
        <v>2534</v>
      </c>
      <c r="L4" s="1133"/>
      <c r="M4" s="1134"/>
      <c r="N4" s="1134"/>
      <c r="O4" s="1134"/>
      <c r="P4" s="3342" t="s">
        <v>2535</v>
      </c>
      <c r="Q4" s="3343"/>
      <c r="R4" s="3332" t="s">
        <v>2531</v>
      </c>
      <c r="S4" s="3333"/>
      <c r="T4" s="3332" t="s">
        <v>2532</v>
      </c>
      <c r="U4" s="3333"/>
      <c r="V4" s="3292" t="s">
        <v>2533</v>
      </c>
      <c r="W4" s="3292"/>
      <c r="X4" s="1817"/>
      <c r="Y4" s="3332" t="s">
        <v>2535</v>
      </c>
      <c r="Z4" s="3333"/>
      <c r="AA4" s="3331" t="s">
        <v>2531</v>
      </c>
      <c r="AB4" s="3331" t="s">
        <v>2532</v>
      </c>
      <c r="AC4" s="3331" t="s">
        <v>2533</v>
      </c>
    </row>
    <row r="5" spans="1:29" ht="15">
      <c r="A5" s="405"/>
      <c r="B5" s="406"/>
      <c r="C5" s="3336" t="s">
        <v>2536</v>
      </c>
      <c r="D5" s="3337"/>
      <c r="E5" s="3334" t="s">
        <v>2537</v>
      </c>
      <c r="F5" s="3335"/>
      <c r="G5" s="3336" t="s">
        <v>2538</v>
      </c>
      <c r="H5" s="3337"/>
      <c r="I5" s="3336" t="s">
        <v>2539</v>
      </c>
      <c r="J5" s="3337"/>
      <c r="K5" s="2601"/>
      <c r="L5" s="1133"/>
      <c r="M5" s="1134"/>
      <c r="N5" s="1134"/>
      <c r="O5" s="1134"/>
      <c r="P5" s="3344"/>
      <c r="Q5" s="3286"/>
      <c r="R5" s="3265"/>
      <c r="S5" s="3266"/>
      <c r="T5" s="3265"/>
      <c r="U5" s="3266"/>
      <c r="V5" s="3292"/>
      <c r="W5" s="3292"/>
      <c r="X5" s="1817"/>
      <c r="Y5" s="3265"/>
      <c r="Z5" s="3266"/>
      <c r="AA5" s="3259"/>
      <c r="AB5" s="3259"/>
      <c r="AC5" s="3259"/>
    </row>
    <row r="6" spans="1:29" ht="15.75" thickBot="1">
      <c r="A6" s="407"/>
      <c r="B6" s="408"/>
      <c r="C6" s="3338" t="s">
        <v>2540</v>
      </c>
      <c r="D6" s="3339"/>
      <c r="E6" s="3340" t="s">
        <v>2540</v>
      </c>
      <c r="F6" s="3341"/>
      <c r="G6" s="3338" t="s">
        <v>2540</v>
      </c>
      <c r="H6" s="3339"/>
      <c r="I6" s="3338" t="s">
        <v>2540</v>
      </c>
      <c r="J6" s="3339"/>
      <c r="K6" s="2601" t="s">
        <v>2541</v>
      </c>
      <c r="L6" s="1133"/>
      <c r="M6" s="1134"/>
      <c r="N6" s="1134"/>
      <c r="O6" s="1134"/>
      <c r="P6" s="3345"/>
      <c r="Q6" s="3288"/>
      <c r="R6" s="3265"/>
      <c r="S6" s="3266"/>
      <c r="T6" s="3289"/>
      <c r="U6" s="3290"/>
      <c r="V6" s="3292"/>
      <c r="W6" s="3292"/>
      <c r="X6" s="1817"/>
      <c r="Y6" s="3289"/>
      <c r="Z6" s="3290"/>
      <c r="AA6" s="3260"/>
      <c r="AB6" s="3260"/>
      <c r="AC6" s="3260"/>
    </row>
    <row r="7" spans="1:29" s="117" customFormat="1" ht="15.75" thickBot="1">
      <c r="A7" s="409" t="s">
        <v>2542</v>
      </c>
      <c r="B7" s="410"/>
      <c r="C7" s="411">
        <f>'数据-取费表'!B2</f>
        <v>43047</v>
      </c>
      <c r="D7" s="412">
        <v>100</v>
      </c>
      <c r="E7" s="413"/>
      <c r="F7" s="414">
        <f>SUMIF(58:58,YEAR(E7)&amp;"-"&amp;MONTH(E7),59:59)</f>
        <v>0</v>
      </c>
      <c r="G7" s="413"/>
      <c r="H7" s="412">
        <f>SUMIF(58:58,YEAR(G7)&amp;"-"&amp;MONTH(G7),59:59)</f>
        <v>0</v>
      </c>
      <c r="I7" s="413"/>
      <c r="J7" s="412">
        <f>SUMIF(58:58,YEAR(I7)&amp;"-"&amp;MONTH(I7),59:59)</f>
        <v>0</v>
      </c>
      <c r="K7" s="2602"/>
      <c r="L7" s="1135"/>
      <c r="M7" s="1136"/>
      <c r="N7" s="1136"/>
      <c r="O7" s="1136"/>
      <c r="P7" s="3261" t="s">
        <v>2543</v>
      </c>
      <c r="Q7" s="3294"/>
      <c r="R7" s="770" t="s">
        <v>23</v>
      </c>
      <c r="S7" s="771">
        <f t="shared" ref="S7:S15" si="0">F7</f>
        <v>0</v>
      </c>
      <c r="T7" s="770" t="s">
        <v>23</v>
      </c>
      <c r="U7" s="771">
        <f t="shared" ref="U7:U15" si="1">H7</f>
        <v>0</v>
      </c>
      <c r="V7" s="770" t="s">
        <v>23</v>
      </c>
      <c r="W7" s="771">
        <f t="shared" ref="W7:W15" si="2">J7</f>
        <v>0</v>
      </c>
      <c r="X7" s="772"/>
      <c r="Y7" s="3261" t="s">
        <v>2543</v>
      </c>
      <c r="Z7" s="3262"/>
      <c r="AA7" s="773" t="e">
        <f>D7/F7</f>
        <v>#DIV/0!</v>
      </c>
      <c r="AB7" s="773" t="e">
        <f>D7/H7</f>
        <v>#DIV/0!</v>
      </c>
      <c r="AC7" s="773" t="e">
        <f>D7/J7</f>
        <v>#DIV/0!</v>
      </c>
    </row>
    <row r="8" spans="1:29" s="117" customFormat="1" ht="15.75" thickBot="1">
      <c r="A8" s="409" t="s">
        <v>2544</v>
      </c>
      <c r="B8" s="410"/>
      <c r="C8" s="415" t="s">
        <v>2545</v>
      </c>
      <c r="D8" s="412">
        <v>100</v>
      </c>
      <c r="E8" s="2603"/>
      <c r="F8" s="414">
        <f>SUMIF(61:61,E8,62:62)-SUMIF(61:61,C8,62:62)+100</f>
        <v>0</v>
      </c>
      <c r="G8" s="415"/>
      <c r="H8" s="412">
        <f>SUMIF(61:61,G8,62:62)-SUMIF(61:61,C8,62:62)+100</f>
        <v>0</v>
      </c>
      <c r="I8" s="2603"/>
      <c r="J8" s="412">
        <f>SUMIF(61:61,I8,62:62)-SUMIF(61:61,C8,62:62)+100</f>
        <v>0</v>
      </c>
      <c r="K8" s="2602"/>
      <c r="L8" s="1135"/>
      <c r="M8" s="1136"/>
      <c r="N8" s="1136"/>
      <c r="O8" s="1136"/>
      <c r="P8" s="3261" t="s">
        <v>2546</v>
      </c>
      <c r="Q8" s="3262"/>
      <c r="R8" s="770" t="s">
        <v>23</v>
      </c>
      <c r="S8" s="771">
        <f t="shared" si="0"/>
        <v>0</v>
      </c>
      <c r="T8" s="770" t="s">
        <v>23</v>
      </c>
      <c r="U8" s="771">
        <f t="shared" si="1"/>
        <v>0</v>
      </c>
      <c r="V8" s="770" t="s">
        <v>23</v>
      </c>
      <c r="W8" s="771">
        <f t="shared" si="2"/>
        <v>0</v>
      </c>
      <c r="X8" s="772"/>
      <c r="Y8" s="3261" t="s">
        <v>2546</v>
      </c>
      <c r="Z8" s="3262"/>
      <c r="AA8" s="773" t="e">
        <f t="shared" ref="AA8:AA19" si="3">D8/F8</f>
        <v>#DIV/0!</v>
      </c>
      <c r="AB8" s="773" t="e">
        <f t="shared" ref="AB8:AB19" si="4">D8/H8</f>
        <v>#DIV/0!</v>
      </c>
      <c r="AC8" s="773" t="e">
        <f t="shared" ref="AC8:AC19" si="5">D8/J8</f>
        <v>#DIV/0!</v>
      </c>
    </row>
    <row r="9" spans="1:29" s="117" customFormat="1">
      <c r="A9" s="416" t="s">
        <v>2547</v>
      </c>
      <c r="B9" s="71" t="s">
        <v>2548</v>
      </c>
      <c r="C9" s="417"/>
      <c r="D9" s="135">
        <v>100</v>
      </c>
      <c r="E9" s="418"/>
      <c r="F9" s="419">
        <f>SUMIF(63:63,E9,64:64)-SUMIF(63:63,C9,64:64)+100</f>
        <v>100</v>
      </c>
      <c r="G9" s="420"/>
      <c r="H9" s="135">
        <f>SUMIF(63:63,G9,64:64)-SUMIF(63:63,C9,64:64)+100</f>
        <v>100</v>
      </c>
      <c r="I9" s="420"/>
      <c r="J9" s="135">
        <f>SUMIF(63:63,I9,64:64)-SUMIF(63:63,C9,64:64)+100</f>
        <v>100</v>
      </c>
      <c r="K9" s="2602"/>
      <c r="L9" s="1135"/>
      <c r="M9" s="1136"/>
      <c r="N9" s="1136"/>
      <c r="O9" s="1136"/>
      <c r="P9" s="3275"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75"/>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9"/>
      <c r="B11" s="423" t="s">
        <v>2552</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75"/>
      <c r="Q11" s="1799" t="str">
        <f t="shared" si="6"/>
        <v>容积率</v>
      </c>
      <c r="R11" s="770" t="s">
        <v>21</v>
      </c>
      <c r="S11" s="771" t="e">
        <f t="shared" si="0"/>
        <v>#N/A</v>
      </c>
      <c r="T11" s="770" t="s">
        <v>21</v>
      </c>
      <c r="U11" s="771" t="e">
        <f t="shared" si="1"/>
        <v>#N/A</v>
      </c>
      <c r="V11" s="770" t="s">
        <v>21</v>
      </c>
      <c r="W11" s="771" t="e">
        <f t="shared" si="2"/>
        <v>#N/A</v>
      </c>
      <c r="X11" s="772"/>
      <c r="Y11" s="3130"/>
      <c r="Z11" s="55" t="str">
        <f t="shared" si="7"/>
        <v>容积率</v>
      </c>
      <c r="AA11" s="773" t="e">
        <f t="shared" si="3"/>
        <v>#N/A</v>
      </c>
      <c r="AB11" s="773" t="e">
        <f t="shared" si="4"/>
        <v>#N/A</v>
      </c>
      <c r="AC11" s="773"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5"/>
      <c r="M12" s="1136"/>
      <c r="N12" s="1136"/>
      <c r="O12" s="1136"/>
      <c r="P12" s="3275"/>
      <c r="Q12" s="1799">
        <f t="shared" si="6"/>
        <v>111</v>
      </c>
      <c r="R12" s="770" t="s">
        <v>21</v>
      </c>
      <c r="S12" s="771">
        <f t="shared" si="0"/>
        <v>100</v>
      </c>
      <c r="T12" s="770" t="s">
        <v>21</v>
      </c>
      <c r="U12" s="771">
        <f t="shared" si="1"/>
        <v>100</v>
      </c>
      <c r="V12" s="770" t="s">
        <v>21</v>
      </c>
      <c r="W12" s="771">
        <f t="shared" si="2"/>
        <v>100</v>
      </c>
      <c r="X12" s="772"/>
      <c r="Y12" s="3130"/>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3"/>
      <c r="M13" s="1134"/>
      <c r="N13" s="1134"/>
      <c r="O13" s="1134"/>
      <c r="P13" s="3275"/>
      <c r="Q13" s="1799">
        <f t="shared" si="6"/>
        <v>111</v>
      </c>
      <c r="R13" s="770" t="s">
        <v>21</v>
      </c>
      <c r="S13" s="771">
        <f t="shared" si="0"/>
        <v>100</v>
      </c>
      <c r="T13" s="770" t="s">
        <v>21</v>
      </c>
      <c r="U13" s="771">
        <f t="shared" si="1"/>
        <v>100</v>
      </c>
      <c r="V13" s="770" t="s">
        <v>21</v>
      </c>
      <c r="W13" s="771">
        <f t="shared" si="2"/>
        <v>100</v>
      </c>
      <c r="X13" s="772"/>
      <c r="Y13" s="3130"/>
      <c r="Z13" s="55">
        <f t="shared" si="7"/>
        <v>111</v>
      </c>
      <c r="AA13" s="773">
        <f t="shared" si="3"/>
        <v>1</v>
      </c>
      <c r="AB13" s="773">
        <f t="shared" si="4"/>
        <v>1</v>
      </c>
      <c r="AC13" s="773">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3"/>
      <c r="M14" s="1134"/>
      <c r="N14" s="1134"/>
      <c r="O14" s="1134"/>
      <c r="P14" s="3275"/>
      <c r="Q14" s="1799">
        <f t="shared" si="6"/>
        <v>111</v>
      </c>
      <c r="R14" s="770" t="s">
        <v>21</v>
      </c>
      <c r="S14" s="771">
        <f t="shared" si="0"/>
        <v>100</v>
      </c>
      <c r="T14" s="770" t="s">
        <v>21</v>
      </c>
      <c r="U14" s="771">
        <f t="shared" si="1"/>
        <v>100</v>
      </c>
      <c r="V14" s="770" t="s">
        <v>21</v>
      </c>
      <c r="W14" s="771">
        <f t="shared" si="2"/>
        <v>100</v>
      </c>
      <c r="X14" s="772"/>
      <c r="Y14" s="3130"/>
      <c r="Z14" s="55">
        <f t="shared" si="7"/>
        <v>111</v>
      </c>
      <c r="AA14" s="773">
        <f t="shared" si="3"/>
        <v>1</v>
      </c>
      <c r="AB14" s="773">
        <f t="shared" si="4"/>
        <v>1</v>
      </c>
      <c r="AC14" s="773">
        <f t="shared" si="5"/>
        <v>1</v>
      </c>
    </row>
    <row r="15" spans="1:29" ht="15">
      <c r="A15" s="441" t="s">
        <v>2553</v>
      </c>
      <c r="B15" s="69" t="s">
        <v>2087</v>
      </c>
      <c r="C15" s="2607">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95" t="s">
        <v>2554</v>
      </c>
      <c r="Q15" s="1814" t="str">
        <f t="shared" si="6"/>
        <v>居住社区成熟度</v>
      </c>
      <c r="R15" s="774" t="s">
        <v>21</v>
      </c>
      <c r="S15" s="775">
        <f t="shared" si="0"/>
        <v>100</v>
      </c>
      <c r="T15" s="774" t="s">
        <v>21</v>
      </c>
      <c r="U15" s="775">
        <f t="shared" si="1"/>
        <v>100</v>
      </c>
      <c r="V15" s="774" t="s">
        <v>21</v>
      </c>
      <c r="W15" s="775">
        <f t="shared" si="2"/>
        <v>100</v>
      </c>
      <c r="X15" s="1817"/>
      <c r="Y15" s="3297" t="s">
        <v>2554</v>
      </c>
      <c r="Z15" s="1818" t="str">
        <f t="shared" si="7"/>
        <v>居住社区成熟度</v>
      </c>
      <c r="AA15" s="1815">
        <f t="shared" si="3"/>
        <v>1</v>
      </c>
      <c r="AB15" s="1815">
        <f t="shared" si="4"/>
        <v>1</v>
      </c>
      <c r="AC15" s="1815">
        <f t="shared" si="5"/>
        <v>1</v>
      </c>
    </row>
    <row r="16" spans="1:29" ht="15">
      <c r="A16" s="429"/>
      <c r="B16" s="447"/>
      <c r="C16" s="448"/>
      <c r="D16" s="449"/>
      <c r="E16" s="2608"/>
      <c r="F16" s="449"/>
      <c r="G16" s="2609"/>
      <c r="H16" s="451"/>
      <c r="I16" s="2609"/>
      <c r="J16" s="449"/>
      <c r="K16" s="2610"/>
      <c r="L16" s="1143"/>
      <c r="M16" s="1134"/>
      <c r="N16" s="1134"/>
      <c r="O16" s="1134"/>
      <c r="P16" s="3296"/>
      <c r="Q16" s="1814"/>
      <c r="R16" s="774"/>
      <c r="S16" s="775"/>
      <c r="T16" s="774"/>
      <c r="U16" s="775"/>
      <c r="V16" s="774"/>
      <c r="W16" s="775"/>
      <c r="X16" s="1817"/>
      <c r="Y16" s="3298"/>
      <c r="Z16" s="1818"/>
      <c r="AA16" s="1815">
        <v>1</v>
      </c>
      <c r="AB16" s="1815">
        <v>1</v>
      </c>
      <c r="AC16" s="1815">
        <v>1</v>
      </c>
    </row>
    <row r="17" spans="1:29" ht="128.25">
      <c r="A17" s="429"/>
      <c r="B17" s="452" t="s">
        <v>2093</v>
      </c>
      <c r="C17" s="2611" t="str">
        <f>估价对象房地状况!C6</f>
        <v>估价对象周边2公里范围内路网密集、有57、72、300路等多辆公交车经过，有1号线、7号线、10号线经过，周边停车便捷，综合评价交通便捷度好。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96"/>
      <c r="Q17" s="1814" t="str">
        <f>B17</f>
        <v>交通便捷度</v>
      </c>
      <c r="R17" s="774" t="s">
        <v>21</v>
      </c>
      <c r="S17" s="775">
        <f>F17</f>
        <v>100</v>
      </c>
      <c r="T17" s="774" t="s">
        <v>21</v>
      </c>
      <c r="U17" s="775">
        <f>H17</f>
        <v>100</v>
      </c>
      <c r="V17" s="774" t="s">
        <v>21</v>
      </c>
      <c r="W17" s="775">
        <f>J17</f>
        <v>100</v>
      </c>
      <c r="X17" s="1817"/>
      <c r="Y17" s="3298"/>
      <c r="Z17" s="1818" t="str">
        <f>Q17</f>
        <v>交通便捷度</v>
      </c>
      <c r="AA17" s="1815">
        <f t="shared" si="3"/>
        <v>1</v>
      </c>
      <c r="AB17" s="1815">
        <f t="shared" si="4"/>
        <v>1</v>
      </c>
      <c r="AC17" s="1815">
        <f t="shared" si="5"/>
        <v>1</v>
      </c>
    </row>
    <row r="18" spans="1:29" ht="15">
      <c r="A18" s="429"/>
      <c r="B18" s="457"/>
      <c r="C18" s="2612"/>
      <c r="D18" s="451"/>
      <c r="E18" s="2613"/>
      <c r="F18" s="451"/>
      <c r="G18" s="2614"/>
      <c r="H18" s="449"/>
      <c r="I18" s="2614"/>
      <c r="J18" s="449"/>
      <c r="K18" s="2610"/>
      <c r="L18" s="1143"/>
      <c r="M18" s="1134"/>
      <c r="N18" s="1134"/>
      <c r="O18" s="1134"/>
      <c r="P18" s="3296"/>
      <c r="Q18" s="1814"/>
      <c r="R18" s="774"/>
      <c r="S18" s="775"/>
      <c r="T18" s="774"/>
      <c r="U18" s="775"/>
      <c r="V18" s="774"/>
      <c r="W18" s="775"/>
      <c r="X18" s="1817"/>
      <c r="Y18" s="3298"/>
      <c r="Z18" s="1818"/>
      <c r="AA18" s="1815">
        <v>1</v>
      </c>
      <c r="AB18" s="1815">
        <v>1</v>
      </c>
      <c r="AC18" s="1815">
        <v>1</v>
      </c>
    </row>
    <row r="19" spans="1:29" ht="42.75">
      <c r="A19" s="429"/>
      <c r="B19" s="452" t="s">
        <v>2092</v>
      </c>
      <c r="C19" s="2611"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96"/>
      <c r="Q19" s="1814" t="str">
        <f>B19</f>
        <v>公共配套设施</v>
      </c>
      <c r="R19" s="774" t="s">
        <v>21</v>
      </c>
      <c r="S19" s="775">
        <f>F19</f>
        <v>100</v>
      </c>
      <c r="T19" s="774" t="s">
        <v>21</v>
      </c>
      <c r="U19" s="775">
        <f>H19</f>
        <v>100</v>
      </c>
      <c r="V19" s="774" t="s">
        <v>21</v>
      </c>
      <c r="W19" s="775">
        <f>J19</f>
        <v>100</v>
      </c>
      <c r="X19" s="1817"/>
      <c r="Y19" s="3298"/>
      <c r="Z19" s="1818" t="str">
        <f>Q19</f>
        <v>公共配套设施</v>
      </c>
      <c r="AA19" s="1815">
        <f t="shared" si="3"/>
        <v>1</v>
      </c>
      <c r="AB19" s="1815">
        <f t="shared" si="4"/>
        <v>1</v>
      </c>
      <c r="AC19" s="1815">
        <f t="shared" si="5"/>
        <v>1</v>
      </c>
    </row>
    <row r="20" spans="1:29" ht="15">
      <c r="A20" s="429"/>
      <c r="B20" s="457"/>
      <c r="C20" s="448"/>
      <c r="D20" s="449"/>
      <c r="E20" s="2608"/>
      <c r="F20" s="449"/>
      <c r="G20" s="2609"/>
      <c r="H20" s="449"/>
      <c r="I20" s="2609"/>
      <c r="J20" s="449"/>
      <c r="K20" s="2610"/>
      <c r="L20" s="1143"/>
      <c r="M20" s="1134"/>
      <c r="N20" s="1134"/>
      <c r="O20" s="1134"/>
      <c r="P20" s="3296"/>
      <c r="Q20" s="1814"/>
      <c r="R20" s="774"/>
      <c r="S20" s="775"/>
      <c r="T20" s="774"/>
      <c r="U20" s="775"/>
      <c r="V20" s="774"/>
      <c r="W20" s="775"/>
      <c r="X20" s="1817"/>
      <c r="Y20" s="3298"/>
      <c r="Z20" s="1818"/>
      <c r="AA20" s="1815">
        <v>1</v>
      </c>
      <c r="AB20" s="1815">
        <v>1</v>
      </c>
      <c r="AC20" s="1815">
        <v>1</v>
      </c>
    </row>
    <row r="21" spans="1:29" ht="42.75">
      <c r="A21" s="429"/>
      <c r="B21" s="1387" t="s">
        <v>2094</v>
      </c>
      <c r="C21" s="2611" t="str">
        <f>估价对象房地状况!C8</f>
        <v>估价对象所在区域基础设施水平可达红线外“七通”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96"/>
      <c r="Q21" s="1814" t="str">
        <f>B21</f>
        <v>基础设施水平</v>
      </c>
      <c r="R21" s="774" t="s">
        <v>17</v>
      </c>
      <c r="S21" s="775">
        <f>F21</f>
        <v>100</v>
      </c>
      <c r="T21" s="774" t="s">
        <v>17</v>
      </c>
      <c r="U21" s="775">
        <f>H21</f>
        <v>100</v>
      </c>
      <c r="V21" s="774" t="s">
        <v>17</v>
      </c>
      <c r="W21" s="775">
        <f>J21</f>
        <v>100</v>
      </c>
      <c r="X21" s="1817"/>
      <c r="Y21" s="329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49"/>
      <c r="G22" s="2615"/>
      <c r="H22" s="449"/>
      <c r="I22" s="448"/>
      <c r="J22" s="449"/>
      <c r="K22" s="2616"/>
      <c r="L22" s="1143"/>
      <c r="M22" s="1134"/>
      <c r="N22" s="1134"/>
      <c r="O22" s="1134"/>
      <c r="P22" s="3296"/>
      <c r="Q22" s="1814"/>
      <c r="R22" s="774"/>
      <c r="S22" s="775"/>
      <c r="T22" s="774"/>
      <c r="U22" s="775"/>
      <c r="V22" s="774"/>
      <c r="W22" s="775"/>
      <c r="X22" s="1817"/>
      <c r="Y22" s="3298"/>
      <c r="Z22" s="1818"/>
      <c r="AA22" s="1815">
        <v>1</v>
      </c>
      <c r="AB22" s="1815">
        <v>1</v>
      </c>
      <c r="AC22" s="1815">
        <v>1</v>
      </c>
    </row>
    <row r="23" spans="1:29" ht="128.25">
      <c r="A23" s="429"/>
      <c r="B23" s="452" t="s">
        <v>2096</v>
      </c>
      <c r="C23" s="2611" t="str">
        <f>估价对象房地状况!C9</f>
        <v>区域有一定数量大型绿化，自然环境一般：周边有一定数量图书馆，歌剧院等，无高等院校等，人文环境一般；综合评价环境状况一般。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96"/>
      <c r="Q23" s="1814" t="str">
        <f>B23</f>
        <v>自然及人文环境</v>
      </c>
      <c r="R23" s="774" t="s">
        <v>21</v>
      </c>
      <c r="S23" s="775">
        <f>F23</f>
        <v>100</v>
      </c>
      <c r="T23" s="774" t="s">
        <v>21</v>
      </c>
      <c r="U23" s="775">
        <f>H23</f>
        <v>100</v>
      </c>
      <c r="V23" s="774" t="s">
        <v>21</v>
      </c>
      <c r="W23" s="775">
        <f>J23</f>
        <v>100</v>
      </c>
      <c r="X23" s="1817"/>
      <c r="Y23" s="3298"/>
      <c r="Z23" s="1818" t="str">
        <f>Q23</f>
        <v>自然及人文环境</v>
      </c>
      <c r="AA23" s="1815">
        <f>D23/F23</f>
        <v>1</v>
      </c>
      <c r="AB23" s="1815">
        <f>D23/H23</f>
        <v>1</v>
      </c>
      <c r="AC23" s="1815">
        <f>D23/J23</f>
        <v>1</v>
      </c>
    </row>
    <row r="24" spans="1:29" ht="15">
      <c r="A24" s="429"/>
      <c r="B24" s="457"/>
      <c r="C24" s="448"/>
      <c r="D24" s="449"/>
      <c r="E24" s="2608"/>
      <c r="F24" s="449"/>
      <c r="G24" s="2609"/>
      <c r="H24" s="449"/>
      <c r="I24" s="2609"/>
      <c r="J24" s="449"/>
      <c r="K24" s="2610"/>
      <c r="L24" s="1143"/>
      <c r="M24" s="1134"/>
      <c r="N24" s="1134"/>
      <c r="O24" s="1134"/>
      <c r="P24" s="3296"/>
      <c r="Q24" s="1814"/>
      <c r="R24" s="774"/>
      <c r="S24" s="775"/>
      <c r="T24" s="774"/>
      <c r="U24" s="775"/>
      <c r="V24" s="774"/>
      <c r="W24" s="775"/>
      <c r="X24" s="1817"/>
      <c r="Y24" s="3298"/>
      <c r="Z24" s="1818"/>
      <c r="AA24" s="1815">
        <v>1</v>
      </c>
      <c r="AB24" s="1815">
        <v>1</v>
      </c>
      <c r="AC24" s="1815">
        <v>1</v>
      </c>
    </row>
    <row r="25" spans="1:29" ht="15">
      <c r="A25" s="429"/>
      <c r="B25" s="423" t="s">
        <v>2555</v>
      </c>
      <c r="C25" s="461"/>
      <c r="D25" s="436">
        <v>100</v>
      </c>
      <c r="E25" s="2617"/>
      <c r="F25" s="436">
        <f>SUMIF(86:86,E25,87:87)-SUMIF(86:86,C25,87:87)+100</f>
        <v>100</v>
      </c>
      <c r="G25" s="2618"/>
      <c r="H25" s="436">
        <f>SUMIF(86:86,G25,87:87)-SUMIF(86:86,C25,87:87)+100</f>
        <v>100</v>
      </c>
      <c r="I25" s="2618"/>
      <c r="J25" s="436">
        <f>SUMIF(86:86,I25,87:87)-SUMIF(86:86,C25,87:87)+100</f>
        <v>100</v>
      </c>
      <c r="K25" s="427"/>
      <c r="L25" s="1143"/>
      <c r="M25" s="1134"/>
      <c r="N25" s="1134"/>
      <c r="O25" s="1134"/>
      <c r="P25" s="3296"/>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98"/>
      <c r="Z25" s="1818" t="str">
        <f>Q25</f>
        <v>楼层-1</v>
      </c>
      <c r="AA25" s="1815">
        <f t="shared" ref="AA25:AA46" si="15">D25/F25</f>
        <v>1</v>
      </c>
      <c r="AB25" s="1815">
        <f t="shared" ref="AB25:AB46" si="16">D25/H25</f>
        <v>1</v>
      </c>
      <c r="AC25" s="1815">
        <f t="shared" ref="AC25:AC46" si="17">D25/J25</f>
        <v>1</v>
      </c>
    </row>
    <row r="26" spans="1:29" ht="15">
      <c r="A26" s="429"/>
      <c r="B26" s="423" t="s">
        <v>2556</v>
      </c>
      <c r="C26" s="461"/>
      <c r="D26" s="436">
        <v>100</v>
      </c>
      <c r="E26" s="2617"/>
      <c r="F26" s="436">
        <f>SUMIF(88:88,E26,89:89)-SUMIF(88:88,C26,89:89)+100</f>
        <v>100</v>
      </c>
      <c r="G26" s="2618"/>
      <c r="H26" s="436">
        <f>SUMIF(88:88,G26,89:89)-SUMIF(88:88,C26,89:89)+100</f>
        <v>100</v>
      </c>
      <c r="I26" s="2618"/>
      <c r="J26" s="436">
        <f>SUMIF(88:88,I26,89:89)-SUMIF(88:88,C26,89:89)+100</f>
        <v>100</v>
      </c>
      <c r="K26" s="427"/>
      <c r="L26" s="1143"/>
      <c r="M26" s="1134"/>
      <c r="N26" s="1134"/>
      <c r="O26" s="1134"/>
      <c r="P26" s="3296"/>
      <c r="Q26" s="1814" t="str">
        <f t="shared" si="11"/>
        <v>朝向</v>
      </c>
      <c r="R26" s="774" t="s">
        <v>21</v>
      </c>
      <c r="S26" s="775">
        <f t="shared" si="12"/>
        <v>100</v>
      </c>
      <c r="T26" s="774" t="s">
        <v>21</v>
      </c>
      <c r="U26" s="775">
        <f t="shared" si="13"/>
        <v>100</v>
      </c>
      <c r="V26" s="774" t="s">
        <v>21</v>
      </c>
      <c r="W26" s="775">
        <f t="shared" si="14"/>
        <v>100</v>
      </c>
      <c r="X26" s="1817"/>
      <c r="Y26" s="3298"/>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5"/>
      <c r="L27" s="1135"/>
      <c r="M27" s="1136"/>
      <c r="N27" s="1136"/>
      <c r="O27" s="1136"/>
      <c r="P27" s="3296"/>
      <c r="Q27" s="1799">
        <f t="shared" si="11"/>
        <v>111</v>
      </c>
      <c r="R27" s="770" t="s">
        <v>21</v>
      </c>
      <c r="S27" s="771">
        <f t="shared" si="12"/>
        <v>100</v>
      </c>
      <c r="T27" s="770" t="s">
        <v>21</v>
      </c>
      <c r="U27" s="771">
        <f t="shared" si="13"/>
        <v>100</v>
      </c>
      <c r="V27" s="770" t="s">
        <v>21</v>
      </c>
      <c r="W27" s="771">
        <f t="shared" si="14"/>
        <v>100</v>
      </c>
      <c r="X27" s="772"/>
      <c r="Y27" s="3298"/>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19"/>
      <c r="H28" s="436">
        <f>SUMIF(92:92,G28,93:93)-SUMIF(92:92,C28,93:93)+100</f>
        <v>100</v>
      </c>
      <c r="I28" s="435"/>
      <c r="J28" s="436">
        <f>SUMIF(92:92,I28,93:93)-SUMIF(92:92,C28,93:93)+100</f>
        <v>100</v>
      </c>
      <c r="K28" s="2605"/>
      <c r="L28" s="1143"/>
      <c r="M28" s="1134"/>
      <c r="N28" s="1134"/>
      <c r="O28" s="1134"/>
      <c r="P28" s="3296"/>
      <c r="Q28" s="1814">
        <f t="shared" si="11"/>
        <v>111</v>
      </c>
      <c r="R28" s="774" t="s">
        <v>21</v>
      </c>
      <c r="S28" s="775">
        <f t="shared" si="12"/>
        <v>100</v>
      </c>
      <c r="T28" s="774" t="s">
        <v>21</v>
      </c>
      <c r="U28" s="775">
        <f t="shared" si="13"/>
        <v>100</v>
      </c>
      <c r="V28" s="774" t="s">
        <v>21</v>
      </c>
      <c r="W28" s="775">
        <f t="shared" si="14"/>
        <v>100</v>
      </c>
      <c r="X28" s="1817"/>
      <c r="Y28" s="3298"/>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19"/>
      <c r="H29" s="436">
        <f>SUMIF(94:94,G29,95:95)-SUMIF(94:94,C29,95:95)+100</f>
        <v>100</v>
      </c>
      <c r="I29" s="435"/>
      <c r="J29" s="436">
        <f>SUMIF(94:94,I29,95:95)-SUMIF(94:94,C29,95:95)+100</f>
        <v>100</v>
      </c>
      <c r="K29" s="2605"/>
      <c r="L29" s="1143"/>
      <c r="M29" s="1134"/>
      <c r="N29" s="1134"/>
      <c r="O29" s="1134"/>
      <c r="P29" s="3296"/>
      <c r="Q29" s="1814">
        <f t="shared" si="11"/>
        <v>111</v>
      </c>
      <c r="R29" s="774" t="s">
        <v>21</v>
      </c>
      <c r="S29" s="775">
        <f t="shared" si="12"/>
        <v>100</v>
      </c>
      <c r="T29" s="774" t="s">
        <v>21</v>
      </c>
      <c r="U29" s="775">
        <f t="shared" si="13"/>
        <v>100</v>
      </c>
      <c r="V29" s="774" t="s">
        <v>21</v>
      </c>
      <c r="W29" s="775">
        <f t="shared" si="14"/>
        <v>100</v>
      </c>
      <c r="X29" s="1817"/>
      <c r="Y29" s="3298"/>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19"/>
      <c r="H30" s="436">
        <f>SUMIF(96:96,G30,97:97)-SUMIF(96:96,C30,97:97)+100</f>
        <v>100</v>
      </c>
      <c r="I30" s="435"/>
      <c r="J30" s="436">
        <f>SUMIF(96:96,I30,97:97)-SUMIF(96:96,C30,97:97)+100</f>
        <v>100</v>
      </c>
      <c r="K30" s="2605"/>
      <c r="L30" s="1143"/>
      <c r="M30" s="1134"/>
      <c r="N30" s="1134"/>
      <c r="O30" s="1134"/>
      <c r="P30" s="3296"/>
      <c r="Q30" s="1814">
        <f t="shared" si="11"/>
        <v>111</v>
      </c>
      <c r="R30" s="774" t="s">
        <v>21</v>
      </c>
      <c r="S30" s="775">
        <f t="shared" si="12"/>
        <v>100</v>
      </c>
      <c r="T30" s="774" t="s">
        <v>21</v>
      </c>
      <c r="U30" s="775">
        <f t="shared" si="13"/>
        <v>100</v>
      </c>
      <c r="V30" s="774" t="s">
        <v>21</v>
      </c>
      <c r="W30" s="775">
        <f t="shared" si="14"/>
        <v>100</v>
      </c>
      <c r="X30" s="1817"/>
      <c r="Y30" s="3298"/>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0"/>
      <c r="H31" s="439">
        <f>SUMIF(98:98,G31,99:99)-SUMIF(98:98,C31,99:99)+100</f>
        <v>100</v>
      </c>
      <c r="I31" s="438"/>
      <c r="J31" s="439">
        <f>SUMIF(98:98,I31,99:99)-SUMIF(98:98,C31,99:99)+100</f>
        <v>100</v>
      </c>
      <c r="K31" s="2605"/>
      <c r="L31" s="1143"/>
      <c r="M31" s="1134"/>
      <c r="N31" s="1134"/>
      <c r="O31" s="1134"/>
      <c r="P31" s="3296"/>
      <c r="Q31" s="1814">
        <f t="shared" si="11"/>
        <v>111</v>
      </c>
      <c r="R31" s="774" t="s">
        <v>21</v>
      </c>
      <c r="S31" s="775">
        <f t="shared" si="12"/>
        <v>100</v>
      </c>
      <c r="T31" s="774" t="s">
        <v>21</v>
      </c>
      <c r="U31" s="775">
        <f t="shared" si="13"/>
        <v>100</v>
      </c>
      <c r="V31" s="774" t="s">
        <v>21</v>
      </c>
      <c r="W31" s="775">
        <f t="shared" si="14"/>
        <v>100</v>
      </c>
      <c r="X31" s="1817"/>
      <c r="Y31" s="3298"/>
      <c r="Z31" s="1818">
        <f t="shared" si="18"/>
        <v>111</v>
      </c>
      <c r="AA31" s="1815">
        <f t="shared" si="15"/>
        <v>1</v>
      </c>
      <c r="AB31" s="1815">
        <f t="shared" si="16"/>
        <v>1</v>
      </c>
      <c r="AC31" s="1815">
        <f t="shared" si="17"/>
        <v>1</v>
      </c>
    </row>
    <row r="32" spans="1:29" ht="15">
      <c r="A32" s="441" t="s">
        <v>2557</v>
      </c>
      <c r="B32" s="71" t="s">
        <v>2558</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3"/>
      <c r="M32" s="1134"/>
      <c r="N32" s="1134"/>
      <c r="O32" s="1134"/>
      <c r="P32" s="3299" t="s">
        <v>2559</v>
      </c>
      <c r="Q32" s="1814" t="str">
        <f t="shared" si="11"/>
        <v>建筑类型</v>
      </c>
      <c r="R32" s="774" t="s">
        <v>21</v>
      </c>
      <c r="S32" s="775">
        <f t="shared" si="12"/>
        <v>100</v>
      </c>
      <c r="T32" s="774" t="s">
        <v>21</v>
      </c>
      <c r="U32" s="775">
        <f t="shared" si="13"/>
        <v>100</v>
      </c>
      <c r="V32" s="774" t="s">
        <v>21</v>
      </c>
      <c r="W32" s="775">
        <f t="shared" si="14"/>
        <v>100</v>
      </c>
      <c r="X32" s="1817"/>
      <c r="Y32" s="3302" t="s">
        <v>2559</v>
      </c>
      <c r="Z32" s="1818" t="str">
        <f t="shared" si="18"/>
        <v>建筑类型</v>
      </c>
      <c r="AA32" s="1815">
        <f t="shared" si="15"/>
        <v>1</v>
      </c>
      <c r="AB32" s="1815">
        <f t="shared" si="16"/>
        <v>1</v>
      </c>
      <c r="AC32" s="1815">
        <f t="shared" si="17"/>
        <v>1</v>
      </c>
    </row>
    <row r="33" spans="1:29" s="472" customFormat="1" ht="15">
      <c r="A33" s="469"/>
      <c r="B33" s="423" t="s">
        <v>2560</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1"/>
      <c r="M33" s="1144"/>
      <c r="N33" s="1144"/>
      <c r="O33" s="1144"/>
      <c r="P33" s="3300"/>
      <c r="Q33" s="776" t="str">
        <f t="shared" si="11"/>
        <v>项目建筑规模</v>
      </c>
      <c r="R33" s="777" t="s">
        <v>21</v>
      </c>
      <c r="S33" s="778" t="e">
        <f t="shared" si="12"/>
        <v>#N/A</v>
      </c>
      <c r="T33" s="777" t="s">
        <v>21</v>
      </c>
      <c r="U33" s="778" t="e">
        <f t="shared" si="13"/>
        <v>#N/A</v>
      </c>
      <c r="V33" s="777" t="s">
        <v>21</v>
      </c>
      <c r="W33" s="778" t="e">
        <f t="shared" si="14"/>
        <v>#N/A</v>
      </c>
      <c r="X33" s="779"/>
      <c r="Y33" s="3302"/>
      <c r="Z33" s="780" t="str">
        <f t="shared" si="18"/>
        <v>项目建筑规模</v>
      </c>
      <c r="AA33" s="1815" t="e">
        <f t="shared" si="15"/>
        <v>#N/A</v>
      </c>
      <c r="AB33" s="1815" t="e">
        <f t="shared" si="16"/>
        <v>#N/A</v>
      </c>
      <c r="AC33" s="1815" t="e">
        <f t="shared" si="17"/>
        <v>#N/A</v>
      </c>
    </row>
    <row r="34" spans="1:29" ht="15">
      <c r="A34" s="473"/>
      <c r="B34" s="423" t="s">
        <v>2561</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3"/>
      <c r="M34" s="1134"/>
      <c r="N34" s="1134"/>
      <c r="O34" s="1134"/>
      <c r="P34" s="3300"/>
      <c r="Q34" s="1814" t="str">
        <f t="shared" si="11"/>
        <v>建筑结构</v>
      </c>
      <c r="R34" s="774" t="s">
        <v>21</v>
      </c>
      <c r="S34" s="775">
        <f t="shared" si="12"/>
        <v>100</v>
      </c>
      <c r="T34" s="774" t="s">
        <v>21</v>
      </c>
      <c r="U34" s="775">
        <f t="shared" si="13"/>
        <v>100</v>
      </c>
      <c r="V34" s="774" t="s">
        <v>21</v>
      </c>
      <c r="W34" s="775">
        <f t="shared" si="14"/>
        <v>100</v>
      </c>
      <c r="X34" s="1817"/>
      <c r="Y34" s="3302"/>
      <c r="Z34" s="1818" t="str">
        <f t="shared" si="18"/>
        <v>建筑结构</v>
      </c>
      <c r="AA34" s="1815">
        <f t="shared" si="15"/>
        <v>1</v>
      </c>
      <c r="AB34" s="1815">
        <f t="shared" si="16"/>
        <v>1</v>
      </c>
      <c r="AC34" s="1815">
        <f t="shared" si="17"/>
        <v>1</v>
      </c>
    </row>
    <row r="35" spans="1:29" ht="15">
      <c r="A35" s="473"/>
      <c r="B35" s="423" t="s">
        <v>2562</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3"/>
      <c r="M35" s="1134"/>
      <c r="N35" s="1134"/>
      <c r="O35" s="1134"/>
      <c r="P35" s="3300"/>
      <c r="Q35" s="1814" t="str">
        <f t="shared" si="11"/>
        <v>建筑品质</v>
      </c>
      <c r="R35" s="774" t="s">
        <v>21</v>
      </c>
      <c r="S35" s="775">
        <f t="shared" si="12"/>
        <v>100</v>
      </c>
      <c r="T35" s="774" t="s">
        <v>21</v>
      </c>
      <c r="U35" s="775">
        <f t="shared" si="13"/>
        <v>100</v>
      </c>
      <c r="V35" s="774" t="s">
        <v>21</v>
      </c>
      <c r="W35" s="775">
        <f t="shared" si="14"/>
        <v>100</v>
      </c>
      <c r="X35" s="1817"/>
      <c r="Y35" s="3302"/>
      <c r="Z35" s="1818" t="str">
        <f t="shared" si="18"/>
        <v>建筑品质</v>
      </c>
      <c r="AA35" s="1815">
        <f t="shared" si="15"/>
        <v>1</v>
      </c>
      <c r="AB35" s="1815">
        <f t="shared" si="16"/>
        <v>1</v>
      </c>
      <c r="AC35" s="1815">
        <f t="shared" si="17"/>
        <v>1</v>
      </c>
    </row>
    <row r="36" spans="1:29" ht="15">
      <c r="A36" s="473"/>
      <c r="B36" s="423" t="s">
        <v>2563</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3"/>
      <c r="M36" s="1134"/>
      <c r="N36" s="1134"/>
      <c r="O36" s="1134"/>
      <c r="P36" s="3300"/>
      <c r="Q36" s="1814" t="str">
        <f t="shared" si="11"/>
        <v>公共部分装修</v>
      </c>
      <c r="R36" s="774" t="s">
        <v>21</v>
      </c>
      <c r="S36" s="775">
        <f t="shared" si="12"/>
        <v>100</v>
      </c>
      <c r="T36" s="774" t="s">
        <v>21</v>
      </c>
      <c r="U36" s="775">
        <f t="shared" si="13"/>
        <v>100</v>
      </c>
      <c r="V36" s="774" t="s">
        <v>21</v>
      </c>
      <c r="W36" s="775">
        <f t="shared" si="14"/>
        <v>100</v>
      </c>
      <c r="X36" s="1817"/>
      <c r="Y36" s="3302"/>
      <c r="Z36" s="1818" t="str">
        <f t="shared" si="18"/>
        <v>公共部分装修</v>
      </c>
      <c r="AA36" s="1815">
        <f t="shared" si="15"/>
        <v>1</v>
      </c>
      <c r="AB36" s="1815">
        <f t="shared" si="16"/>
        <v>1</v>
      </c>
      <c r="AC36" s="1815">
        <f t="shared" si="17"/>
        <v>1</v>
      </c>
    </row>
    <row r="37" spans="1:29" s="117" customFormat="1" ht="15">
      <c r="A37" s="474"/>
      <c r="B37" s="423" t="s">
        <v>2564</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300"/>
      <c r="Q37" s="1799" t="str">
        <f t="shared" si="11"/>
        <v>成新度</v>
      </c>
      <c r="R37" s="770" t="s">
        <v>21</v>
      </c>
      <c r="S37" s="771" t="e">
        <f t="shared" si="12"/>
        <v>#N/A</v>
      </c>
      <c r="T37" s="770" t="s">
        <v>21</v>
      </c>
      <c r="U37" s="771" t="e">
        <f t="shared" si="13"/>
        <v>#N/A</v>
      </c>
      <c r="V37" s="770" t="s">
        <v>21</v>
      </c>
      <c r="W37" s="771" t="e">
        <f t="shared" si="14"/>
        <v>#N/A</v>
      </c>
      <c r="X37" s="772"/>
      <c r="Y37" s="3302"/>
      <c r="Z37" s="55" t="str">
        <f t="shared" si="18"/>
        <v>成新度</v>
      </c>
      <c r="AA37" s="773" t="e">
        <f t="shared" si="15"/>
        <v>#N/A</v>
      </c>
      <c r="AB37" s="773" t="e">
        <f t="shared" si="16"/>
        <v>#N/A</v>
      </c>
      <c r="AC37" s="773" t="e">
        <f t="shared" si="17"/>
        <v>#N/A</v>
      </c>
    </row>
    <row r="38" spans="1:29" ht="15">
      <c r="A38" s="473"/>
      <c r="B38" s="423" t="s">
        <v>2565</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3"/>
      <c r="M38" s="1134"/>
      <c r="N38" s="1134"/>
      <c r="O38" s="1134"/>
      <c r="P38" s="3300" t="s">
        <v>2559</v>
      </c>
      <c r="Q38" s="1814" t="str">
        <f t="shared" si="11"/>
        <v>物业管理</v>
      </c>
      <c r="R38" s="774" t="s">
        <v>21</v>
      </c>
      <c r="S38" s="775">
        <f t="shared" si="12"/>
        <v>100</v>
      </c>
      <c r="T38" s="774" t="s">
        <v>21</v>
      </c>
      <c r="U38" s="775">
        <f t="shared" si="13"/>
        <v>100</v>
      </c>
      <c r="V38" s="774" t="s">
        <v>21</v>
      </c>
      <c r="W38" s="775">
        <f t="shared" si="14"/>
        <v>100</v>
      </c>
      <c r="X38" s="1817"/>
      <c r="Y38" s="3302" t="s">
        <v>2559</v>
      </c>
      <c r="Z38" s="1818" t="str">
        <f t="shared" si="18"/>
        <v>物业管理</v>
      </c>
      <c r="AA38" s="1815">
        <f t="shared" si="15"/>
        <v>1</v>
      </c>
      <c r="AB38" s="1815">
        <f t="shared" si="16"/>
        <v>1</v>
      </c>
      <c r="AC38" s="1815">
        <f t="shared" si="17"/>
        <v>1</v>
      </c>
    </row>
    <row r="39" spans="1:29" ht="15">
      <c r="A39" s="473"/>
      <c r="B39" s="423" t="s">
        <v>2566</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3"/>
      <c r="M39" s="1134"/>
      <c r="N39" s="1134"/>
      <c r="O39" s="1134"/>
      <c r="P39" s="3300"/>
      <c r="Q39" s="1814" t="str">
        <f t="shared" si="11"/>
        <v>市政基础设施</v>
      </c>
      <c r="R39" s="774" t="s">
        <v>21</v>
      </c>
      <c r="S39" s="775">
        <f t="shared" si="12"/>
        <v>100</v>
      </c>
      <c r="T39" s="774" t="s">
        <v>21</v>
      </c>
      <c r="U39" s="775">
        <f t="shared" si="13"/>
        <v>100</v>
      </c>
      <c r="V39" s="774" t="s">
        <v>21</v>
      </c>
      <c r="W39" s="775">
        <f t="shared" si="14"/>
        <v>100</v>
      </c>
      <c r="X39" s="1817"/>
      <c r="Y39" s="3302"/>
      <c r="Z39" s="1818" t="str">
        <f t="shared" si="18"/>
        <v>市政基础设施</v>
      </c>
      <c r="AA39" s="1815">
        <f t="shared" si="15"/>
        <v>1</v>
      </c>
      <c r="AB39" s="1815">
        <f t="shared" si="16"/>
        <v>1</v>
      </c>
      <c r="AC39" s="1815">
        <f t="shared" si="17"/>
        <v>1</v>
      </c>
    </row>
    <row r="40" spans="1:29" ht="15">
      <c r="A40" s="473"/>
      <c r="B40" s="423" t="s">
        <v>2567</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3"/>
      <c r="M40" s="1134"/>
      <c r="N40" s="1134"/>
      <c r="O40" s="1134"/>
      <c r="P40" s="3300"/>
      <c r="Q40" s="1814" t="str">
        <f t="shared" si="11"/>
        <v>房型</v>
      </c>
      <c r="R40" s="774" t="s">
        <v>21</v>
      </c>
      <c r="S40" s="775">
        <f t="shared" si="12"/>
        <v>100</v>
      </c>
      <c r="T40" s="774" t="s">
        <v>21</v>
      </c>
      <c r="U40" s="775">
        <f t="shared" si="13"/>
        <v>100</v>
      </c>
      <c r="V40" s="774" t="s">
        <v>21</v>
      </c>
      <c r="W40" s="775">
        <f t="shared" si="14"/>
        <v>100</v>
      </c>
      <c r="X40" s="1817"/>
      <c r="Y40" s="3302"/>
      <c r="Z40" s="1818" t="str">
        <f t="shared" si="18"/>
        <v>房型</v>
      </c>
      <c r="AA40" s="1815">
        <f t="shared" si="15"/>
        <v>1</v>
      </c>
      <c r="AB40" s="1815">
        <f t="shared" si="16"/>
        <v>1</v>
      </c>
      <c r="AC40" s="1815">
        <f t="shared" si="17"/>
        <v>1</v>
      </c>
    </row>
    <row r="41" spans="1:29" s="472" customFormat="1" ht="28.5">
      <c r="A41" s="469"/>
      <c r="B41" s="423" t="s">
        <v>2568</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1"/>
      <c r="M41" s="1144"/>
      <c r="N41" s="1144"/>
      <c r="O41" s="1144"/>
      <c r="P41" s="3300"/>
      <c r="Q41" s="776" t="str">
        <f t="shared" si="11"/>
        <v>单套/主力户型建筑面积</v>
      </c>
      <c r="R41" s="777" t="s">
        <v>21</v>
      </c>
      <c r="S41" s="778">
        <f t="shared" si="12"/>
        <v>100</v>
      </c>
      <c r="T41" s="777" t="s">
        <v>21</v>
      </c>
      <c r="U41" s="778">
        <f t="shared" si="13"/>
        <v>100</v>
      </c>
      <c r="V41" s="777" t="s">
        <v>21</v>
      </c>
      <c r="W41" s="778">
        <f t="shared" si="14"/>
        <v>100</v>
      </c>
      <c r="X41" s="779"/>
      <c r="Y41" s="3302"/>
      <c r="Z41" s="780" t="str">
        <f t="shared" si="18"/>
        <v>单套/主力户型建筑面积</v>
      </c>
      <c r="AA41" s="1815">
        <f t="shared" si="15"/>
        <v>1</v>
      </c>
      <c r="AB41" s="1815">
        <f t="shared" si="16"/>
        <v>1</v>
      </c>
      <c r="AC41" s="1815">
        <f t="shared" si="17"/>
        <v>1</v>
      </c>
    </row>
    <row r="42" spans="1:29" ht="15">
      <c r="A42" s="473"/>
      <c r="B42" s="423" t="s">
        <v>2569</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3"/>
      <c r="M42" s="1134"/>
      <c r="N42" s="1134"/>
      <c r="O42" s="1134"/>
      <c r="P42" s="3300"/>
      <c r="Q42" s="1814" t="str">
        <f t="shared" si="11"/>
        <v>内部装修</v>
      </c>
      <c r="R42" s="774" t="s">
        <v>21</v>
      </c>
      <c r="S42" s="775">
        <f t="shared" si="12"/>
        <v>100</v>
      </c>
      <c r="T42" s="774" t="s">
        <v>21</v>
      </c>
      <c r="U42" s="775">
        <f t="shared" si="13"/>
        <v>100</v>
      </c>
      <c r="V42" s="774" t="s">
        <v>21</v>
      </c>
      <c r="W42" s="775">
        <f t="shared" si="14"/>
        <v>100</v>
      </c>
      <c r="X42" s="1817"/>
      <c r="Y42" s="3302"/>
      <c r="Z42" s="1818" t="str">
        <f t="shared" si="18"/>
        <v>内部装修</v>
      </c>
      <c r="AA42" s="1815">
        <f t="shared" si="15"/>
        <v>1</v>
      </c>
      <c r="AB42" s="1815">
        <f t="shared" si="16"/>
        <v>1</v>
      </c>
      <c r="AC42" s="1815">
        <f t="shared" si="17"/>
        <v>1</v>
      </c>
    </row>
    <row r="43" spans="1:29" ht="15">
      <c r="A43" s="473"/>
      <c r="B43" s="423" t="s">
        <v>2570</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3"/>
      <c r="M43" s="1134"/>
      <c r="N43" s="1134"/>
      <c r="O43" s="1134"/>
      <c r="P43" s="3300"/>
      <c r="Q43" s="1814" t="str">
        <f t="shared" si="11"/>
        <v>内部装修维护情况</v>
      </c>
      <c r="R43" s="774" t="s">
        <v>21</v>
      </c>
      <c r="S43" s="775">
        <f t="shared" si="12"/>
        <v>100</v>
      </c>
      <c r="T43" s="774" t="s">
        <v>21</v>
      </c>
      <c r="U43" s="775">
        <f t="shared" si="13"/>
        <v>100</v>
      </c>
      <c r="V43" s="774" t="s">
        <v>21</v>
      </c>
      <c r="W43" s="775">
        <f t="shared" si="14"/>
        <v>100</v>
      </c>
      <c r="X43" s="1817"/>
      <c r="Y43" s="3302"/>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5"/>
      <c r="M44" s="1136"/>
      <c r="N44" s="1136"/>
      <c r="O44" s="1136"/>
      <c r="P44" s="3300"/>
      <c r="Q44" s="1799">
        <f t="shared" si="11"/>
        <v>111</v>
      </c>
      <c r="R44" s="770" t="s">
        <v>21</v>
      </c>
      <c r="S44" s="771">
        <f t="shared" si="12"/>
        <v>100</v>
      </c>
      <c r="T44" s="770" t="s">
        <v>21</v>
      </c>
      <c r="U44" s="771">
        <f t="shared" si="13"/>
        <v>100</v>
      </c>
      <c r="V44" s="770" t="s">
        <v>21</v>
      </c>
      <c r="W44" s="771">
        <f t="shared" si="14"/>
        <v>100</v>
      </c>
      <c r="X44" s="772"/>
      <c r="Y44" s="3302"/>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3"/>
      <c r="M45" s="1134"/>
      <c r="N45" s="1134"/>
      <c r="O45" s="1134"/>
      <c r="P45" s="3300"/>
      <c r="Q45" s="1814">
        <f t="shared" si="11"/>
        <v>111</v>
      </c>
      <c r="R45" s="774" t="s">
        <v>21</v>
      </c>
      <c r="S45" s="775">
        <f t="shared" si="12"/>
        <v>100</v>
      </c>
      <c r="T45" s="774" t="s">
        <v>21</v>
      </c>
      <c r="U45" s="775">
        <f t="shared" si="13"/>
        <v>100</v>
      </c>
      <c r="V45" s="774" t="s">
        <v>21</v>
      </c>
      <c r="W45" s="775">
        <f t="shared" si="14"/>
        <v>100</v>
      </c>
      <c r="X45" s="1817"/>
      <c r="Y45" s="3302"/>
      <c r="Z45" s="1818">
        <f t="shared" si="18"/>
        <v>111</v>
      </c>
      <c r="AA45" s="1815">
        <f t="shared" si="15"/>
        <v>1</v>
      </c>
      <c r="AB45" s="1815">
        <f t="shared" si="16"/>
        <v>1</v>
      </c>
      <c r="AC45" s="1815">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3"/>
      <c r="M46" s="1134"/>
      <c r="N46" s="1134"/>
      <c r="O46" s="1134"/>
      <c r="P46" s="3301"/>
      <c r="Q46" s="1814">
        <f t="shared" si="11"/>
        <v>111</v>
      </c>
      <c r="R46" s="774" t="s">
        <v>20</v>
      </c>
      <c r="S46" s="775">
        <f t="shared" si="12"/>
        <v>100</v>
      </c>
      <c r="T46" s="774" t="s">
        <v>20</v>
      </c>
      <c r="U46" s="775">
        <f t="shared" si="13"/>
        <v>100</v>
      </c>
      <c r="V46" s="774" t="s">
        <v>20</v>
      </c>
      <c r="W46" s="775">
        <f t="shared" si="14"/>
        <v>100</v>
      </c>
      <c r="X46" s="1817"/>
      <c r="Y46" s="3303"/>
      <c r="Z46" s="1818">
        <f t="shared" si="18"/>
        <v>111</v>
      </c>
      <c r="AA46" s="1815">
        <f t="shared" si="15"/>
        <v>1</v>
      </c>
      <c r="AB46" s="1815">
        <f t="shared" si="16"/>
        <v>1</v>
      </c>
      <c r="AC46" s="1815">
        <f t="shared" si="17"/>
        <v>1</v>
      </c>
    </row>
    <row r="47" spans="1:29" ht="15">
      <c r="A47" s="480" t="s">
        <v>2571</v>
      </c>
      <c r="B47" s="481"/>
      <c r="C47" s="1410" t="s">
        <v>19</v>
      </c>
      <c r="D47" s="1411"/>
      <c r="E47" s="1412"/>
      <c r="F47" s="1413"/>
      <c r="G47" s="1414"/>
      <c r="H47" s="1415"/>
      <c r="I47" s="1412"/>
      <c r="J47" s="1415"/>
      <c r="K47" s="2625"/>
      <c r="L47" s="1146"/>
      <c r="M47" s="1147"/>
      <c r="N47" s="1134"/>
      <c r="O47" s="1147"/>
      <c r="P47" s="3304" t="str">
        <f>A47</f>
        <v>成交单价（元/平方米）</v>
      </c>
      <c r="Q47" s="3304"/>
      <c r="R47" s="3305">
        <f>E47</f>
        <v>0</v>
      </c>
      <c r="S47" s="3305"/>
      <c r="T47" s="3305">
        <f>G47</f>
        <v>0</v>
      </c>
      <c r="U47" s="3305"/>
      <c r="V47" s="3305">
        <f>I47</f>
        <v>0</v>
      </c>
      <c r="W47" s="3305"/>
      <c r="X47" s="759"/>
      <c r="Y47" s="781"/>
      <c r="Z47" s="759"/>
      <c r="AA47" s="759"/>
      <c r="AB47" s="759"/>
      <c r="AC47" s="759"/>
    </row>
    <row r="48" spans="1:29" ht="15.75" thickBot="1">
      <c r="A48" s="487" t="s">
        <v>2572</v>
      </c>
      <c r="B48" s="488"/>
      <c r="C48" s="1416" t="e">
        <f>R49</f>
        <v>#DIV/0!</v>
      </c>
      <c r="D48" s="1417"/>
      <c r="E48" s="1418" t="e">
        <f>R48</f>
        <v>#DIV/0!</v>
      </c>
      <c r="F48" s="1418"/>
      <c r="G48" s="1416" t="e">
        <f>T48</f>
        <v>#DIV/0!</v>
      </c>
      <c r="H48" s="1417"/>
      <c r="I48" s="1418" t="e">
        <f>V48</f>
        <v>#DIV/0!</v>
      </c>
      <c r="J48" s="1417"/>
      <c r="K48" s="2626"/>
      <c r="L48" s="1146"/>
      <c r="M48" s="1147"/>
      <c r="N48" s="1147"/>
      <c r="O48" s="1147"/>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759"/>
      <c r="Y48" s="759"/>
      <c r="Z48" s="759"/>
      <c r="AA48" s="759"/>
      <c r="AB48" s="759"/>
      <c r="AC48" s="759"/>
    </row>
    <row r="49" spans="1:29" ht="15.75" thickBot="1">
      <c r="A49" s="493" t="s">
        <v>2573</v>
      </c>
      <c r="B49" s="494"/>
      <c r="C49" s="1419" t="e">
        <f>R49</f>
        <v>#DIV/0!</v>
      </c>
      <c r="D49" s="1420"/>
      <c r="E49" s="1420"/>
      <c r="F49" s="1420"/>
      <c r="G49" s="1420"/>
      <c r="H49" s="1420"/>
      <c r="I49" s="1420"/>
      <c r="J49" s="1420"/>
      <c r="K49" s="2627"/>
      <c r="L49" s="1146"/>
      <c r="M49" s="1147"/>
      <c r="N49" s="1147"/>
      <c r="O49" s="1147"/>
      <c r="P49" s="3346" t="str">
        <f>A49</f>
        <v>估价对象XX用房的比较价值（楼面单价，元/平方米）</v>
      </c>
      <c r="Q49" s="3347"/>
      <c r="R49" s="3348" t="e">
        <f>IF(F1="售价",ROUND(AVERAGE(R48:V48),0),ROUND(AVERAGE(R48:V48),1))</f>
        <v>#DIV/0!</v>
      </c>
      <c r="S49" s="3348"/>
      <c r="T49" s="3348"/>
      <c r="U49" s="3348"/>
      <c r="V49" s="3348"/>
      <c r="W49" s="33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29"/>
    </row>
    <row r="55" spans="1:29" s="503"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30"/>
      <c r="Q57" s="505"/>
    </row>
    <row r="58" spans="1:29" s="509" customFormat="1" ht="15">
      <c r="A58" s="506" t="s">
        <v>2578</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1"/>
      <c r="C59" s="1577">
        <v>100</v>
      </c>
      <c r="D59" s="512"/>
      <c r="E59" s="513"/>
      <c r="F59" s="513"/>
      <c r="G59" s="513"/>
      <c r="H59" s="513"/>
      <c r="I59" s="513"/>
      <c r="J59" s="513"/>
      <c r="K59" s="513"/>
      <c r="L59" s="513"/>
      <c r="M59" s="514"/>
      <c r="N59" s="513"/>
      <c r="O59" s="514"/>
      <c r="P59" s="2632"/>
    </row>
    <row r="60" spans="1:29" s="117" customFormat="1" ht="15.75" thickBot="1">
      <c r="A60" s="516" t="s">
        <v>2579</v>
      </c>
      <c r="B60" s="517"/>
      <c r="C60" s="518"/>
      <c r="D60" s="519"/>
      <c r="E60" s="519"/>
      <c r="F60" s="519"/>
      <c r="G60" s="519"/>
      <c r="H60" s="519"/>
      <c r="I60" s="519"/>
      <c r="J60" s="519"/>
      <c r="K60" s="519"/>
      <c r="L60" s="519"/>
      <c r="M60" s="520"/>
      <c r="N60" s="519"/>
      <c r="O60" s="520"/>
      <c r="P60" s="2632"/>
      <c r="Q60" s="505"/>
    </row>
    <row r="61" spans="1:29" s="117" customFormat="1" ht="15">
      <c r="A61" s="522" t="s">
        <v>2580</v>
      </c>
      <c r="B61" s="511"/>
      <c r="C61" s="523" t="s">
        <v>2581</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2582</v>
      </c>
      <c r="B63" s="529" t="s">
        <v>2548</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2551</v>
      </c>
      <c r="C65" s="540" t="s">
        <v>2583</v>
      </c>
      <c r="D65" s="540" t="s">
        <v>2584</v>
      </c>
      <c r="E65" s="540" t="s">
        <v>2585</v>
      </c>
      <c r="F65" s="540" t="s">
        <v>2586</v>
      </c>
      <c r="G65" s="540" t="s">
        <v>2587</v>
      </c>
      <c r="H65" s="540" t="s">
        <v>2588</v>
      </c>
      <c r="I65" s="540" t="s">
        <v>2589</v>
      </c>
      <c r="J65" s="540"/>
      <c r="K65" s="541"/>
      <c r="L65" s="542"/>
      <c r="M65" s="543"/>
      <c r="N65" s="1155"/>
      <c r="O65" s="1155"/>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4"/>
      <c r="Q66" s="505"/>
    </row>
    <row r="67" spans="1:17" ht="15.75" thickTop="1">
      <c r="A67" s="535"/>
      <c r="B67" s="547" t="s">
        <v>2552</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61"/>
      <c r="E73" s="561"/>
      <c r="F73" s="561"/>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2553</v>
      </c>
      <c r="B76" s="529" t="s">
        <v>2590</v>
      </c>
      <c r="C76" s="574" t="s">
        <v>2591</v>
      </c>
      <c r="D76" s="574" t="s">
        <v>2592</v>
      </c>
      <c r="E76" s="574" t="s">
        <v>2593</v>
      </c>
      <c r="F76" s="574" t="s">
        <v>2594</v>
      </c>
      <c r="G76" s="574" t="s">
        <v>2595</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2596</v>
      </c>
      <c r="C78" s="579" t="s">
        <v>2591</v>
      </c>
      <c r="D78" s="579" t="s">
        <v>2592</v>
      </c>
      <c r="E78" s="579" t="s">
        <v>2593</v>
      </c>
      <c r="F78" s="579" t="s">
        <v>2594</v>
      </c>
      <c r="G78" s="579" t="s">
        <v>2595</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2597</v>
      </c>
      <c r="C80" s="579" t="s">
        <v>2591</v>
      </c>
      <c r="D80" s="579" t="s">
        <v>2592</v>
      </c>
      <c r="E80" s="579" t="s">
        <v>2593</v>
      </c>
      <c r="F80" s="579" t="s">
        <v>2594</v>
      </c>
      <c r="G80" s="579" t="s">
        <v>2595</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2094</v>
      </c>
      <c r="C82" s="540" t="s">
        <v>2598</v>
      </c>
      <c r="D82" s="540" t="s">
        <v>2599</v>
      </c>
      <c r="E82" s="540" t="s">
        <v>2600</v>
      </c>
      <c r="F82" s="540" t="s">
        <v>2601</v>
      </c>
      <c r="G82" s="540" t="s">
        <v>2602</v>
      </c>
      <c r="H82" s="540"/>
      <c r="I82" s="540"/>
      <c r="J82" s="540"/>
      <c r="K82" s="540"/>
      <c r="L82" s="540"/>
      <c r="M82" s="1385"/>
      <c r="N82" s="1156"/>
      <c r="O82" s="1156"/>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4"/>
      <c r="Q83" s="505"/>
    </row>
    <row r="84" spans="1:17" ht="15.75" thickTop="1">
      <c r="A84" s="535"/>
      <c r="B84" s="539" t="s">
        <v>2603</v>
      </c>
      <c r="C84" s="579" t="s">
        <v>2591</v>
      </c>
      <c r="D84" s="579" t="s">
        <v>2592</v>
      </c>
      <c r="E84" s="579" t="s">
        <v>2593</v>
      </c>
      <c r="F84" s="579" t="s">
        <v>2594</v>
      </c>
      <c r="G84" s="579" t="s">
        <v>2595</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2604</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4"/>
      <c r="Q87" s="505"/>
    </row>
    <row r="88" spans="1:17" s="117" customFormat="1" ht="15.75" thickTop="1">
      <c r="A88" s="580"/>
      <c r="B88" s="539" t="s">
        <v>2605</v>
      </c>
      <c r="C88" s="555"/>
      <c r="D88" s="555"/>
      <c r="E88" s="555"/>
      <c r="F88" s="2639"/>
      <c r="G88" s="555"/>
      <c r="H88" s="555"/>
      <c r="I88" s="555"/>
      <c r="J88" s="555"/>
      <c r="K88" s="555"/>
      <c r="L88" s="555"/>
      <c r="M88" s="582"/>
      <c r="N88" s="1154"/>
      <c r="O88" s="1154"/>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4"/>
      <c r="Q89" s="505"/>
    </row>
    <row r="90" spans="1:17" s="472" customFormat="1" ht="15.75" thickTop="1">
      <c r="A90" s="554"/>
      <c r="B90" s="539">
        <f>B27</f>
        <v>111</v>
      </c>
      <c r="C90" s="555"/>
      <c r="D90" s="555"/>
      <c r="E90" s="555"/>
      <c r="F90" s="555"/>
      <c r="G90" s="555"/>
      <c r="H90" s="556"/>
      <c r="I90" s="556"/>
      <c r="J90" s="556"/>
      <c r="K90" s="556"/>
      <c r="L90" s="557"/>
      <c r="M90" s="558"/>
      <c r="N90" s="1157"/>
      <c r="O90" s="1157"/>
      <c r="P90" s="2635"/>
      <c r="Q90" s="560"/>
    </row>
    <row r="91" spans="1:17" s="472" customFormat="1" ht="15.75" thickBot="1">
      <c r="A91" s="554"/>
      <c r="B91" s="544"/>
      <c r="C91" s="561"/>
      <c r="D91" s="561"/>
      <c r="E91" s="561"/>
      <c r="F91" s="561"/>
      <c r="G91" s="561"/>
      <c r="H91" s="563"/>
      <c r="I91" s="563"/>
      <c r="J91" s="563"/>
      <c r="K91" s="563"/>
      <c r="L91" s="563"/>
      <c r="M91" s="564"/>
      <c r="N91" s="1157"/>
      <c r="O91" s="1157"/>
      <c r="P91" s="2635"/>
      <c r="Q91" s="560"/>
    </row>
    <row r="92" spans="1:17" ht="15.75" thickTop="1">
      <c r="A92" s="535"/>
      <c r="B92" s="539">
        <f>B28</f>
        <v>111</v>
      </c>
      <c r="C92" s="555"/>
      <c r="D92" s="555"/>
      <c r="E92" s="555"/>
      <c r="F92" s="555"/>
      <c r="G92" s="584"/>
      <c r="H92" s="584"/>
      <c r="I92" s="584"/>
      <c r="J92" s="584"/>
      <c r="K92" s="585"/>
      <c r="L92" s="586"/>
      <c r="M92" s="587"/>
      <c r="N92" s="1155"/>
      <c r="O92" s="1155"/>
      <c r="P92" s="2634"/>
      <c r="Q92" s="505"/>
    </row>
    <row r="93" spans="1:17" ht="15.75" thickBot="1">
      <c r="A93" s="535"/>
      <c r="B93" s="544"/>
      <c r="C93" s="561"/>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61"/>
      <c r="E95" s="561"/>
      <c r="F95" s="561"/>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71"/>
      <c r="D97" s="571"/>
      <c r="E97" s="571"/>
      <c r="F97" s="571"/>
      <c r="G97" s="537"/>
      <c r="H97" s="537"/>
      <c r="I97" s="537"/>
      <c r="J97" s="537"/>
      <c r="K97" s="537"/>
      <c r="L97" s="537"/>
      <c r="M97" s="538"/>
      <c r="N97" s="1156"/>
      <c r="O97" s="1156"/>
      <c r="P97" s="2634"/>
      <c r="Q97" s="505"/>
    </row>
    <row r="98" spans="1:17" ht="15.75" thickTop="1">
      <c r="A98" s="535"/>
      <c r="B98" s="547">
        <f>B31</f>
        <v>111</v>
      </c>
      <c r="C98" s="588"/>
      <c r="D98" s="588"/>
      <c r="E98" s="588"/>
      <c r="F98" s="588"/>
      <c r="G98" s="588"/>
      <c r="H98" s="588"/>
      <c r="I98" s="588"/>
      <c r="J98" s="588"/>
      <c r="K98" s="589"/>
      <c r="L98" s="590"/>
      <c r="M98" s="591"/>
      <c r="N98" s="1155"/>
      <c r="O98" s="1155"/>
      <c r="P98" s="2634"/>
      <c r="Q98" s="505"/>
    </row>
    <row r="99" spans="1:17" ht="15.75" thickBot="1">
      <c r="A99" s="2640"/>
      <c r="B99" s="570"/>
      <c r="C99" s="592"/>
      <c r="D99" s="592"/>
      <c r="E99" s="592"/>
      <c r="F99" s="592"/>
      <c r="G99" s="592"/>
      <c r="H99" s="592"/>
      <c r="I99" s="592"/>
      <c r="J99" s="592"/>
      <c r="K99" s="592"/>
      <c r="L99" s="592"/>
      <c r="M99" s="593"/>
      <c r="N99" s="1156"/>
      <c r="O99" s="1156"/>
      <c r="P99" s="2634"/>
      <c r="Q99" s="505"/>
    </row>
    <row r="100" spans="1:17">
      <c r="A100" s="528" t="s">
        <v>2557</v>
      </c>
      <c r="B100" s="529" t="s">
        <v>2606</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4"/>
      <c r="Q101" s="505"/>
    </row>
    <row r="102" spans="1:17" ht="15.75" thickTop="1">
      <c r="A102" s="535"/>
      <c r="B102" s="539" t="s">
        <v>2607</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5"/>
      <c r="Q104" s="560"/>
    </row>
    <row r="105" spans="1:17" ht="15" thickTop="1">
      <c r="A105" s="600"/>
      <c r="B105" s="539" t="s">
        <v>2608</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4"/>
      <c r="Q106" s="505"/>
    </row>
    <row r="107" spans="1:17" ht="15" thickTop="1">
      <c r="A107" s="600"/>
      <c r="B107" s="539" t="s">
        <v>2609</v>
      </c>
      <c r="C107" s="584"/>
      <c r="D107" s="584"/>
      <c r="E107" s="584"/>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4"/>
      <c r="Q108" s="505"/>
    </row>
    <row r="109" spans="1:17" ht="15" thickTop="1">
      <c r="A109" s="600"/>
      <c r="B109" s="539" t="s">
        <v>2610</v>
      </c>
      <c r="C109" s="555"/>
      <c r="D109" s="555"/>
      <c r="E109" s="555"/>
      <c r="F109" s="584"/>
      <c r="G109" s="584"/>
      <c r="H109" s="584"/>
      <c r="I109" s="584"/>
      <c r="J109" s="584"/>
      <c r="K109" s="585"/>
      <c r="L109" s="586"/>
      <c r="M109" s="587"/>
      <c r="N109" s="1155"/>
      <c r="O109" s="1155"/>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4"/>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5"/>
      <c r="Q113" s="560"/>
    </row>
    <row r="114" spans="1:17" ht="15" thickTop="1">
      <c r="A114" s="600"/>
      <c r="B114" s="539" t="s">
        <v>2611</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4"/>
      <c r="Q115" s="505"/>
    </row>
    <row r="116" spans="1:17" ht="15" thickTop="1">
      <c r="A116" s="600"/>
      <c r="B116" s="539" t="s">
        <v>2612</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2613</v>
      </c>
      <c r="C118" s="584"/>
      <c r="D118" s="584"/>
      <c r="E118" s="584"/>
      <c r="F118" s="584"/>
      <c r="G118" s="584"/>
      <c r="H118" s="584"/>
      <c r="I118" s="584"/>
      <c r="J118" s="584"/>
      <c r="K118" s="585"/>
      <c r="L118" s="586"/>
      <c r="M118" s="587"/>
      <c r="N118" s="1155"/>
      <c r="O118" s="1155"/>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4"/>
      <c r="Q119" s="505"/>
    </row>
    <row r="120" spans="1:17" s="472" customFormat="1" ht="28.5" thickTop="1">
      <c r="A120" s="594"/>
      <c r="B120" s="539" t="s">
        <v>2568</v>
      </c>
      <c r="C120" s="555"/>
      <c r="D120" s="555"/>
      <c r="E120" s="555"/>
      <c r="F120" s="555"/>
      <c r="G120" s="555"/>
      <c r="H120" s="555"/>
      <c r="I120" s="555"/>
      <c r="J120" s="555"/>
      <c r="K120" s="555"/>
      <c r="L120" s="581"/>
      <c r="M120" s="582"/>
      <c r="N120" s="1157"/>
      <c r="O120" s="1157"/>
      <c r="P120" s="2635"/>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5"/>
      <c r="Q121" s="560"/>
    </row>
    <row r="122" spans="1:17" ht="15" thickTop="1">
      <c r="A122" s="600"/>
      <c r="B122" s="539" t="s">
        <v>2614</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4"/>
      <c r="Q123" s="505"/>
    </row>
    <row r="124" spans="1:17" ht="15" thickTop="1">
      <c r="A124" s="600"/>
      <c r="B124" s="539" t="s">
        <v>2615</v>
      </c>
      <c r="C124" s="579" t="s">
        <v>2591</v>
      </c>
      <c r="D124" s="579" t="s">
        <v>2592</v>
      </c>
      <c r="E124" s="579" t="s">
        <v>2593</v>
      </c>
      <c r="F124" s="579" t="s">
        <v>2594</v>
      </c>
      <c r="G124" s="579" t="s">
        <v>2595</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61"/>
      <c r="E129" s="561"/>
      <c r="F129" s="561"/>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row r="136" spans="1:17" ht="15" thickBot="1">
      <c r="B136" s="2641" t="s">
        <v>2616</v>
      </c>
    </row>
    <row r="137" spans="1:17" ht="15">
      <c r="B137" s="2642" t="s">
        <v>2617</v>
      </c>
      <c r="C137" s="2643"/>
      <c r="D137" s="2643"/>
      <c r="E137" s="2643"/>
      <c r="F137" s="2643"/>
      <c r="G137" s="2644"/>
      <c r="H137" s="2645"/>
      <c r="I137" s="2646" t="s">
        <v>2618</v>
      </c>
      <c r="J137" s="2643"/>
      <c r="K137" s="2647"/>
    </row>
    <row r="138" spans="1:17" ht="15">
      <c r="B138" s="2648"/>
      <c r="C138" s="146" t="s">
        <v>2619</v>
      </c>
      <c r="D138" s="146" t="s">
        <v>2620</v>
      </c>
      <c r="E138" s="2649" t="s">
        <v>2621</v>
      </c>
      <c r="F138" s="2650" t="s">
        <v>2622</v>
      </c>
      <c r="G138" s="146" t="s">
        <v>2620</v>
      </c>
      <c r="H138" s="147" t="s">
        <v>2621</v>
      </c>
      <c r="I138" s="2651"/>
      <c r="J138" s="146" t="s">
        <v>2623</v>
      </c>
      <c r="K138" s="147" t="s">
        <v>2624</v>
      </c>
    </row>
    <row r="139" spans="1:17" ht="15">
      <c r="B139" s="1087">
        <v>6</v>
      </c>
      <c r="C139" s="1088">
        <v>96</v>
      </c>
      <c r="D139" s="2652" t="s">
        <v>2625</v>
      </c>
      <c r="E139" s="1089">
        <v>100</v>
      </c>
      <c r="F139" s="1090">
        <v>102.5</v>
      </c>
      <c r="G139" s="2652" t="s">
        <v>2625</v>
      </c>
      <c r="H139" s="1091">
        <v>105</v>
      </c>
      <c r="I139" s="2653" t="s">
        <v>2626</v>
      </c>
      <c r="J139" s="1088">
        <v>20</v>
      </c>
      <c r="K139" s="1092">
        <f>C145/(J139-2)</f>
        <v>4.0555555555555553E-3</v>
      </c>
    </row>
    <row r="140" spans="1:17" ht="15">
      <c r="B140" s="1093">
        <v>5</v>
      </c>
      <c r="C140" s="1094">
        <v>100</v>
      </c>
      <c r="D140" s="1094"/>
      <c r="E140" s="1095"/>
      <c r="F140" s="1096">
        <v>102</v>
      </c>
      <c r="G140" s="1094"/>
      <c r="H140" s="1097"/>
      <c r="I140" s="2654" t="s">
        <v>2627</v>
      </c>
      <c r="J140" s="316">
        <f>ROUNDUP((J139-1)/2,0)</f>
        <v>10</v>
      </c>
      <c r="K140" s="1098">
        <v>100</v>
      </c>
    </row>
    <row r="141" spans="1:17" ht="15">
      <c r="B141" s="1093">
        <v>4</v>
      </c>
      <c r="C141" s="1094">
        <v>102</v>
      </c>
      <c r="D141" s="1094"/>
      <c r="E141" s="1095"/>
      <c r="F141" s="1096">
        <v>101.5</v>
      </c>
      <c r="G141" s="1094"/>
      <c r="H141" s="1097"/>
      <c r="I141" s="2654" t="s">
        <v>2628</v>
      </c>
      <c r="J141" s="316">
        <v>1</v>
      </c>
      <c r="K141" s="1099">
        <f>ROUND(100+(J141-J140)*K139*100,1)</f>
        <v>96.4</v>
      </c>
    </row>
    <row r="142" spans="1:17" ht="15">
      <c r="B142" s="1093">
        <v>3</v>
      </c>
      <c r="C142" s="1094">
        <v>103</v>
      </c>
      <c r="D142" s="1094"/>
      <c r="E142" s="1095"/>
      <c r="F142" s="1096">
        <v>101</v>
      </c>
      <c r="G142" s="1094"/>
      <c r="H142" s="1097"/>
      <c r="I142" s="2654" t="s">
        <v>2629</v>
      </c>
      <c r="J142" s="316">
        <f>J139</f>
        <v>20</v>
      </c>
      <c r="K142" s="1100">
        <v>95</v>
      </c>
    </row>
    <row r="143" spans="1:17" ht="15">
      <c r="B143" s="1093">
        <v>2</v>
      </c>
      <c r="C143" s="1094">
        <v>100</v>
      </c>
      <c r="D143" s="1094"/>
      <c r="E143" s="1095"/>
      <c r="F143" s="1096">
        <v>100.5</v>
      </c>
      <c r="G143" s="1094"/>
      <c r="H143" s="1097"/>
      <c r="I143" s="2654" t="s">
        <v>2630</v>
      </c>
      <c r="J143" s="1094">
        <v>15</v>
      </c>
      <c r="K143" s="1099">
        <f>ROUND(100+(J143-J140)*K139*100,1)</f>
        <v>102</v>
      </c>
    </row>
    <row r="144" spans="1:17" ht="15">
      <c r="B144" s="1093">
        <v>1</v>
      </c>
      <c r="C144" s="1094">
        <v>98</v>
      </c>
      <c r="D144" s="2655" t="s">
        <v>2631</v>
      </c>
      <c r="E144" s="1095">
        <v>102</v>
      </c>
      <c r="F144" s="1101">
        <v>100</v>
      </c>
      <c r="G144" s="2655" t="s">
        <v>2631</v>
      </c>
      <c r="H144" s="1097">
        <v>105</v>
      </c>
      <c r="I144" s="2654" t="s">
        <v>2630</v>
      </c>
      <c r="J144" s="1094">
        <v>18</v>
      </c>
      <c r="K144" s="1099">
        <f>ROUND(100+(J144-J140)*K139*100,1)</f>
        <v>103.2</v>
      </c>
    </row>
    <row r="145" spans="2:11" ht="15.75" thickBot="1">
      <c r="B145" s="2656" t="s">
        <v>2632</v>
      </c>
      <c r="C145" s="1102">
        <f>ROUND(MAX(C139:C144)/MIN(C139:C144)-1,3)</f>
        <v>7.2999999999999995E-2</v>
      </c>
      <c r="D145" s="1103"/>
      <c r="E145" s="1103"/>
      <c r="F145" s="2657" t="s">
        <v>2633</v>
      </c>
      <c r="G145" s="2658"/>
      <c r="H145" s="2659"/>
      <c r="I145" s="2660" t="s">
        <v>2630</v>
      </c>
      <c r="J145" s="1104">
        <v>8</v>
      </c>
      <c r="K145" s="1105">
        <f>ROUND(100+(J145-J140)*K139*100,1)</f>
        <v>99.2</v>
      </c>
    </row>
    <row r="147" spans="2:11">
      <c r="B147" s="2641" t="s">
        <v>2634</v>
      </c>
    </row>
    <row r="148" spans="2:11">
      <c r="B148" s="264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586" t="s">
        <v>2636</v>
      </c>
      <c r="C1" s="1638" t="s">
        <v>2524</v>
      </c>
      <c r="D1" s="1625"/>
      <c r="E1" s="2661"/>
      <c r="F1" s="2588"/>
      <c r="G1" s="1635" t="s">
        <v>2637</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9" customFormat="1" ht="28.5" customHeight="1" thickTop="1">
      <c r="A2" s="1621" t="s">
        <v>2321</v>
      </c>
      <c r="B2" s="1421" t="e">
        <f ca="1">IF(C2="——",ROUND(C49*D3/10000,0),ROUND(C49*D3/10000,0)-D2)</f>
        <v>#DIV/0!</v>
      </c>
      <c r="C2" s="2590"/>
      <c r="D2" s="1368" t="e">
        <f ca="1">SUMIF(INDIRECT("'"&amp;F2&amp;"'"&amp;"!A:A"),"承租人权益价值",INDIRECT("'"&amp;F2&amp;"'"&amp;"!c:c"))</f>
        <v>#REF!</v>
      </c>
      <c r="E2" s="2591" t="s">
        <v>2322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9" customFormat="1" ht="28.5" customHeight="1" thickBot="1">
      <c r="A3" s="248" t="s">
        <v>2323</v>
      </c>
      <c r="B3" s="610" t="e">
        <f ca="1">IF(C2="——",C49,ROUND(B2*10000/D3,0))</f>
        <v>#DIV/0!</v>
      </c>
      <c r="C3" s="401" t="s">
        <v>2638</v>
      </c>
      <c r="D3" s="400">
        <f>IF(D1="",'数据-汇总表'!E3,SUMIF('数据-汇总表'!$C19:$C33,D1,'数据-汇总表'!$E19:$E33))</f>
        <v>6960.5900000000011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92" t="s">
        <v>2642</v>
      </c>
      <c r="AC4" s="3331" t="s">
        <v>2643</v>
      </c>
    </row>
    <row r="5" spans="1:29"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92"/>
      <c r="AC5" s="3259"/>
    </row>
    <row r="6" spans="1:29" ht="15.75" thickBot="1">
      <c r="A6" s="407"/>
      <c r="B6" s="408"/>
      <c r="C6" s="3338" t="s">
        <v>2540</v>
      </c>
      <c r="D6" s="3339"/>
      <c r="E6" s="3340" t="s">
        <v>2540</v>
      </c>
      <c r="F6" s="3341"/>
      <c r="G6" s="3338" t="s">
        <v>2540</v>
      </c>
      <c r="H6" s="3339"/>
      <c r="I6" s="3338" t="s">
        <v>2540</v>
      </c>
      <c r="J6" s="3339"/>
      <c r="K6" s="611" t="s">
        <v>2541</v>
      </c>
      <c r="L6" s="1133"/>
      <c r="M6" s="1134"/>
      <c r="N6" s="1134"/>
      <c r="O6" s="1134"/>
      <c r="P6" s="3345"/>
      <c r="Q6" s="3288"/>
      <c r="R6" s="3265"/>
      <c r="S6" s="3266"/>
      <c r="T6" s="3289"/>
      <c r="U6" s="3290"/>
      <c r="V6" s="3292"/>
      <c r="W6" s="3292"/>
      <c r="X6" s="1817"/>
      <c r="Y6" s="3289"/>
      <c r="Z6" s="3290"/>
      <c r="AA6" s="3260"/>
      <c r="AB6" s="3292"/>
      <c r="AC6" s="3260"/>
    </row>
    <row r="7" spans="1:29" s="117" customFormat="1" ht="15.75" thickBot="1">
      <c r="A7" s="409" t="s">
        <v>2542</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61" t="s">
        <v>2543</v>
      </c>
      <c r="Q7" s="3294"/>
      <c r="R7" s="770" t="s">
        <v>17</v>
      </c>
      <c r="S7" s="771">
        <f t="shared" ref="S7:S15" si="0">F7</f>
        <v>0</v>
      </c>
      <c r="T7" s="770" t="s">
        <v>17</v>
      </c>
      <c r="U7" s="771">
        <f t="shared" ref="U7:U15" si="1">H7</f>
        <v>0</v>
      </c>
      <c r="V7" s="770" t="s">
        <v>17</v>
      </c>
      <c r="W7" s="771">
        <f t="shared" ref="W7:W15" si="2">J7</f>
        <v>0</v>
      </c>
      <c r="X7" s="772"/>
      <c r="Y7" s="3261" t="s">
        <v>2543</v>
      </c>
      <c r="Z7" s="3262"/>
      <c r="AA7" s="773" t="e">
        <f>D7/F7</f>
        <v>#DIV/0!</v>
      </c>
      <c r="AB7" s="773" t="e">
        <f>D7/H7</f>
        <v>#DIV/0!</v>
      </c>
      <c r="AC7" s="773" t="e">
        <f>D7/J7</f>
        <v>#DIV/0!</v>
      </c>
    </row>
    <row r="8" spans="1:29" s="117" customFormat="1" ht="15.75" thickBot="1">
      <c r="A8" s="409" t="s">
        <v>2544</v>
      </c>
      <c r="B8" s="410"/>
      <c r="C8" s="415" t="s">
        <v>2646</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46" si="3">D8/F8</f>
        <v>#DIV/0!</v>
      </c>
      <c r="AB8" s="773" t="e">
        <f t="shared" ref="AB8:AB46" si="4">D8/H8</f>
        <v>#DIV/0!</v>
      </c>
      <c r="AC8" s="773" t="e">
        <f t="shared" ref="AC8:AC46" si="5">D8/J8</f>
        <v>#DIV/0!</v>
      </c>
    </row>
    <row r="9" spans="1:29" s="117" customFormat="1">
      <c r="A9" s="416" t="s">
        <v>2547</v>
      </c>
      <c r="B9" s="71" t="s">
        <v>2548</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75"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75"/>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9"/>
      <c r="B11" s="423" t="s">
        <v>2552</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75"/>
      <c r="Q11" s="1799"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75"/>
      <c r="Q12" s="1799">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75"/>
      <c r="Q13" s="1799">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75"/>
      <c r="Q14" s="1799">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15">
      <c r="A15" s="441" t="s">
        <v>2553</v>
      </c>
      <c r="B15" s="69" t="s">
        <v>2647</v>
      </c>
      <c r="C15" s="2607">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95" t="s">
        <v>2554</v>
      </c>
      <c r="Q15" s="1814" t="str">
        <f t="shared" si="6"/>
        <v>商业繁华度</v>
      </c>
      <c r="R15" s="774" t="s">
        <v>17</v>
      </c>
      <c r="S15" s="775">
        <f t="shared" si="0"/>
        <v>100</v>
      </c>
      <c r="T15" s="774" t="s">
        <v>17</v>
      </c>
      <c r="U15" s="775">
        <f t="shared" si="1"/>
        <v>100</v>
      </c>
      <c r="V15" s="774" t="s">
        <v>17</v>
      </c>
      <c r="W15" s="775">
        <f t="shared" si="2"/>
        <v>100</v>
      </c>
      <c r="X15" s="1817"/>
      <c r="Y15" s="3297" t="s">
        <v>2554</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296"/>
      <c r="Q16" s="1814"/>
      <c r="R16" s="774"/>
      <c r="S16" s="775"/>
      <c r="T16" s="774"/>
      <c r="U16" s="775"/>
      <c r="V16" s="774"/>
      <c r="W16" s="775"/>
      <c r="X16" s="1817"/>
      <c r="Y16" s="3298"/>
      <c r="Z16" s="1818"/>
      <c r="AA16" s="1815">
        <v>1</v>
      </c>
      <c r="AB16" s="1815">
        <v>1</v>
      </c>
      <c r="AC16" s="1815">
        <v>1</v>
      </c>
    </row>
    <row r="17" spans="1:29" ht="128.25">
      <c r="A17" s="429"/>
      <c r="B17" s="452" t="s">
        <v>2093</v>
      </c>
      <c r="C17" s="2611" t="str">
        <f>估价对象房地状况!C6</f>
        <v>估价对象周边2公里范围内路网密集、有57、72、300路等多辆公交车经过，有1号线、7号线、10号线经过，周边停车便捷，综合评价交通便捷度好。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96"/>
      <c r="Q17" s="1814" t="str">
        <f>B17</f>
        <v>交通便捷度</v>
      </c>
      <c r="R17" s="774" t="s">
        <v>17</v>
      </c>
      <c r="S17" s="775">
        <f>F17</f>
        <v>100</v>
      </c>
      <c r="T17" s="774" t="s">
        <v>17</v>
      </c>
      <c r="U17" s="775">
        <f>H17</f>
        <v>100</v>
      </c>
      <c r="V17" s="774" t="s">
        <v>17</v>
      </c>
      <c r="W17" s="775">
        <f>J17</f>
        <v>100</v>
      </c>
      <c r="X17" s="1817"/>
      <c r="Y17" s="3298"/>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34"/>
      <c r="P18" s="3296"/>
      <c r="Q18" s="1814"/>
      <c r="R18" s="774"/>
      <c r="S18" s="775"/>
      <c r="T18" s="774"/>
      <c r="U18" s="775"/>
      <c r="V18" s="774"/>
      <c r="W18" s="775"/>
      <c r="X18" s="1817"/>
      <c r="Y18" s="3298"/>
      <c r="Z18" s="1818"/>
      <c r="AA18" s="1815">
        <v>1</v>
      </c>
      <c r="AB18" s="1815">
        <v>1</v>
      </c>
      <c r="AC18" s="1815">
        <v>1</v>
      </c>
    </row>
    <row r="19" spans="1:29" ht="42.75">
      <c r="A19" s="429"/>
      <c r="B19" s="452" t="s">
        <v>2648</v>
      </c>
      <c r="C19" s="2611"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96"/>
      <c r="Q19" s="1814" t="str">
        <f>B19</f>
        <v>公共配套设施</v>
      </c>
      <c r="R19" s="774" t="s">
        <v>17</v>
      </c>
      <c r="S19" s="775">
        <f>F19</f>
        <v>100</v>
      </c>
      <c r="T19" s="774" t="s">
        <v>17</v>
      </c>
      <c r="U19" s="775">
        <f>H19</f>
        <v>100</v>
      </c>
      <c r="V19" s="774" t="s">
        <v>17</v>
      </c>
      <c r="W19" s="775">
        <f>J19</f>
        <v>100</v>
      </c>
      <c r="X19" s="1817"/>
      <c r="Y19" s="3298"/>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34"/>
      <c r="P20" s="3296"/>
      <c r="Q20" s="1814"/>
      <c r="R20" s="774"/>
      <c r="S20" s="775"/>
      <c r="T20" s="774"/>
      <c r="U20" s="775"/>
      <c r="V20" s="774"/>
      <c r="W20" s="775"/>
      <c r="X20" s="1817"/>
      <c r="Y20" s="3298"/>
      <c r="Z20" s="1818"/>
      <c r="AA20" s="1815">
        <v>1</v>
      </c>
      <c r="AB20" s="1815">
        <v>1</v>
      </c>
      <c r="AC20" s="1815">
        <v>1</v>
      </c>
    </row>
    <row r="21" spans="1:29" ht="42.75">
      <c r="A21" s="429"/>
      <c r="B21" s="1387" t="s">
        <v>2649</v>
      </c>
      <c r="C21" s="2611" t="str">
        <f>估价对象房地状况!C8</f>
        <v>估价对象所在区域基础设施水平可达红线外“七通”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96"/>
      <c r="Q21" s="1814" t="str">
        <f>B21</f>
        <v>基础设施水平</v>
      </c>
      <c r="R21" s="774" t="s">
        <v>17</v>
      </c>
      <c r="S21" s="775">
        <f>F21</f>
        <v>100</v>
      </c>
      <c r="T21" s="774" t="s">
        <v>17</v>
      </c>
      <c r="U21" s="775">
        <f>H21</f>
        <v>100</v>
      </c>
      <c r="V21" s="774" t="s">
        <v>17</v>
      </c>
      <c r="W21" s="775">
        <f>J21</f>
        <v>100</v>
      </c>
      <c r="X21" s="1817"/>
      <c r="Y21" s="329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34"/>
      <c r="P22" s="3296"/>
      <c r="Q22" s="1814"/>
      <c r="R22" s="774"/>
      <c r="S22" s="775"/>
      <c r="T22" s="774"/>
      <c r="U22" s="775"/>
      <c r="V22" s="774"/>
      <c r="W22" s="775"/>
      <c r="X22" s="1817"/>
      <c r="Y22" s="3298"/>
      <c r="Z22" s="1818"/>
      <c r="AA22" s="1815">
        <v>1</v>
      </c>
      <c r="AB22" s="1815">
        <v>1</v>
      </c>
      <c r="AC22" s="1815">
        <v>1</v>
      </c>
    </row>
    <row r="23" spans="1:29" ht="128.25">
      <c r="A23" s="429"/>
      <c r="B23" s="452" t="s">
        <v>2096</v>
      </c>
      <c r="C23" s="2668" t="str">
        <f>估价对象房地状况!C9</f>
        <v>区域有一定数量大型绿化，自然环境一般：周边有一定数量图书馆，歌剧院等，无高等院校等，人文环境一般；综合评价环境状况一般。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96"/>
      <c r="Q23" s="1814" t="str">
        <f>B23</f>
        <v>自然及人文环境</v>
      </c>
      <c r="R23" s="774" t="s">
        <v>17</v>
      </c>
      <c r="S23" s="775">
        <f>F23</f>
        <v>100</v>
      </c>
      <c r="T23" s="774" t="s">
        <v>17</v>
      </c>
      <c r="U23" s="775">
        <f>H23</f>
        <v>100</v>
      </c>
      <c r="V23" s="774" t="s">
        <v>17</v>
      </c>
      <c r="W23" s="775">
        <f>J23</f>
        <v>100</v>
      </c>
      <c r="X23" s="1817"/>
      <c r="Y23" s="3298"/>
      <c r="Z23" s="1818" t="str">
        <f>Q23</f>
        <v>自然及人文环境</v>
      </c>
      <c r="AA23" s="1815">
        <f t="shared" si="3"/>
        <v>1</v>
      </c>
      <c r="AB23" s="1815">
        <f t="shared" si="4"/>
        <v>1</v>
      </c>
      <c r="AC23" s="1815">
        <f t="shared" si="5"/>
        <v>1</v>
      </c>
    </row>
    <row r="24" spans="1:29" ht="15">
      <c r="A24" s="429"/>
      <c r="B24" s="457"/>
      <c r="C24" s="448"/>
      <c r="D24" s="449"/>
      <c r="E24" s="2609"/>
      <c r="F24" s="450"/>
      <c r="G24" s="2608"/>
      <c r="H24" s="449"/>
      <c r="I24" s="2609"/>
      <c r="J24" s="449"/>
      <c r="K24" s="616"/>
      <c r="L24" s="1143"/>
      <c r="M24" s="1134"/>
      <c r="N24" s="1134"/>
      <c r="O24" s="1134"/>
      <c r="P24" s="3296"/>
      <c r="Q24" s="1814"/>
      <c r="R24" s="774"/>
      <c r="S24" s="775"/>
      <c r="T24" s="774"/>
      <c r="U24" s="775"/>
      <c r="V24" s="774"/>
      <c r="W24" s="775"/>
      <c r="X24" s="1817"/>
      <c r="Y24" s="3298"/>
      <c r="Z24" s="1818"/>
      <c r="AA24" s="1815">
        <v>1</v>
      </c>
      <c r="AB24" s="1815">
        <v>1</v>
      </c>
      <c r="AC24" s="1815">
        <v>1</v>
      </c>
    </row>
    <row r="25" spans="1:29" ht="15">
      <c r="A25" s="429"/>
      <c r="B25" s="423" t="s">
        <v>2650</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96"/>
      <c r="Q25" s="1814" t="str">
        <f t="shared" ref="Q25:Q46" si="11">B25</f>
        <v>临街状况</v>
      </c>
      <c r="R25" s="774" t="s">
        <v>17</v>
      </c>
      <c r="S25" s="775">
        <f>F25</f>
        <v>100</v>
      </c>
      <c r="T25" s="774" t="s">
        <v>17</v>
      </c>
      <c r="U25" s="775">
        <f>H25</f>
        <v>100</v>
      </c>
      <c r="V25" s="774" t="s">
        <v>17</v>
      </c>
      <c r="W25" s="775">
        <f>J25</f>
        <v>100</v>
      </c>
      <c r="X25" s="1817"/>
      <c r="Y25" s="3298"/>
      <c r="Z25" s="1818" t="str">
        <f>Q25</f>
        <v>临街状况</v>
      </c>
      <c r="AA25" s="1815">
        <f t="shared" si="3"/>
        <v>1</v>
      </c>
      <c r="AB25" s="1815">
        <f t="shared" si="4"/>
        <v>1</v>
      </c>
      <c r="AC25" s="1815">
        <f t="shared" si="5"/>
        <v>1</v>
      </c>
    </row>
    <row r="26" spans="1:29" ht="15">
      <c r="A26" s="429"/>
      <c r="B26" s="1389" t="s">
        <v>2651</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96"/>
      <c r="Q26" s="1814" t="str">
        <f t="shared" si="11"/>
        <v>平面位置/可视性</v>
      </c>
      <c r="R26" s="774" t="s">
        <v>17</v>
      </c>
      <c r="S26" s="775">
        <f>F26</f>
        <v>100</v>
      </c>
      <c r="T26" s="774" t="s">
        <v>17</v>
      </c>
      <c r="U26" s="775">
        <f>H26</f>
        <v>100</v>
      </c>
      <c r="V26" s="774" t="s">
        <v>17</v>
      </c>
      <c r="W26" s="775">
        <f>J26</f>
        <v>100</v>
      </c>
      <c r="X26" s="1817"/>
      <c r="Y26" s="3298"/>
      <c r="Z26" s="1818" t="str">
        <f>Q26</f>
        <v>平面位置/可视性</v>
      </c>
      <c r="AA26" s="1815">
        <f t="shared" si="3"/>
        <v>1</v>
      </c>
      <c r="AB26" s="1815">
        <f t="shared" si="4"/>
        <v>1</v>
      </c>
      <c r="AC26" s="1815">
        <f t="shared" si="5"/>
        <v>1</v>
      </c>
    </row>
    <row r="27" spans="1:29" s="117" customFormat="1" ht="15">
      <c r="A27" s="432"/>
      <c r="B27" s="452" t="s">
        <v>2652</v>
      </c>
      <c r="C27" s="2669"/>
      <c r="D27" s="463">
        <v>100</v>
      </c>
      <c r="E27" s="2669"/>
      <c r="F27" s="465">
        <f>SUMIF(90:90,E27,91:91)-SUMIF(90:90,C27,91:91)+100</f>
        <v>100</v>
      </c>
      <c r="G27" s="2669"/>
      <c r="H27" s="463">
        <f>SUMIF(90:90,G27,91:91)-SUMIF(90:90,C27,91:91)+100</f>
        <v>100</v>
      </c>
      <c r="I27" s="2669"/>
      <c r="J27" s="463">
        <f>SUMIF(90:90,I27,91:91)-SUMIF(90:90,C27,91:91)+100</f>
        <v>100</v>
      </c>
      <c r="K27" s="613"/>
      <c r="L27" s="1135"/>
      <c r="M27" s="1136"/>
      <c r="N27" s="1136"/>
      <c r="O27" s="1136"/>
      <c r="P27" s="3296"/>
      <c r="Q27" s="1799" t="str">
        <f t="shared" si="11"/>
        <v>人流量</v>
      </c>
      <c r="R27" s="770" t="s">
        <v>17</v>
      </c>
      <c r="S27" s="771">
        <f>F27</f>
        <v>100</v>
      </c>
      <c r="T27" s="770" t="s">
        <v>17</v>
      </c>
      <c r="U27" s="771">
        <f>H27</f>
        <v>100</v>
      </c>
      <c r="V27" s="770" t="s">
        <v>17</v>
      </c>
      <c r="W27" s="771">
        <f>J27</f>
        <v>100</v>
      </c>
      <c r="X27" s="772"/>
      <c r="Y27" s="3298"/>
      <c r="Z27" s="55" t="str">
        <f>Q27</f>
        <v>人流量</v>
      </c>
      <c r="AA27" s="1815">
        <f>D27/F27</f>
        <v>1</v>
      </c>
      <c r="AB27" s="1815">
        <f>D27/H27</f>
        <v>1</v>
      </c>
      <c r="AC27" s="1815">
        <f>D27/J27</f>
        <v>1</v>
      </c>
    </row>
    <row r="28" spans="1:29" ht="15">
      <c r="A28" s="429"/>
      <c r="B28" s="423" t="s">
        <v>2653</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96"/>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98"/>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96"/>
      <c r="Q29" s="1814">
        <f t="shared" si="11"/>
        <v>111</v>
      </c>
      <c r="R29" s="774" t="s">
        <v>17</v>
      </c>
      <c r="S29" s="775">
        <f t="shared" si="12"/>
        <v>100</v>
      </c>
      <c r="T29" s="774" t="s">
        <v>17</v>
      </c>
      <c r="U29" s="775">
        <f t="shared" si="13"/>
        <v>100</v>
      </c>
      <c r="V29" s="774" t="s">
        <v>17</v>
      </c>
      <c r="W29" s="775">
        <f t="shared" si="14"/>
        <v>100</v>
      </c>
      <c r="X29" s="1817"/>
      <c r="Y29" s="3298"/>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96"/>
      <c r="Q30" s="1814">
        <f t="shared" si="11"/>
        <v>111</v>
      </c>
      <c r="R30" s="774" t="s">
        <v>17</v>
      </c>
      <c r="S30" s="775">
        <f t="shared" si="12"/>
        <v>100</v>
      </c>
      <c r="T30" s="774" t="s">
        <v>17</v>
      </c>
      <c r="U30" s="775">
        <f t="shared" si="13"/>
        <v>100</v>
      </c>
      <c r="V30" s="774" t="s">
        <v>17</v>
      </c>
      <c r="W30" s="775">
        <f t="shared" si="14"/>
        <v>100</v>
      </c>
      <c r="X30" s="1817"/>
      <c r="Y30" s="3298"/>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96"/>
      <c r="Q31" s="1814">
        <f t="shared" si="11"/>
        <v>111</v>
      </c>
      <c r="R31" s="774" t="s">
        <v>17</v>
      </c>
      <c r="S31" s="775">
        <f t="shared" si="12"/>
        <v>100</v>
      </c>
      <c r="T31" s="774" t="s">
        <v>17</v>
      </c>
      <c r="U31" s="775">
        <f t="shared" si="13"/>
        <v>100</v>
      </c>
      <c r="V31" s="774" t="s">
        <v>17</v>
      </c>
      <c r="W31" s="775">
        <f t="shared" si="14"/>
        <v>100</v>
      </c>
      <c r="X31" s="1817"/>
      <c r="Y31" s="3298"/>
      <c r="Z31" s="1818">
        <f t="shared" si="15"/>
        <v>111</v>
      </c>
      <c r="AA31" s="1815">
        <f t="shared" si="3"/>
        <v>1</v>
      </c>
      <c r="AB31" s="1815">
        <f t="shared" si="4"/>
        <v>1</v>
      </c>
      <c r="AC31" s="1815">
        <f t="shared" si="5"/>
        <v>1</v>
      </c>
    </row>
    <row r="32" spans="1:29" ht="15">
      <c r="A32" s="441" t="s">
        <v>2557</v>
      </c>
      <c r="B32" s="71" t="s">
        <v>2654</v>
      </c>
      <c r="C32" s="2621"/>
      <c r="D32" s="468">
        <v>100</v>
      </c>
      <c r="E32" s="2621"/>
      <c r="F32" s="462">
        <f>SUMIF(100:100,E32,101:101)-SUMIF(100:100,C32,101:101)+100</f>
        <v>100</v>
      </c>
      <c r="G32" s="2621"/>
      <c r="H32" s="436">
        <f>SUMIF(100:100,G32,101:101)-SUMIF(100:100,C32,101:101)+100</f>
        <v>100</v>
      </c>
      <c r="I32" s="2621"/>
      <c r="J32" s="468">
        <f>SUMIF(100:100,I32,101:101)-SUMIF(100:100,C32,101:101)+100</f>
        <v>100</v>
      </c>
      <c r="K32" s="613"/>
      <c r="L32" s="1143"/>
      <c r="M32" s="1134"/>
      <c r="N32" s="1134"/>
      <c r="O32" s="1134"/>
      <c r="P32" s="3299" t="s">
        <v>2559</v>
      </c>
      <c r="Q32" s="1814" t="str">
        <f t="shared" si="11"/>
        <v>商业类型</v>
      </c>
      <c r="R32" s="774" t="s">
        <v>17</v>
      </c>
      <c r="S32" s="775">
        <f t="shared" si="12"/>
        <v>100</v>
      </c>
      <c r="T32" s="774" t="s">
        <v>17</v>
      </c>
      <c r="U32" s="775">
        <f t="shared" si="13"/>
        <v>100</v>
      </c>
      <c r="V32" s="774" t="s">
        <v>17</v>
      </c>
      <c r="W32" s="775">
        <f t="shared" si="14"/>
        <v>100</v>
      </c>
      <c r="X32" s="1817"/>
      <c r="Y32" s="3302" t="s">
        <v>2559</v>
      </c>
      <c r="Z32" s="1818" t="str">
        <f t="shared" si="15"/>
        <v>商业类型</v>
      </c>
      <c r="AA32" s="1815">
        <f t="shared" si="3"/>
        <v>1</v>
      </c>
      <c r="AB32" s="1815">
        <f t="shared" si="4"/>
        <v>1</v>
      </c>
      <c r="AC32" s="1815">
        <f t="shared" si="5"/>
        <v>1</v>
      </c>
    </row>
    <row r="33" spans="1:29" s="472" customFormat="1" ht="15">
      <c r="A33" s="469"/>
      <c r="B33" s="423" t="s">
        <v>2560</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300"/>
      <c r="Q33" s="776" t="str">
        <f t="shared" si="11"/>
        <v>项目建筑规模</v>
      </c>
      <c r="R33" s="777" t="s">
        <v>17</v>
      </c>
      <c r="S33" s="778" t="e">
        <f t="shared" si="12"/>
        <v>#N/A</v>
      </c>
      <c r="T33" s="777" t="s">
        <v>17</v>
      </c>
      <c r="U33" s="778" t="e">
        <f t="shared" si="13"/>
        <v>#N/A</v>
      </c>
      <c r="V33" s="777" t="s">
        <v>17</v>
      </c>
      <c r="W33" s="778" t="e">
        <f t="shared" si="14"/>
        <v>#N/A</v>
      </c>
      <c r="X33" s="779"/>
      <c r="Y33" s="3302"/>
      <c r="Z33" s="780" t="str">
        <f t="shared" si="15"/>
        <v>项目建筑规模</v>
      </c>
      <c r="AA33" s="1815" t="e">
        <f t="shared" si="3"/>
        <v>#N/A</v>
      </c>
      <c r="AB33" s="1815" t="e">
        <f t="shared" si="4"/>
        <v>#N/A</v>
      </c>
      <c r="AC33" s="1815" t="e">
        <f t="shared" si="5"/>
        <v>#N/A</v>
      </c>
    </row>
    <row r="34" spans="1:29" ht="15">
      <c r="A34" s="473"/>
      <c r="B34" s="423" t="s">
        <v>2561</v>
      </c>
      <c r="C34" s="2623"/>
      <c r="D34" s="436">
        <v>100</v>
      </c>
      <c r="E34" s="2623"/>
      <c r="F34" s="462">
        <f>SUMIF(105:105,E34,106:106)-SUMIF(105:105,C34,106:106)+100</f>
        <v>100</v>
      </c>
      <c r="G34" s="2623"/>
      <c r="H34" s="436">
        <f>SUMIF(105:105,G34,106:106)-SUMIF(105:105,C34,106:106)+100</f>
        <v>100</v>
      </c>
      <c r="I34" s="2623"/>
      <c r="J34" s="436">
        <f>SUMIF(105:105,I34,106:106)-SUMIF(105:105,C34,106:106)+100</f>
        <v>100</v>
      </c>
      <c r="K34" s="613"/>
      <c r="L34" s="1143"/>
      <c r="M34" s="1134"/>
      <c r="N34" s="1134"/>
      <c r="O34" s="1134"/>
      <c r="P34" s="3300"/>
      <c r="Q34" s="1814" t="str">
        <f t="shared" si="11"/>
        <v>建筑结构</v>
      </c>
      <c r="R34" s="774" t="s">
        <v>17</v>
      </c>
      <c r="S34" s="775">
        <f t="shared" si="12"/>
        <v>100</v>
      </c>
      <c r="T34" s="774" t="s">
        <v>17</v>
      </c>
      <c r="U34" s="775">
        <f t="shared" si="13"/>
        <v>100</v>
      </c>
      <c r="V34" s="774" t="s">
        <v>17</v>
      </c>
      <c r="W34" s="775">
        <f t="shared" si="14"/>
        <v>100</v>
      </c>
      <c r="X34" s="1817"/>
      <c r="Y34" s="3302"/>
      <c r="Z34" s="1818" t="str">
        <f t="shared" si="15"/>
        <v>建筑结构</v>
      </c>
      <c r="AA34" s="1815">
        <f t="shared" si="3"/>
        <v>1</v>
      </c>
      <c r="AB34" s="1815">
        <f t="shared" si="4"/>
        <v>1</v>
      </c>
      <c r="AC34" s="1815">
        <f t="shared" si="5"/>
        <v>1</v>
      </c>
    </row>
    <row r="35" spans="1:29" ht="15">
      <c r="A35" s="473"/>
      <c r="B35" s="423" t="s">
        <v>2655</v>
      </c>
      <c r="C35" s="2617"/>
      <c r="D35" s="436">
        <v>100</v>
      </c>
      <c r="E35" s="2617"/>
      <c r="F35" s="462">
        <f>SUMIF(107:107,E35,108:108)-SUMIF(107:107,C35,108:108)+100</f>
        <v>100</v>
      </c>
      <c r="G35" s="2617"/>
      <c r="H35" s="436">
        <f>SUMIF(107:107,G35,108:108)-SUMIF(107:107,C35,108:108)+100</f>
        <v>100</v>
      </c>
      <c r="I35" s="2617"/>
      <c r="J35" s="436">
        <f>SUMIF(107:107,I35,108:108)-SUMIF(107:107,C35,108:108)+100</f>
        <v>100</v>
      </c>
      <c r="K35" s="613"/>
      <c r="L35" s="1143"/>
      <c r="M35" s="1134"/>
      <c r="N35" s="1134"/>
      <c r="O35" s="1134"/>
      <c r="P35" s="3300"/>
      <c r="Q35" s="1814" t="str">
        <f t="shared" si="11"/>
        <v>公共部分装修</v>
      </c>
      <c r="R35" s="774" t="s">
        <v>17</v>
      </c>
      <c r="S35" s="775">
        <f t="shared" si="12"/>
        <v>100</v>
      </c>
      <c r="T35" s="774" t="s">
        <v>17</v>
      </c>
      <c r="U35" s="775">
        <f t="shared" si="13"/>
        <v>100</v>
      </c>
      <c r="V35" s="774" t="s">
        <v>17</v>
      </c>
      <c r="W35" s="775">
        <f t="shared" si="14"/>
        <v>100</v>
      </c>
      <c r="X35" s="1817"/>
      <c r="Y35" s="3302"/>
      <c r="Z35" s="1818" t="str">
        <f t="shared" si="15"/>
        <v>公共部分装修</v>
      </c>
      <c r="AA35" s="1815">
        <f t="shared" si="3"/>
        <v>1</v>
      </c>
      <c r="AB35" s="1815">
        <f t="shared" si="4"/>
        <v>1</v>
      </c>
      <c r="AC35" s="1815">
        <f t="shared" si="5"/>
        <v>1</v>
      </c>
    </row>
    <row r="36" spans="1:29" ht="15">
      <c r="A36" s="473"/>
      <c r="B36" s="423" t="s">
        <v>2656</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300"/>
      <c r="Q36" s="1814" t="str">
        <f t="shared" si="11"/>
        <v>成新度</v>
      </c>
      <c r="R36" s="774" t="s">
        <v>17</v>
      </c>
      <c r="S36" s="775" t="e">
        <f t="shared" si="12"/>
        <v>#N/A</v>
      </c>
      <c r="T36" s="774" t="s">
        <v>17</v>
      </c>
      <c r="U36" s="775" t="e">
        <f t="shared" si="13"/>
        <v>#N/A</v>
      </c>
      <c r="V36" s="774" t="s">
        <v>17</v>
      </c>
      <c r="W36" s="775" t="e">
        <f t="shared" si="14"/>
        <v>#N/A</v>
      </c>
      <c r="X36" s="1817"/>
      <c r="Y36" s="3302"/>
      <c r="Z36" s="1818" t="str">
        <f t="shared" si="15"/>
        <v>成新度</v>
      </c>
      <c r="AA36" s="1815" t="e">
        <f t="shared" si="3"/>
        <v>#N/A</v>
      </c>
      <c r="AB36" s="1815" t="e">
        <f t="shared" si="4"/>
        <v>#N/A</v>
      </c>
      <c r="AC36" s="1815" t="e">
        <f t="shared" si="5"/>
        <v>#N/A</v>
      </c>
    </row>
    <row r="37" spans="1:29" s="117" customFormat="1" ht="15">
      <c r="A37" s="474"/>
      <c r="B37" s="423" t="s">
        <v>2657</v>
      </c>
      <c r="C37" s="2617"/>
      <c r="D37" s="136">
        <v>100</v>
      </c>
      <c r="E37" s="2617"/>
      <c r="F37" s="462">
        <f>SUMIF(112:112,E37,113:113)-SUMIF(112:112,C37,113:113)+100</f>
        <v>100</v>
      </c>
      <c r="G37" s="2617"/>
      <c r="H37" s="436">
        <f>SUMIF(112:112,G37,113:113)-SUMIF(112:112,C37,113:113)+100</f>
        <v>100</v>
      </c>
      <c r="I37" s="2617"/>
      <c r="J37" s="436">
        <f>SUMIF(112:112,I37,113:113)-SUMIF(112:112,C37,113:113)+100</f>
        <v>100</v>
      </c>
      <c r="K37" s="613"/>
      <c r="L37" s="1135"/>
      <c r="M37" s="1136"/>
      <c r="N37" s="1136"/>
      <c r="O37" s="1136"/>
      <c r="P37" s="3300"/>
      <c r="Q37" s="1799" t="str">
        <f t="shared" si="11"/>
        <v>市政基础设施</v>
      </c>
      <c r="R37" s="770" t="s">
        <v>17</v>
      </c>
      <c r="S37" s="771">
        <f t="shared" si="12"/>
        <v>100</v>
      </c>
      <c r="T37" s="770" t="s">
        <v>17</v>
      </c>
      <c r="U37" s="771">
        <f t="shared" si="13"/>
        <v>100</v>
      </c>
      <c r="V37" s="770" t="s">
        <v>17</v>
      </c>
      <c r="W37" s="771">
        <f t="shared" si="14"/>
        <v>100</v>
      </c>
      <c r="X37" s="772"/>
      <c r="Y37" s="3302"/>
      <c r="Z37" s="55" t="str">
        <f t="shared" si="15"/>
        <v>市政基础设施</v>
      </c>
      <c r="AA37" s="773">
        <f t="shared" si="3"/>
        <v>1</v>
      </c>
      <c r="AB37" s="773">
        <f t="shared" si="4"/>
        <v>1</v>
      </c>
      <c r="AC37" s="773">
        <f t="shared" si="5"/>
        <v>1</v>
      </c>
    </row>
    <row r="38" spans="1:29" ht="15">
      <c r="A38" s="473"/>
      <c r="B38" s="423" t="s">
        <v>2658</v>
      </c>
      <c r="C38" s="2617"/>
      <c r="D38" s="436">
        <v>100</v>
      </c>
      <c r="E38" s="2617"/>
      <c r="F38" s="462">
        <f>SUMIF(114:114,E38,115:115)-SUMIF(114:114,C38,115:115)+100</f>
        <v>100</v>
      </c>
      <c r="G38" s="2617"/>
      <c r="H38" s="436">
        <f>SUMIF(114:114,G38,115:115)-SUMIF(114:114,C38,115:115)+100</f>
        <v>100</v>
      </c>
      <c r="I38" s="2617"/>
      <c r="J38" s="436">
        <f>SUMIF(114:114,I38,115:115)-SUMIF(114:114,C38,115:115)+100</f>
        <v>100</v>
      </c>
      <c r="K38" s="613"/>
      <c r="L38" s="1143"/>
      <c r="M38" s="1134"/>
      <c r="N38" s="1134"/>
      <c r="O38" s="1134"/>
      <c r="P38" s="3300" t="s">
        <v>2559</v>
      </c>
      <c r="Q38" s="1814" t="str">
        <f t="shared" si="11"/>
        <v>业态</v>
      </c>
      <c r="R38" s="774" t="s">
        <v>17</v>
      </c>
      <c r="S38" s="775">
        <f t="shared" si="12"/>
        <v>100</v>
      </c>
      <c r="T38" s="774" t="s">
        <v>17</v>
      </c>
      <c r="U38" s="775">
        <f t="shared" si="13"/>
        <v>100</v>
      </c>
      <c r="V38" s="774" t="s">
        <v>17</v>
      </c>
      <c r="W38" s="775">
        <f t="shared" si="14"/>
        <v>100</v>
      </c>
      <c r="X38" s="1817"/>
      <c r="Y38" s="3302" t="s">
        <v>2559</v>
      </c>
      <c r="Z38" s="1818" t="str">
        <f t="shared" si="15"/>
        <v>业态</v>
      </c>
      <c r="AA38" s="1815">
        <f t="shared" si="3"/>
        <v>1</v>
      </c>
      <c r="AB38" s="1815">
        <f t="shared" si="4"/>
        <v>1</v>
      </c>
      <c r="AC38" s="1815">
        <f t="shared" si="5"/>
        <v>1</v>
      </c>
    </row>
    <row r="39" spans="1:29" ht="15">
      <c r="A39" s="473"/>
      <c r="B39" s="423" t="s">
        <v>2659</v>
      </c>
      <c r="C39" s="2617"/>
      <c r="D39" s="436">
        <v>100</v>
      </c>
      <c r="E39" s="2617"/>
      <c r="F39" s="462">
        <f>SUMIF(116:116,E39,117:117)-SUMIF(116:116,C39,117:117)+100</f>
        <v>100</v>
      </c>
      <c r="G39" s="2617"/>
      <c r="H39" s="436">
        <f>SUMIF(116:116,G39,117:117)-SUMIF(116:116,C39,117:117)+100</f>
        <v>100</v>
      </c>
      <c r="I39" s="2617"/>
      <c r="J39" s="436">
        <f>SUMIF(116:116,I39,117:117)-SUMIF(116:116,C39,117:117)+100</f>
        <v>100</v>
      </c>
      <c r="K39" s="613"/>
      <c r="L39" s="1143"/>
      <c r="M39" s="1134"/>
      <c r="N39" s="1134"/>
      <c r="O39" s="1134"/>
      <c r="P39" s="3300"/>
      <c r="Q39" s="1814" t="str">
        <f t="shared" si="11"/>
        <v>层高</v>
      </c>
      <c r="R39" s="774" t="s">
        <v>17</v>
      </c>
      <c r="S39" s="775">
        <f t="shared" si="12"/>
        <v>100</v>
      </c>
      <c r="T39" s="774" t="s">
        <v>17</v>
      </c>
      <c r="U39" s="775">
        <f t="shared" si="13"/>
        <v>100</v>
      </c>
      <c r="V39" s="774" t="s">
        <v>17</v>
      </c>
      <c r="W39" s="775">
        <f t="shared" si="14"/>
        <v>100</v>
      </c>
      <c r="X39" s="1817"/>
      <c r="Y39" s="3302"/>
      <c r="Z39" s="1818" t="str">
        <f t="shared" si="15"/>
        <v>层高</v>
      </c>
      <c r="AA39" s="1815">
        <f t="shared" si="3"/>
        <v>1</v>
      </c>
      <c r="AB39" s="1815">
        <f t="shared" si="4"/>
        <v>1</v>
      </c>
      <c r="AC39" s="1815">
        <f t="shared" si="5"/>
        <v>1</v>
      </c>
    </row>
    <row r="40" spans="1:29" ht="15">
      <c r="A40" s="473"/>
      <c r="B40" s="423" t="s">
        <v>2660</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300"/>
      <c r="Q40" s="1814" t="str">
        <f t="shared" si="11"/>
        <v>单套建筑面积</v>
      </c>
      <c r="R40" s="774" t="s">
        <v>17</v>
      </c>
      <c r="S40" s="775">
        <f t="shared" si="12"/>
        <v>100</v>
      </c>
      <c r="T40" s="774" t="s">
        <v>17</v>
      </c>
      <c r="U40" s="775">
        <f t="shared" si="13"/>
        <v>100</v>
      </c>
      <c r="V40" s="774" t="s">
        <v>17</v>
      </c>
      <c r="W40" s="775">
        <f t="shared" si="14"/>
        <v>100</v>
      </c>
      <c r="X40" s="1817"/>
      <c r="Y40" s="3302"/>
      <c r="Z40" s="1818" t="str">
        <f t="shared" si="15"/>
        <v>单套建筑面积</v>
      </c>
      <c r="AA40" s="1815">
        <f t="shared" si="3"/>
        <v>1</v>
      </c>
      <c r="AB40" s="1815">
        <f t="shared" si="4"/>
        <v>1</v>
      </c>
      <c r="AC40" s="1815">
        <f t="shared" si="5"/>
        <v>1</v>
      </c>
    </row>
    <row r="41" spans="1:29" s="472" customFormat="1" ht="15">
      <c r="A41" s="469"/>
      <c r="B41" s="1816" t="s">
        <v>2661</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300"/>
      <c r="Q41" s="776" t="str">
        <f t="shared" si="11"/>
        <v>进深比</v>
      </c>
      <c r="R41" s="777" t="s">
        <v>17</v>
      </c>
      <c r="S41" s="778">
        <f t="shared" si="12"/>
        <v>100</v>
      </c>
      <c r="T41" s="777" t="s">
        <v>17</v>
      </c>
      <c r="U41" s="778">
        <f t="shared" si="13"/>
        <v>100</v>
      </c>
      <c r="V41" s="777" t="s">
        <v>17</v>
      </c>
      <c r="W41" s="778">
        <f t="shared" si="14"/>
        <v>100</v>
      </c>
      <c r="X41" s="779"/>
      <c r="Y41" s="3302"/>
      <c r="Z41" s="780" t="str">
        <f t="shared" si="15"/>
        <v>进深比</v>
      </c>
      <c r="AA41" s="1815">
        <f t="shared" si="3"/>
        <v>1</v>
      </c>
      <c r="AB41" s="1815">
        <f t="shared" si="4"/>
        <v>1</v>
      </c>
      <c r="AC41" s="1815">
        <f t="shared" si="5"/>
        <v>1</v>
      </c>
    </row>
    <row r="42" spans="1:29" ht="15">
      <c r="A42" s="473"/>
      <c r="B42" s="423" t="s">
        <v>2662</v>
      </c>
      <c r="C42" s="2617"/>
      <c r="D42" s="436">
        <v>100</v>
      </c>
      <c r="E42" s="2617"/>
      <c r="F42" s="462">
        <f>SUMIF(122:122,E42,123:123)-SUMIF(122:122,C42,123:123)+100</f>
        <v>100</v>
      </c>
      <c r="G42" s="2617"/>
      <c r="H42" s="436">
        <f>SUMIF(122:122,G42,123:123)-SUMIF(122:122,C42,123:123)+100</f>
        <v>100</v>
      </c>
      <c r="I42" s="2617"/>
      <c r="J42" s="436">
        <f>SUMIF(122:122,I42,123:123)-SUMIF(122:122,C42,123:123)+100</f>
        <v>100</v>
      </c>
      <c r="K42" s="613"/>
      <c r="L42" s="1143"/>
      <c r="M42" s="1134"/>
      <c r="N42" s="1134"/>
      <c r="O42" s="1134"/>
      <c r="P42" s="3300"/>
      <c r="Q42" s="1814" t="str">
        <f t="shared" si="11"/>
        <v>内部装修</v>
      </c>
      <c r="R42" s="774" t="s">
        <v>17</v>
      </c>
      <c r="S42" s="775">
        <f t="shared" si="12"/>
        <v>100</v>
      </c>
      <c r="T42" s="774" t="s">
        <v>17</v>
      </c>
      <c r="U42" s="775">
        <f t="shared" si="13"/>
        <v>100</v>
      </c>
      <c r="V42" s="774" t="s">
        <v>17</v>
      </c>
      <c r="W42" s="775">
        <f t="shared" si="14"/>
        <v>100</v>
      </c>
      <c r="X42" s="1817"/>
      <c r="Y42" s="3302"/>
      <c r="Z42" s="1818" t="str">
        <f t="shared" si="15"/>
        <v>内部装修</v>
      </c>
      <c r="AA42" s="1815">
        <f t="shared" si="3"/>
        <v>1</v>
      </c>
      <c r="AB42" s="1815">
        <f t="shared" si="4"/>
        <v>1</v>
      </c>
      <c r="AC42" s="1815">
        <f t="shared" si="5"/>
        <v>1</v>
      </c>
    </row>
    <row r="43" spans="1:29" ht="15">
      <c r="A43" s="473"/>
      <c r="B43" s="423" t="s">
        <v>2570</v>
      </c>
      <c r="C43" s="2617"/>
      <c r="D43" s="436">
        <v>100</v>
      </c>
      <c r="E43" s="2617"/>
      <c r="F43" s="462">
        <f>SUMIF(124:124,E43,125:125)-SUMIF(124:124,C43,125:125)+100</f>
        <v>100</v>
      </c>
      <c r="G43" s="2617"/>
      <c r="H43" s="436">
        <f>SUMIF(124:124,G43,125:125)-SUMIF(124:124,C43,125:125)+100</f>
        <v>100</v>
      </c>
      <c r="I43" s="2617"/>
      <c r="J43" s="436">
        <f>SUMIF(124:124,I43,125:125)-SUMIF(124:124,C43,125:125)+100</f>
        <v>100</v>
      </c>
      <c r="K43" s="613"/>
      <c r="L43" s="1143"/>
      <c r="M43" s="1134"/>
      <c r="N43" s="1134"/>
      <c r="O43" s="1134"/>
      <c r="P43" s="3300"/>
      <c r="Q43" s="1814" t="str">
        <f t="shared" si="11"/>
        <v>内部装修维护情况</v>
      </c>
      <c r="R43" s="774" t="s">
        <v>17</v>
      </c>
      <c r="S43" s="775">
        <f t="shared" si="12"/>
        <v>100</v>
      </c>
      <c r="T43" s="774" t="s">
        <v>17</v>
      </c>
      <c r="U43" s="775">
        <f t="shared" si="13"/>
        <v>100</v>
      </c>
      <c r="V43" s="774" t="s">
        <v>17</v>
      </c>
      <c r="W43" s="775">
        <f t="shared" si="14"/>
        <v>100</v>
      </c>
      <c r="X43" s="1817"/>
      <c r="Y43" s="3302"/>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300"/>
      <c r="Q44" s="1799">
        <f t="shared" si="11"/>
        <v>111</v>
      </c>
      <c r="R44" s="770" t="s">
        <v>17</v>
      </c>
      <c r="S44" s="771">
        <f t="shared" si="12"/>
        <v>100</v>
      </c>
      <c r="T44" s="770" t="s">
        <v>17</v>
      </c>
      <c r="U44" s="771">
        <f t="shared" si="13"/>
        <v>100</v>
      </c>
      <c r="V44" s="770" t="s">
        <v>17</v>
      </c>
      <c r="W44" s="771">
        <f t="shared" si="14"/>
        <v>100</v>
      </c>
      <c r="X44" s="772"/>
      <c r="Y44" s="3302"/>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300"/>
      <c r="Q45" s="1814">
        <f t="shared" si="11"/>
        <v>111</v>
      </c>
      <c r="R45" s="774" t="s">
        <v>17</v>
      </c>
      <c r="S45" s="775">
        <f t="shared" si="12"/>
        <v>100</v>
      </c>
      <c r="T45" s="774" t="s">
        <v>17</v>
      </c>
      <c r="U45" s="775">
        <f t="shared" si="13"/>
        <v>100</v>
      </c>
      <c r="V45" s="774" t="s">
        <v>17</v>
      </c>
      <c r="W45" s="775">
        <f t="shared" si="14"/>
        <v>100</v>
      </c>
      <c r="X45" s="1817"/>
      <c r="Y45" s="3302"/>
      <c r="Z45" s="1818">
        <f t="shared" si="15"/>
        <v>111</v>
      </c>
      <c r="AA45" s="1815">
        <f t="shared" si="3"/>
        <v>1</v>
      </c>
      <c r="AB45" s="1815">
        <f t="shared" si="4"/>
        <v>1</v>
      </c>
      <c r="AC45" s="1815">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301"/>
      <c r="Q46" s="1814">
        <f t="shared" si="11"/>
        <v>111</v>
      </c>
      <c r="R46" s="774" t="s">
        <v>17</v>
      </c>
      <c r="S46" s="775">
        <f t="shared" si="12"/>
        <v>100</v>
      </c>
      <c r="T46" s="774" t="s">
        <v>17</v>
      </c>
      <c r="U46" s="775">
        <f t="shared" si="13"/>
        <v>100</v>
      </c>
      <c r="V46" s="774" t="s">
        <v>17</v>
      </c>
      <c r="W46" s="775">
        <f t="shared" si="14"/>
        <v>100</v>
      </c>
      <c r="X46" s="1817"/>
      <c r="Y46" s="3303"/>
      <c r="Z46" s="1818">
        <f t="shared" si="15"/>
        <v>111</v>
      </c>
      <c r="AA46" s="1815">
        <f t="shared" si="3"/>
        <v>1</v>
      </c>
      <c r="AB46" s="1815">
        <f t="shared" si="4"/>
        <v>1</v>
      </c>
      <c r="AC46" s="1815">
        <f t="shared" si="5"/>
        <v>1</v>
      </c>
    </row>
    <row r="47" spans="1:29" ht="15">
      <c r="A47" s="480" t="s">
        <v>2571</v>
      </c>
      <c r="B47" s="481"/>
      <c r="C47" s="1410" t="s">
        <v>1</v>
      </c>
      <c r="D47" s="1411"/>
      <c r="E47" s="1412"/>
      <c r="F47" s="1413"/>
      <c r="G47" s="1414"/>
      <c r="H47" s="1415"/>
      <c r="I47" s="1412"/>
      <c r="J47" s="1415"/>
      <c r="K47" s="783"/>
      <c r="L47" s="1146"/>
      <c r="M47" s="1147"/>
      <c r="N47" s="1134"/>
      <c r="O47" s="1147"/>
      <c r="P47" s="3304" t="str">
        <f>A47</f>
        <v>成交单价（元/平方米）</v>
      </c>
      <c r="Q47" s="3304"/>
      <c r="R47" s="3292">
        <f>E47</f>
        <v>0</v>
      </c>
      <c r="S47" s="3292"/>
      <c r="T47" s="3292">
        <f>G47</f>
        <v>0</v>
      </c>
      <c r="U47" s="3292"/>
      <c r="V47" s="3292">
        <f>I47</f>
        <v>0</v>
      </c>
      <c r="W47" s="3292"/>
      <c r="X47" s="759"/>
      <c r="Y47" s="781"/>
      <c r="Z47" s="759"/>
      <c r="AA47" s="759"/>
      <c r="AB47" s="759"/>
      <c r="AC47" s="759"/>
    </row>
    <row r="48" spans="1:29" ht="15.75" thickBot="1">
      <c r="A48" s="487" t="s">
        <v>2663</v>
      </c>
      <c r="B48" s="488"/>
      <c r="C48" s="1416" t="e">
        <f>R49</f>
        <v>#DIV/0!</v>
      </c>
      <c r="D48" s="1417"/>
      <c r="E48" s="1418" t="e">
        <f>R48</f>
        <v>#DIV/0!</v>
      </c>
      <c r="F48" s="1418"/>
      <c r="G48" s="1416" t="e">
        <f>T48</f>
        <v>#DIV/0!</v>
      </c>
      <c r="H48" s="1417"/>
      <c r="I48" s="1418" t="e">
        <f>V48</f>
        <v>#DIV/0!</v>
      </c>
      <c r="J48" s="1417"/>
      <c r="K48" s="784"/>
      <c r="L48" s="1146"/>
      <c r="M48" s="1147"/>
      <c r="N48" s="1134"/>
      <c r="O48" s="1147"/>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759"/>
      <c r="Y48" s="759"/>
      <c r="Z48" s="759"/>
      <c r="AA48" s="759"/>
      <c r="AB48" s="759"/>
      <c r="AC48" s="759"/>
    </row>
    <row r="49" spans="1:29" ht="15.75" thickBot="1">
      <c r="A49" s="493" t="s">
        <v>2664</v>
      </c>
      <c r="B49" s="494"/>
      <c r="C49" s="1420" t="e">
        <f>R49</f>
        <v>#DIV/0!</v>
      </c>
      <c r="D49" s="1420"/>
      <c r="E49" s="1420"/>
      <c r="F49" s="1420"/>
      <c r="G49" s="1420"/>
      <c r="H49" s="1420"/>
      <c r="I49" s="1420"/>
      <c r="J49" s="1420"/>
      <c r="K49" s="785"/>
      <c r="L49" s="1146"/>
      <c r="M49" s="1147"/>
      <c r="N49" s="1134"/>
      <c r="O49" s="1147"/>
      <c r="P49" s="3346" t="str">
        <f>A49</f>
        <v>估价对象XX用房的比较价值（楼面单价，元/平方米）</v>
      </c>
      <c r="Q49" s="3347"/>
      <c r="R49" s="3348" t="e">
        <f>IF(F1="售价",ROUND(AVERAGE(R48:V48),0),ROUND(AVERAGE(R48:V48),1))</f>
        <v>#DIV/0!</v>
      </c>
      <c r="S49" s="3348"/>
      <c r="T49" s="3348"/>
      <c r="U49" s="3348"/>
      <c r="V49" s="3348"/>
      <c r="W49" s="33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9" customFormat="1" ht="15">
      <c r="A58" s="506" t="s">
        <v>2542</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2"/>
    </row>
    <row r="60" spans="1:29" s="117" customFormat="1" ht="15.75" thickBot="1">
      <c r="A60" s="516" t="s">
        <v>2579</v>
      </c>
      <c r="B60" s="517"/>
      <c r="C60" s="518"/>
      <c r="D60" s="519"/>
      <c r="E60" s="519"/>
      <c r="F60" s="519"/>
      <c r="G60" s="519"/>
      <c r="H60" s="519"/>
      <c r="I60" s="519"/>
      <c r="J60" s="519"/>
      <c r="K60" s="519"/>
      <c r="L60" s="519"/>
      <c r="M60" s="520"/>
      <c r="N60" s="519"/>
      <c r="O60" s="520"/>
      <c r="P60" s="2632"/>
      <c r="Q60" s="505"/>
    </row>
    <row r="61" spans="1:29" s="117" customFormat="1" ht="15">
      <c r="A61" s="522" t="s">
        <v>2544</v>
      </c>
      <c r="B61" s="511"/>
      <c r="C61" s="523" t="s">
        <v>2646</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2582</v>
      </c>
      <c r="B63" s="529" t="s">
        <v>2548</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2551</v>
      </c>
      <c r="C65" s="540" t="s">
        <v>2583</v>
      </c>
      <c r="D65" s="540" t="s">
        <v>2584</v>
      </c>
      <c r="E65" s="540" t="s">
        <v>2585</v>
      </c>
      <c r="F65" s="540" t="s">
        <v>2586</v>
      </c>
      <c r="G65" s="540" t="s">
        <v>2587</v>
      </c>
      <c r="H65" s="540" t="s">
        <v>2588</v>
      </c>
      <c r="I65" s="540" t="s">
        <v>2589</v>
      </c>
      <c r="J65" s="540"/>
      <c r="K65" s="541"/>
      <c r="L65" s="542"/>
      <c r="M65" s="543"/>
      <c r="N65" s="1155"/>
      <c r="O65" s="1155"/>
      <c r="P65" s="2634"/>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4"/>
      <c r="Q66" s="505"/>
    </row>
    <row r="67" spans="1:17" ht="15.75" thickTop="1">
      <c r="A67" s="535"/>
      <c r="B67" s="547" t="s">
        <v>2552</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37"/>
      <c r="E73" s="537"/>
      <c r="F73" s="537"/>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2553</v>
      </c>
      <c r="B76" s="529" t="s">
        <v>2590</v>
      </c>
      <c r="C76" s="574" t="s">
        <v>2591</v>
      </c>
      <c r="D76" s="574" t="s">
        <v>2592</v>
      </c>
      <c r="E76" s="574" t="s">
        <v>2593</v>
      </c>
      <c r="F76" s="574" t="s">
        <v>2594</v>
      </c>
      <c r="G76" s="574" t="s">
        <v>2595</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2596</v>
      </c>
      <c r="C78" s="579" t="s">
        <v>2591</v>
      </c>
      <c r="D78" s="579" t="s">
        <v>2592</v>
      </c>
      <c r="E78" s="579" t="s">
        <v>2593</v>
      </c>
      <c r="F78" s="579" t="s">
        <v>2594</v>
      </c>
      <c r="G78" s="579" t="s">
        <v>2595</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2597</v>
      </c>
      <c r="C80" s="579" t="s">
        <v>2591</v>
      </c>
      <c r="D80" s="579" t="s">
        <v>2592</v>
      </c>
      <c r="E80" s="579" t="s">
        <v>2593</v>
      </c>
      <c r="F80" s="579" t="s">
        <v>2594</v>
      </c>
      <c r="G80" s="579" t="s">
        <v>2595</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2649</v>
      </c>
      <c r="C82" s="661" t="s">
        <v>2669</v>
      </c>
      <c r="D82" s="661" t="s">
        <v>2670</v>
      </c>
      <c r="E82" s="661" t="s">
        <v>2671</v>
      </c>
      <c r="F82" s="661" t="s">
        <v>2672</v>
      </c>
      <c r="G82" s="661" t="s">
        <v>2673</v>
      </c>
      <c r="H82" s="540"/>
      <c r="I82" s="540"/>
      <c r="J82" s="540"/>
      <c r="K82" s="540"/>
      <c r="L82" s="540"/>
      <c r="M82" s="1385"/>
      <c r="N82" s="1156"/>
      <c r="O82" s="1156"/>
      <c r="P82" s="2634"/>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4"/>
      <c r="Q83" s="505"/>
    </row>
    <row r="84" spans="1:17" ht="15.75" thickTop="1">
      <c r="A84" s="535"/>
      <c r="B84" s="539" t="s">
        <v>2603</v>
      </c>
      <c r="C84" s="579" t="s">
        <v>2591</v>
      </c>
      <c r="D84" s="579" t="s">
        <v>2592</v>
      </c>
      <c r="E84" s="579" t="s">
        <v>2593</v>
      </c>
      <c r="F84" s="579" t="s">
        <v>2594</v>
      </c>
      <c r="G84" s="579" t="s">
        <v>2595</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2674</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4"/>
      <c r="Q87" s="505"/>
    </row>
    <row r="88" spans="1:17" s="117" customFormat="1" ht="15.75" thickTop="1">
      <c r="A88" s="580"/>
      <c r="B88" s="539" t="str">
        <f>B26</f>
        <v>平面位置/可视性</v>
      </c>
      <c r="C88" s="555"/>
      <c r="D88" s="555"/>
      <c r="E88" s="555"/>
      <c r="F88" s="2639"/>
      <c r="G88" s="555"/>
      <c r="H88" s="555"/>
      <c r="I88" s="555"/>
      <c r="J88" s="555"/>
      <c r="K88" s="555"/>
      <c r="L88" s="555"/>
      <c r="M88" s="582"/>
      <c r="N88" s="1154"/>
      <c r="O88" s="1154"/>
      <c r="P88" s="2634"/>
      <c r="Q88" s="505"/>
    </row>
    <row r="89" spans="1:17" s="117" customFormat="1" ht="15.75" thickBot="1">
      <c r="A89" s="580"/>
      <c r="B89" s="544"/>
      <c r="C89" s="561"/>
      <c r="D89" s="537"/>
      <c r="E89" s="537"/>
      <c r="F89" s="537"/>
      <c r="G89" s="537"/>
      <c r="H89" s="537"/>
      <c r="I89" s="537"/>
      <c r="J89" s="537"/>
      <c r="K89" s="537"/>
      <c r="L89" s="537"/>
      <c r="M89" s="537"/>
      <c r="N89" s="1156"/>
      <c r="O89" s="1156"/>
      <c r="P89" s="2634"/>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5"/>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5"/>
      <c r="Q91" s="560"/>
    </row>
    <row r="92" spans="1:17" ht="15.75" thickTop="1">
      <c r="A92" s="535"/>
      <c r="B92" s="539" t="str">
        <f>B28</f>
        <v>楼层</v>
      </c>
      <c r="C92" s="555"/>
      <c r="D92" s="555"/>
      <c r="E92" s="555"/>
      <c r="F92" s="555"/>
      <c r="G92" s="555"/>
      <c r="H92" s="555"/>
      <c r="I92" s="555"/>
      <c r="J92" s="555"/>
      <c r="K92" s="555"/>
      <c r="L92" s="581"/>
      <c r="M92" s="582"/>
      <c r="N92" s="1155"/>
      <c r="O92" s="1155"/>
      <c r="P92" s="2634"/>
      <c r="Q92" s="505"/>
    </row>
    <row r="93" spans="1:17" ht="15.75" thickBot="1">
      <c r="A93" s="535"/>
      <c r="B93" s="544"/>
      <c r="C93" s="537"/>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37"/>
      <c r="E95" s="537"/>
      <c r="F95" s="537"/>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61"/>
      <c r="D97" s="537"/>
      <c r="E97" s="537"/>
      <c r="F97" s="537"/>
      <c r="G97" s="537"/>
      <c r="H97" s="537"/>
      <c r="I97" s="537"/>
      <c r="J97" s="537"/>
      <c r="K97" s="537"/>
      <c r="L97" s="537"/>
      <c r="M97" s="538"/>
      <c r="N97" s="1156"/>
      <c r="O97" s="1156"/>
      <c r="P97" s="2634"/>
      <c r="Q97" s="505"/>
    </row>
    <row r="98" spans="1:17" ht="15.75" thickTop="1">
      <c r="A98" s="535"/>
      <c r="B98" s="547">
        <f>B31</f>
        <v>111</v>
      </c>
      <c r="C98" s="555"/>
      <c r="D98" s="555"/>
      <c r="E98" s="555"/>
      <c r="F98" s="555"/>
      <c r="G98" s="588"/>
      <c r="H98" s="588"/>
      <c r="I98" s="588"/>
      <c r="J98" s="588"/>
      <c r="K98" s="589"/>
      <c r="L98" s="590"/>
      <c r="M98" s="591"/>
      <c r="N98" s="1155"/>
      <c r="O98" s="1155"/>
      <c r="P98" s="2634"/>
      <c r="Q98" s="505"/>
    </row>
    <row r="99" spans="1:17" ht="15.75" thickBot="1">
      <c r="A99" s="2640"/>
      <c r="B99" s="570"/>
      <c r="C99" s="571"/>
      <c r="D99" s="571"/>
      <c r="E99" s="571"/>
      <c r="F99" s="571"/>
      <c r="G99" s="592"/>
      <c r="H99" s="592"/>
      <c r="I99" s="592"/>
      <c r="J99" s="592"/>
      <c r="K99" s="592"/>
      <c r="L99" s="592"/>
      <c r="M99" s="593"/>
      <c r="N99" s="1156"/>
      <c r="O99" s="1156"/>
      <c r="P99" s="2634"/>
      <c r="Q99" s="505"/>
    </row>
    <row r="100" spans="1:17">
      <c r="A100" s="528" t="s">
        <v>2557</v>
      </c>
      <c r="B100" s="529" t="s">
        <v>2675</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4"/>
      <c r="Q101" s="505"/>
    </row>
    <row r="102" spans="1:17" ht="15.75" thickTop="1">
      <c r="A102" s="535"/>
      <c r="B102" s="539" t="s">
        <v>2607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5"/>
      <c r="Q104" s="560"/>
    </row>
    <row r="105" spans="1:17" ht="15" thickTop="1">
      <c r="A105" s="600"/>
      <c r="B105" s="539" t="s">
        <v>2608</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4"/>
      <c r="Q106" s="505"/>
    </row>
    <row r="107" spans="1:17" ht="15" thickTop="1">
      <c r="A107" s="600"/>
      <c r="B107" s="539" t="s">
        <v>2610</v>
      </c>
      <c r="C107" s="555"/>
      <c r="D107" s="555"/>
      <c r="E107" s="555"/>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4"/>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4"/>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4"/>
      <c r="Q111" s="505"/>
    </row>
    <row r="112" spans="1:17" s="472" customFormat="1" ht="15" thickTop="1">
      <c r="A112" s="594"/>
      <c r="B112" s="539" t="s">
        <v>2612</v>
      </c>
      <c r="C112" s="555"/>
      <c r="D112" s="555"/>
      <c r="E112" s="555"/>
      <c r="F112" s="555"/>
      <c r="G112" s="555"/>
      <c r="H112" s="584"/>
      <c r="I112" s="584"/>
      <c r="J112" s="584"/>
      <c r="K112" s="585"/>
      <c r="L112" s="586"/>
      <c r="M112" s="587"/>
      <c r="N112" s="1157"/>
      <c r="O112" s="1157"/>
      <c r="P112" s="2635"/>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5"/>
      <c r="Q113" s="560"/>
    </row>
    <row r="114" spans="1:17" ht="15" thickTop="1">
      <c r="A114" s="600"/>
      <c r="B114" s="539" t="s">
        <v>2676</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4"/>
      <c r="Q115" s="505"/>
    </row>
    <row r="116" spans="1:17" ht="15" thickTop="1">
      <c r="A116" s="600"/>
      <c r="B116" s="539" t="s">
        <v>2677</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2678</v>
      </c>
      <c r="C118" s="628"/>
      <c r="D118" s="628"/>
      <c r="E118" s="628"/>
      <c r="F118" s="628"/>
      <c r="G118" s="628"/>
      <c r="H118" s="556"/>
      <c r="I118" s="556"/>
      <c r="J118" s="556"/>
      <c r="K118" s="556"/>
      <c r="L118" s="557"/>
      <c r="M118" s="558"/>
      <c r="N118" s="1155"/>
      <c r="O118" s="1155"/>
      <c r="P118" s="2634"/>
      <c r="Q118" s="505"/>
    </row>
    <row r="119" spans="1:17" ht="15.75" thickBot="1">
      <c r="A119" s="535"/>
      <c r="B119" s="544"/>
      <c r="C119" s="561"/>
      <c r="D119" s="537"/>
      <c r="E119" s="537"/>
      <c r="F119" s="537"/>
      <c r="G119" s="537"/>
      <c r="H119" s="537"/>
      <c r="I119" s="537"/>
      <c r="J119" s="537"/>
      <c r="K119" s="537"/>
      <c r="L119" s="537"/>
      <c r="M119" s="538"/>
      <c r="N119" s="1156"/>
      <c r="O119" s="1156"/>
      <c r="P119" s="2634"/>
      <c r="Q119" s="505"/>
    </row>
    <row r="120" spans="1:17" s="472" customFormat="1" ht="15" thickTop="1">
      <c r="A120" s="594"/>
      <c r="B120" s="539" t="s">
        <v>2679</v>
      </c>
      <c r="C120" s="584"/>
      <c r="D120" s="584"/>
      <c r="E120" s="584"/>
      <c r="F120" s="584"/>
      <c r="G120" s="556"/>
      <c r="H120" s="556"/>
      <c r="I120" s="556"/>
      <c r="J120" s="556"/>
      <c r="K120" s="556"/>
      <c r="L120" s="557"/>
      <c r="M120" s="558"/>
      <c r="N120" s="1157"/>
      <c r="O120" s="1157"/>
      <c r="P120" s="2635"/>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5"/>
      <c r="Q121" s="560"/>
    </row>
    <row r="122" spans="1:17" ht="15" thickTop="1">
      <c r="A122" s="600"/>
      <c r="B122" s="539" t="s">
        <v>2614</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4"/>
      <c r="Q123" s="505"/>
    </row>
    <row r="124" spans="1:17" ht="15" thickTop="1">
      <c r="A124" s="600"/>
      <c r="B124" s="539" t="s">
        <v>2615</v>
      </c>
      <c r="C124" s="579" t="s">
        <v>2591</v>
      </c>
      <c r="D124" s="579" t="s">
        <v>2592</v>
      </c>
      <c r="E124" s="579" t="s">
        <v>2593</v>
      </c>
      <c r="F124" s="579" t="s">
        <v>2594</v>
      </c>
      <c r="G124" s="579" t="s">
        <v>2595</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37"/>
      <c r="E129" s="537"/>
      <c r="F129" s="537"/>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受贵公司委托，我公司对北京市朝阳区东三环中路59号楼501号等21套办公用房房地产市场价值进行了预评估。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2696</v>
      </c>
      <c r="C1" s="1624" t="s">
        <v>2524</v>
      </c>
      <c r="D1" s="1625"/>
      <c r="E1" s="1634"/>
      <c r="F1" s="2588"/>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t="e">
        <f ca="1">IF(C2="——",ROUND(C43*D3/10000,0),ROUND(C43*D3/10000,0)-D2)</f>
        <v>#DIV/0!</v>
      </c>
      <c r="C2" s="2590"/>
      <c r="D2" s="1127"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2323</v>
      </c>
      <c r="B3" s="610" t="e">
        <f ca="1">IF(C2="——",C43,ROUND(B2*10000/D3,0))</f>
        <v>#DIV/0!</v>
      </c>
      <c r="C3" s="401" t="s">
        <v>2638</v>
      </c>
      <c r="D3" s="400">
        <f>IF(D1="",'数据-汇总表'!E3,SUMIF('数据-汇总表'!$C19:$C33,D1,'数据-汇总表'!$E19:$E33))</f>
        <v>6960.5900000000011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59" t="s">
        <v>2642</v>
      </c>
      <c r="AC4" s="3331" t="s">
        <v>2643</v>
      </c>
    </row>
    <row r="5" spans="1:29"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59"/>
      <c r="AC5" s="3259"/>
    </row>
    <row r="6" spans="1:29" ht="15.75" thickBot="1">
      <c r="A6" s="407"/>
      <c r="B6" s="408"/>
      <c r="C6" s="3338" t="s">
        <v>2540</v>
      </c>
      <c r="D6" s="3339"/>
      <c r="E6" s="3340" t="s">
        <v>2540</v>
      </c>
      <c r="F6" s="3341"/>
      <c r="G6" s="3338" t="s">
        <v>2540</v>
      </c>
      <c r="H6" s="3339"/>
      <c r="I6" s="3338" t="s">
        <v>2540</v>
      </c>
      <c r="J6" s="3339"/>
      <c r="K6" s="611" t="s">
        <v>2541</v>
      </c>
      <c r="L6" s="1133"/>
      <c r="M6" s="1134"/>
      <c r="N6" s="1134"/>
      <c r="O6" s="1134"/>
      <c r="P6" s="3345"/>
      <c r="Q6" s="3288"/>
      <c r="R6" s="3265"/>
      <c r="S6" s="3266"/>
      <c r="T6" s="3289"/>
      <c r="U6" s="3290"/>
      <c r="V6" s="3292"/>
      <c r="W6" s="3292"/>
      <c r="X6" s="1817"/>
      <c r="Y6" s="3289"/>
      <c r="Z6" s="3290"/>
      <c r="AA6" s="3260"/>
      <c r="AB6" s="3260"/>
      <c r="AC6" s="3260"/>
    </row>
    <row r="7" spans="1:29" s="117" customFormat="1" ht="15.75" thickBot="1">
      <c r="A7" s="409" t="s">
        <v>2542</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61" t="s">
        <v>2543</v>
      </c>
      <c r="Q7" s="3294"/>
      <c r="R7" s="770" t="s">
        <v>17</v>
      </c>
      <c r="S7" s="771">
        <f t="shared" ref="S7:S15" si="0">F7</f>
        <v>0</v>
      </c>
      <c r="T7" s="770" t="s">
        <v>17</v>
      </c>
      <c r="U7" s="771">
        <f t="shared" ref="U7:U15" si="1">H7</f>
        <v>0</v>
      </c>
      <c r="V7" s="770" t="s">
        <v>17</v>
      </c>
      <c r="W7" s="771">
        <f t="shared" ref="W7:W15" si="2">J7</f>
        <v>0</v>
      </c>
      <c r="X7" s="772"/>
      <c r="Y7" s="3261" t="s">
        <v>2543</v>
      </c>
      <c r="Z7" s="3262"/>
      <c r="AA7" s="773" t="e">
        <f>D7/F7</f>
        <v>#DIV/0!</v>
      </c>
      <c r="AB7" s="773" t="e">
        <f>D7/H7</f>
        <v>#DIV/0!</v>
      </c>
      <c r="AC7" s="773" t="e">
        <f>D7/J7</f>
        <v>#DIV/0!</v>
      </c>
    </row>
    <row r="8" spans="1:29" s="117" customFormat="1" ht="15.75" thickBot="1">
      <c r="A8" s="409" t="s">
        <v>2544</v>
      </c>
      <c r="B8" s="410"/>
      <c r="C8" s="415" t="s">
        <v>2545</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40" si="3">D8/F8</f>
        <v>#DIV/0!</v>
      </c>
      <c r="AB8" s="773" t="e">
        <f t="shared" ref="AB8:AB40" si="4">D8/H8</f>
        <v>#DIV/0!</v>
      </c>
      <c r="AC8" s="773" t="e">
        <f t="shared" ref="AC8:AC40" si="5">D8/J8</f>
        <v>#DIV/0!</v>
      </c>
    </row>
    <row r="9" spans="1:29" s="117" customFormat="1">
      <c r="A9" s="416" t="s">
        <v>2547</v>
      </c>
      <c r="B9" s="71" t="s">
        <v>2548</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304"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304"/>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9"/>
      <c r="B11" s="423" t="s">
        <v>2552</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304"/>
      <c r="Q11" s="1799"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5"/>
      <c r="M12" s="1136"/>
      <c r="N12" s="1136"/>
      <c r="O12" s="1137"/>
      <c r="P12" s="3304"/>
      <c r="Q12" s="1799">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3"/>
      <c r="M13" s="1134"/>
      <c r="N13" s="1134"/>
      <c r="O13" s="1142"/>
      <c r="P13" s="3304"/>
      <c r="Q13" s="1799">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3"/>
      <c r="M14" s="1134"/>
      <c r="N14" s="1134"/>
      <c r="O14" s="1142"/>
      <c r="P14" s="3304"/>
      <c r="Q14" s="1799">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15">
      <c r="A15" s="441" t="s">
        <v>2553</v>
      </c>
      <c r="B15" s="69" t="s">
        <v>2697</v>
      </c>
      <c r="C15" s="2697">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97" t="s">
        <v>2554</v>
      </c>
      <c r="Q15" s="1814" t="str">
        <f t="shared" si="6"/>
        <v>产业集聚程度</v>
      </c>
      <c r="R15" s="774" t="s">
        <v>17</v>
      </c>
      <c r="S15" s="775">
        <f t="shared" si="0"/>
        <v>100</v>
      </c>
      <c r="T15" s="774" t="s">
        <v>17</v>
      </c>
      <c r="U15" s="775">
        <f t="shared" si="1"/>
        <v>100</v>
      </c>
      <c r="V15" s="774" t="s">
        <v>17</v>
      </c>
      <c r="W15" s="775">
        <f t="shared" si="2"/>
        <v>100</v>
      </c>
      <c r="X15" s="1817"/>
      <c r="Y15" s="3297" t="s">
        <v>2554</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298"/>
      <c r="Q16" s="1814"/>
      <c r="R16" s="774"/>
      <c r="S16" s="775"/>
      <c r="T16" s="774"/>
      <c r="U16" s="775"/>
      <c r="V16" s="774"/>
      <c r="W16" s="775"/>
      <c r="X16" s="1817"/>
      <c r="Y16" s="3298"/>
      <c r="Z16" s="1818"/>
      <c r="AA16" s="1815">
        <v>1</v>
      </c>
      <c r="AB16" s="1815">
        <v>1</v>
      </c>
      <c r="AC16" s="1815">
        <v>1</v>
      </c>
    </row>
    <row r="17" spans="1:29" ht="15">
      <c r="A17" s="429"/>
      <c r="B17" s="452" t="s">
        <v>2093</v>
      </c>
      <c r="C17" s="2611">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98"/>
      <c r="Q17" s="1814" t="str">
        <f>B17</f>
        <v>交通便捷度</v>
      </c>
      <c r="R17" s="774" t="s">
        <v>17</v>
      </c>
      <c r="S17" s="775">
        <f>F17</f>
        <v>100</v>
      </c>
      <c r="T17" s="774" t="s">
        <v>17</v>
      </c>
      <c r="U17" s="775">
        <f>H17</f>
        <v>100</v>
      </c>
      <c r="V17" s="774" t="s">
        <v>17</v>
      </c>
      <c r="W17" s="775">
        <f>J17</f>
        <v>100</v>
      </c>
      <c r="X17" s="1817"/>
      <c r="Y17" s="3298"/>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42"/>
      <c r="P18" s="3298"/>
      <c r="Q18" s="1814"/>
      <c r="R18" s="774"/>
      <c r="S18" s="775"/>
      <c r="T18" s="774"/>
      <c r="U18" s="775"/>
      <c r="V18" s="774"/>
      <c r="W18" s="775"/>
      <c r="X18" s="1817"/>
      <c r="Y18" s="3298"/>
      <c r="Z18" s="1818"/>
      <c r="AA18" s="1815">
        <v>1</v>
      </c>
      <c r="AB18" s="1815">
        <v>1</v>
      </c>
      <c r="AC18" s="1815">
        <v>1</v>
      </c>
    </row>
    <row r="19" spans="1:29" ht="15">
      <c r="A19" s="429"/>
      <c r="B19" s="452" t="s">
        <v>2682</v>
      </c>
      <c r="C19" s="2611">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98"/>
      <c r="Q19" s="1814" t="str">
        <f>B19</f>
        <v>公共配套设施</v>
      </c>
      <c r="R19" s="774" t="s">
        <v>17</v>
      </c>
      <c r="S19" s="775">
        <f>F19</f>
        <v>100</v>
      </c>
      <c r="T19" s="774" t="s">
        <v>17</v>
      </c>
      <c r="U19" s="775">
        <f>H19</f>
        <v>100</v>
      </c>
      <c r="V19" s="774" t="s">
        <v>17</v>
      </c>
      <c r="W19" s="775">
        <f>J19</f>
        <v>100</v>
      </c>
      <c r="X19" s="1817"/>
      <c r="Y19" s="3298"/>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42"/>
      <c r="P20" s="3298"/>
      <c r="Q20" s="1814"/>
      <c r="R20" s="774"/>
      <c r="S20" s="775"/>
      <c r="T20" s="774"/>
      <c r="U20" s="775"/>
      <c r="V20" s="774"/>
      <c r="W20" s="775"/>
      <c r="X20" s="1817"/>
      <c r="Y20" s="3298"/>
      <c r="Z20" s="1818"/>
      <c r="AA20" s="1815">
        <v>1</v>
      </c>
      <c r="AB20" s="1815">
        <v>1</v>
      </c>
      <c r="AC20" s="1815">
        <v>1</v>
      </c>
    </row>
    <row r="21" spans="1:29" ht="15">
      <c r="A21" s="429"/>
      <c r="B21" s="1387" t="s">
        <v>2683</v>
      </c>
      <c r="C21" s="2611">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98"/>
      <c r="Q21" s="1814" t="str">
        <f>B21</f>
        <v>基础设施水平</v>
      </c>
      <c r="R21" s="774" t="s">
        <v>17</v>
      </c>
      <c r="S21" s="775">
        <f>F21</f>
        <v>100</v>
      </c>
      <c r="T21" s="774" t="s">
        <v>17</v>
      </c>
      <c r="U21" s="775">
        <f>H21</f>
        <v>100</v>
      </c>
      <c r="V21" s="774" t="s">
        <v>17</v>
      </c>
      <c r="W21" s="775">
        <f>J21</f>
        <v>100</v>
      </c>
      <c r="X21" s="1817"/>
      <c r="Y21" s="329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42"/>
      <c r="P22" s="3298"/>
      <c r="Q22" s="1814"/>
      <c r="R22" s="774"/>
      <c r="S22" s="775"/>
      <c r="T22" s="774"/>
      <c r="U22" s="775"/>
      <c r="V22" s="774"/>
      <c r="W22" s="775"/>
      <c r="X22" s="1817"/>
      <c r="Y22" s="3298"/>
      <c r="Z22" s="1818"/>
      <c r="AA22" s="1815">
        <v>1</v>
      </c>
      <c r="AB22" s="1815">
        <v>1</v>
      </c>
      <c r="AC22" s="1815">
        <v>1</v>
      </c>
    </row>
    <row r="23" spans="1:29" ht="15">
      <c r="A23" s="429"/>
      <c r="B23" s="452" t="s">
        <v>2684</v>
      </c>
      <c r="C23" s="2611">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98"/>
      <c r="Q23" s="1814" t="str">
        <f>B23</f>
        <v>环境质量</v>
      </c>
      <c r="R23" s="774" t="s">
        <v>17</v>
      </c>
      <c r="S23" s="775">
        <f>F23</f>
        <v>100</v>
      </c>
      <c r="T23" s="774" t="s">
        <v>17</v>
      </c>
      <c r="U23" s="775">
        <f>H23</f>
        <v>100</v>
      </c>
      <c r="V23" s="774" t="s">
        <v>17</v>
      </c>
      <c r="W23" s="775">
        <f>J23</f>
        <v>100</v>
      </c>
      <c r="X23" s="1817"/>
      <c r="Y23" s="3298"/>
      <c r="Z23" s="1818" t="str">
        <f>Q23</f>
        <v>环境质量</v>
      </c>
      <c r="AA23" s="1815">
        <f t="shared" si="3"/>
        <v>1</v>
      </c>
      <c r="AB23" s="1815">
        <f t="shared" si="4"/>
        <v>1</v>
      </c>
      <c r="AC23" s="1815">
        <f t="shared" si="5"/>
        <v>1</v>
      </c>
    </row>
    <row r="24" spans="1:29" ht="15">
      <c r="A24" s="429"/>
      <c r="B24" s="1387"/>
      <c r="C24" s="448"/>
      <c r="D24" s="449"/>
      <c r="E24" s="2609"/>
      <c r="F24" s="450"/>
      <c r="G24" s="2608"/>
      <c r="H24" s="449"/>
      <c r="I24" s="2609"/>
      <c r="J24" s="449"/>
      <c r="K24" s="616"/>
      <c r="L24" s="1143"/>
      <c r="M24" s="1134"/>
      <c r="N24" s="1134"/>
      <c r="O24" s="1142"/>
      <c r="P24" s="3298"/>
      <c r="Q24" s="1814"/>
      <c r="R24" s="774"/>
      <c r="S24" s="775"/>
      <c r="T24" s="774"/>
      <c r="U24" s="775"/>
      <c r="V24" s="774"/>
      <c r="W24" s="775"/>
      <c r="X24" s="1817"/>
      <c r="Y24" s="3298"/>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98"/>
      <c r="Q25" s="1814">
        <f>B25</f>
        <v>111</v>
      </c>
      <c r="R25" s="774" t="s">
        <v>17</v>
      </c>
      <c r="S25" s="775">
        <f>F25</f>
        <v>100</v>
      </c>
      <c r="T25" s="774" t="s">
        <v>17</v>
      </c>
      <c r="U25" s="775">
        <f>H25</f>
        <v>100</v>
      </c>
      <c r="V25" s="774" t="s">
        <v>17</v>
      </c>
      <c r="W25" s="775">
        <f>J25</f>
        <v>100</v>
      </c>
      <c r="X25" s="1817"/>
      <c r="Y25" s="3298"/>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98"/>
      <c r="Q26" s="1814">
        <f t="shared" ref="Q26:Q40" si="11">B26</f>
        <v>111</v>
      </c>
      <c r="R26" s="774" t="s">
        <v>17</v>
      </c>
      <c r="S26" s="775">
        <f>F26</f>
        <v>100</v>
      </c>
      <c r="T26" s="774" t="s">
        <v>17</v>
      </c>
      <c r="U26" s="775">
        <f>H26</f>
        <v>100</v>
      </c>
      <c r="V26" s="774" t="s">
        <v>17</v>
      </c>
      <c r="W26" s="775">
        <f>J26</f>
        <v>100</v>
      </c>
      <c r="X26" s="1817"/>
      <c r="Y26" s="3298"/>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98"/>
      <c r="Q27" s="1799">
        <f t="shared" si="11"/>
        <v>111</v>
      </c>
      <c r="R27" s="770" t="s">
        <v>17</v>
      </c>
      <c r="S27" s="771">
        <f>F27</f>
        <v>100</v>
      </c>
      <c r="T27" s="770" t="s">
        <v>17</v>
      </c>
      <c r="U27" s="771">
        <f>H27</f>
        <v>100</v>
      </c>
      <c r="V27" s="770" t="s">
        <v>17</v>
      </c>
      <c r="W27" s="771">
        <f>J27</f>
        <v>100</v>
      </c>
      <c r="X27" s="772"/>
      <c r="Y27" s="3298"/>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98"/>
      <c r="Q28" s="1814">
        <f t="shared" si="11"/>
        <v>111</v>
      </c>
      <c r="R28" s="774" t="s">
        <v>17</v>
      </c>
      <c r="S28" s="775">
        <f t="shared" ref="S28:S40" si="12">F28</f>
        <v>100</v>
      </c>
      <c r="T28" s="774" t="s">
        <v>17</v>
      </c>
      <c r="U28" s="775">
        <f t="shared" ref="U28:U40" si="13">H28</f>
        <v>100</v>
      </c>
      <c r="V28" s="774" t="s">
        <v>17</v>
      </c>
      <c r="W28" s="775">
        <f t="shared" ref="W28:W40" si="14">J28</f>
        <v>100</v>
      </c>
      <c r="X28" s="1817"/>
      <c r="Y28" s="3298"/>
      <c r="Z28" s="1818">
        <f t="shared" ref="Z28:Z40" si="15">Q28</f>
        <v>111</v>
      </c>
      <c r="AA28" s="1815">
        <f t="shared" si="3"/>
        <v>1</v>
      </c>
      <c r="AB28" s="1815">
        <f t="shared" si="4"/>
        <v>1</v>
      </c>
      <c r="AC28" s="1815">
        <f t="shared" si="5"/>
        <v>1</v>
      </c>
    </row>
    <row r="29" spans="1:29" ht="15">
      <c r="A29" s="467" t="s">
        <v>2557</v>
      </c>
      <c r="B29" s="71" t="s">
        <v>2687</v>
      </c>
      <c r="C29" s="2683"/>
      <c r="D29" s="468">
        <v>100</v>
      </c>
      <c r="E29" s="2683"/>
      <c r="F29" s="462">
        <f>SUMIF(88:88,E29,89:89)-SUMIF(88:88,C29,89:89)+100</f>
        <v>100</v>
      </c>
      <c r="G29" s="2683"/>
      <c r="H29" s="436">
        <f>SUMIF(88:88,G29,89:89)-SUMIF(88:88,C29,89:89)+100</f>
        <v>100</v>
      </c>
      <c r="I29" s="2683"/>
      <c r="J29" s="468">
        <f>SUMIF(88:88,I29,89:89)-SUMIF(88:88,C29,89:89)+100</f>
        <v>100</v>
      </c>
      <c r="K29" s="613"/>
      <c r="L29" s="1143"/>
      <c r="M29" s="1134"/>
      <c r="N29" s="1134"/>
      <c r="O29" s="1142"/>
      <c r="P29" s="3349" t="s">
        <v>2559</v>
      </c>
      <c r="Q29" s="1814" t="str">
        <f t="shared" si="11"/>
        <v>建筑类型</v>
      </c>
      <c r="R29" s="774" t="s">
        <v>17</v>
      </c>
      <c r="S29" s="775">
        <f t="shared" si="12"/>
        <v>100</v>
      </c>
      <c r="T29" s="774" t="s">
        <v>17</v>
      </c>
      <c r="U29" s="775">
        <f t="shared" si="13"/>
        <v>100</v>
      </c>
      <c r="V29" s="774" t="s">
        <v>17</v>
      </c>
      <c r="W29" s="775">
        <f t="shared" si="14"/>
        <v>100</v>
      </c>
      <c r="X29" s="1817"/>
      <c r="Y29" s="3302" t="s">
        <v>2559</v>
      </c>
      <c r="Z29" s="1818" t="str">
        <f t="shared" si="15"/>
        <v>建筑类型</v>
      </c>
      <c r="AA29" s="1815">
        <f t="shared" si="3"/>
        <v>1</v>
      </c>
      <c r="AB29" s="1815">
        <f t="shared" si="4"/>
        <v>1</v>
      </c>
      <c r="AC29" s="1815">
        <f t="shared" si="5"/>
        <v>1</v>
      </c>
    </row>
    <row r="30" spans="1:29" s="472" customFormat="1" ht="15">
      <c r="A30" s="469"/>
      <c r="B30" s="423" t="s">
        <v>2560</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302"/>
      <c r="Q30" s="776" t="str">
        <f t="shared" si="11"/>
        <v>项目建筑规模</v>
      </c>
      <c r="R30" s="777" t="s">
        <v>17</v>
      </c>
      <c r="S30" s="778" t="e">
        <f t="shared" si="12"/>
        <v>#N/A</v>
      </c>
      <c r="T30" s="777" t="s">
        <v>17</v>
      </c>
      <c r="U30" s="778" t="e">
        <f t="shared" si="13"/>
        <v>#N/A</v>
      </c>
      <c r="V30" s="777" t="s">
        <v>17</v>
      </c>
      <c r="W30" s="778" t="e">
        <f t="shared" si="14"/>
        <v>#N/A</v>
      </c>
      <c r="X30" s="779"/>
      <c r="Y30" s="3302"/>
      <c r="Z30" s="780" t="str">
        <f t="shared" si="15"/>
        <v>项目建筑规模</v>
      </c>
      <c r="AA30" s="1815" t="e">
        <f t="shared" si="3"/>
        <v>#N/A</v>
      </c>
      <c r="AB30" s="1815" t="e">
        <f t="shared" si="4"/>
        <v>#N/A</v>
      </c>
      <c r="AC30" s="1815" t="e">
        <f t="shared" si="5"/>
        <v>#N/A</v>
      </c>
    </row>
    <row r="31" spans="1:29" ht="15">
      <c r="A31" s="473"/>
      <c r="B31" s="423" t="s">
        <v>2561</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302"/>
      <c r="Q31" s="1814" t="str">
        <f t="shared" si="11"/>
        <v>建筑结构</v>
      </c>
      <c r="R31" s="774" t="s">
        <v>17</v>
      </c>
      <c r="S31" s="775">
        <f t="shared" si="12"/>
        <v>100</v>
      </c>
      <c r="T31" s="774" t="s">
        <v>17</v>
      </c>
      <c r="U31" s="775">
        <f t="shared" si="13"/>
        <v>100</v>
      </c>
      <c r="V31" s="774" t="s">
        <v>17</v>
      </c>
      <c r="W31" s="775">
        <f t="shared" si="14"/>
        <v>100</v>
      </c>
      <c r="X31" s="1817"/>
      <c r="Y31" s="3302"/>
      <c r="Z31" s="1818" t="str">
        <f t="shared" si="15"/>
        <v>建筑结构</v>
      </c>
      <c r="AA31" s="1815">
        <f t="shared" si="3"/>
        <v>1</v>
      </c>
      <c r="AB31" s="1815">
        <f t="shared" si="4"/>
        <v>1</v>
      </c>
      <c r="AC31" s="1815">
        <f t="shared" si="5"/>
        <v>1</v>
      </c>
    </row>
    <row r="32" spans="1:29" ht="15">
      <c r="A32" s="473"/>
      <c r="B32" s="423" t="s">
        <v>2655</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302"/>
      <c r="Q32" s="1814" t="str">
        <f t="shared" si="11"/>
        <v>公共部分装修</v>
      </c>
      <c r="R32" s="774" t="s">
        <v>17</v>
      </c>
      <c r="S32" s="775">
        <f t="shared" si="12"/>
        <v>100</v>
      </c>
      <c r="T32" s="774" t="s">
        <v>17</v>
      </c>
      <c r="U32" s="775">
        <f t="shared" si="13"/>
        <v>100</v>
      </c>
      <c r="V32" s="774" t="s">
        <v>17</v>
      </c>
      <c r="W32" s="775">
        <f t="shared" si="14"/>
        <v>100</v>
      </c>
      <c r="X32" s="1817"/>
      <c r="Y32" s="3302"/>
      <c r="Z32" s="1818" t="str">
        <f t="shared" si="15"/>
        <v>公共部分装修</v>
      </c>
      <c r="AA32" s="1815">
        <f t="shared" si="3"/>
        <v>1</v>
      </c>
      <c r="AB32" s="1815">
        <f t="shared" si="4"/>
        <v>1</v>
      </c>
      <c r="AC32" s="1815">
        <f t="shared" si="5"/>
        <v>1</v>
      </c>
    </row>
    <row r="33" spans="1:29" ht="15">
      <c r="A33" s="473"/>
      <c r="B33" s="423" t="s">
        <v>2656</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302"/>
      <c r="Q33" s="1814" t="str">
        <f t="shared" si="11"/>
        <v>成新度</v>
      </c>
      <c r="R33" s="774" t="s">
        <v>17</v>
      </c>
      <c r="S33" s="775" t="e">
        <f t="shared" si="12"/>
        <v>#N/A</v>
      </c>
      <c r="T33" s="774" t="s">
        <v>17</v>
      </c>
      <c r="U33" s="775" t="e">
        <f t="shared" si="13"/>
        <v>#N/A</v>
      </c>
      <c r="V33" s="774" t="s">
        <v>17</v>
      </c>
      <c r="W33" s="775" t="e">
        <f t="shared" si="14"/>
        <v>#N/A</v>
      </c>
      <c r="X33" s="1817"/>
      <c r="Y33" s="3302"/>
      <c r="Z33" s="1818" t="str">
        <f t="shared" si="15"/>
        <v>成新度</v>
      </c>
      <c r="AA33" s="1815" t="e">
        <f t="shared" si="3"/>
        <v>#N/A</v>
      </c>
      <c r="AB33" s="1815" t="e">
        <f t="shared" si="4"/>
        <v>#N/A</v>
      </c>
      <c r="AC33" s="1815" t="e">
        <f t="shared" si="5"/>
        <v>#N/A</v>
      </c>
    </row>
    <row r="34" spans="1:29" s="117" customFormat="1" ht="15">
      <c r="A34" s="474"/>
      <c r="B34" s="423" t="s">
        <v>2689</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302"/>
      <c r="Q34" s="1799" t="str">
        <f t="shared" si="11"/>
        <v>物业管理</v>
      </c>
      <c r="R34" s="770" t="s">
        <v>17</v>
      </c>
      <c r="S34" s="771">
        <f t="shared" si="12"/>
        <v>100</v>
      </c>
      <c r="T34" s="770" t="s">
        <v>17</v>
      </c>
      <c r="U34" s="771">
        <f t="shared" si="13"/>
        <v>100</v>
      </c>
      <c r="V34" s="770" t="s">
        <v>17</v>
      </c>
      <c r="W34" s="771">
        <f t="shared" si="14"/>
        <v>100</v>
      </c>
      <c r="X34" s="772"/>
      <c r="Y34" s="3302"/>
      <c r="Z34" s="55" t="str">
        <f t="shared" si="15"/>
        <v>物业管理</v>
      </c>
      <c r="AA34" s="773">
        <f t="shared" si="3"/>
        <v>1</v>
      </c>
      <c r="AB34" s="773">
        <f t="shared" si="4"/>
        <v>1</v>
      </c>
      <c r="AC34" s="773">
        <f t="shared" si="5"/>
        <v>1</v>
      </c>
    </row>
    <row r="35" spans="1:29" ht="15">
      <c r="A35" s="473"/>
      <c r="B35" s="423" t="s">
        <v>2657</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302" t="s">
        <v>2559</v>
      </c>
      <c r="Q35" s="1814" t="str">
        <f t="shared" si="11"/>
        <v>市政基础设施</v>
      </c>
      <c r="R35" s="774" t="s">
        <v>17</v>
      </c>
      <c r="S35" s="775">
        <f t="shared" si="12"/>
        <v>100</v>
      </c>
      <c r="T35" s="774" t="s">
        <v>17</v>
      </c>
      <c r="U35" s="775">
        <f t="shared" si="13"/>
        <v>100</v>
      </c>
      <c r="V35" s="774" t="s">
        <v>17</v>
      </c>
      <c r="W35" s="775">
        <f t="shared" si="14"/>
        <v>100</v>
      </c>
      <c r="X35" s="1817"/>
      <c r="Y35" s="3302" t="s">
        <v>2559</v>
      </c>
      <c r="Z35" s="1818" t="str">
        <f t="shared" si="15"/>
        <v>市政基础设施</v>
      </c>
      <c r="AA35" s="1815">
        <f t="shared" si="3"/>
        <v>1</v>
      </c>
      <c r="AB35" s="1815">
        <f t="shared" si="4"/>
        <v>1</v>
      </c>
      <c r="AC35" s="1815">
        <f t="shared" si="5"/>
        <v>1</v>
      </c>
    </row>
    <row r="36" spans="1:29" ht="15">
      <c r="A36" s="473"/>
      <c r="B36" s="423" t="s">
        <v>2662</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302"/>
      <c r="Q36" s="1814" t="str">
        <f t="shared" si="11"/>
        <v>内部装修</v>
      </c>
      <c r="R36" s="774" t="s">
        <v>17</v>
      </c>
      <c r="S36" s="775">
        <f t="shared" si="12"/>
        <v>100</v>
      </c>
      <c r="T36" s="774" t="s">
        <v>17</v>
      </c>
      <c r="U36" s="775">
        <f t="shared" si="13"/>
        <v>100</v>
      </c>
      <c r="V36" s="774" t="s">
        <v>17</v>
      </c>
      <c r="W36" s="775">
        <f t="shared" si="14"/>
        <v>100</v>
      </c>
      <c r="X36" s="1817"/>
      <c r="Y36" s="3302"/>
      <c r="Z36" s="1818" t="str">
        <f t="shared" si="15"/>
        <v>内部装修</v>
      </c>
      <c r="AA36" s="1815">
        <f t="shared" si="3"/>
        <v>1</v>
      </c>
      <c r="AB36" s="1815">
        <f t="shared" si="4"/>
        <v>1</v>
      </c>
      <c r="AC36" s="1815">
        <f t="shared" si="5"/>
        <v>1</v>
      </c>
    </row>
    <row r="37" spans="1:29" ht="15">
      <c r="A37" s="473"/>
      <c r="B37" s="423" t="s">
        <v>2698</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302"/>
      <c r="Q37" s="1814" t="str">
        <f t="shared" si="11"/>
        <v>内部装修状况</v>
      </c>
      <c r="R37" s="774" t="s">
        <v>17</v>
      </c>
      <c r="S37" s="775">
        <f t="shared" si="12"/>
        <v>100</v>
      </c>
      <c r="T37" s="774" t="s">
        <v>17</v>
      </c>
      <c r="U37" s="775">
        <f t="shared" si="13"/>
        <v>100</v>
      </c>
      <c r="V37" s="774" t="s">
        <v>17</v>
      </c>
      <c r="W37" s="775">
        <f t="shared" si="14"/>
        <v>100</v>
      </c>
      <c r="X37" s="1817"/>
      <c r="Y37" s="3302"/>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302"/>
      <c r="Q38" s="776">
        <f t="shared" si="11"/>
        <v>111</v>
      </c>
      <c r="R38" s="777" t="s">
        <v>17</v>
      </c>
      <c r="S38" s="778">
        <f t="shared" si="12"/>
        <v>100</v>
      </c>
      <c r="T38" s="777" t="s">
        <v>17</v>
      </c>
      <c r="U38" s="778">
        <f t="shared" si="13"/>
        <v>100</v>
      </c>
      <c r="V38" s="777" t="s">
        <v>17</v>
      </c>
      <c r="W38" s="778">
        <f t="shared" si="14"/>
        <v>100</v>
      </c>
      <c r="X38" s="779"/>
      <c r="Y38" s="3302"/>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302"/>
      <c r="Q39" s="1814">
        <f t="shared" si="11"/>
        <v>111</v>
      </c>
      <c r="R39" s="774" t="s">
        <v>17</v>
      </c>
      <c r="S39" s="775">
        <f t="shared" si="12"/>
        <v>100</v>
      </c>
      <c r="T39" s="774" t="s">
        <v>17</v>
      </c>
      <c r="U39" s="775">
        <f t="shared" si="13"/>
        <v>100</v>
      </c>
      <c r="V39" s="774" t="s">
        <v>17</v>
      </c>
      <c r="W39" s="775">
        <f t="shared" si="14"/>
        <v>100</v>
      </c>
      <c r="X39" s="1817"/>
      <c r="Y39" s="3302"/>
      <c r="Z39" s="1818">
        <f t="shared" si="15"/>
        <v>111</v>
      </c>
      <c r="AA39" s="1815">
        <f t="shared" si="3"/>
        <v>1</v>
      </c>
      <c r="AB39" s="1815">
        <f t="shared" si="4"/>
        <v>1</v>
      </c>
      <c r="AC39" s="1815">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303"/>
      <c r="Q40" s="1814">
        <f t="shared" si="11"/>
        <v>111</v>
      </c>
      <c r="R40" s="774" t="s">
        <v>17</v>
      </c>
      <c r="S40" s="775">
        <f t="shared" si="12"/>
        <v>100</v>
      </c>
      <c r="T40" s="774" t="s">
        <v>17</v>
      </c>
      <c r="U40" s="775">
        <f t="shared" si="13"/>
        <v>100</v>
      </c>
      <c r="V40" s="774" t="s">
        <v>17</v>
      </c>
      <c r="W40" s="775">
        <f t="shared" si="14"/>
        <v>100</v>
      </c>
      <c r="X40" s="1817"/>
      <c r="Y40" s="3303"/>
      <c r="Z40" s="1818">
        <f t="shared" si="15"/>
        <v>111</v>
      </c>
      <c r="AA40" s="1815">
        <f t="shared" si="3"/>
        <v>1</v>
      </c>
      <c r="AB40" s="1815">
        <f t="shared" si="4"/>
        <v>1</v>
      </c>
      <c r="AC40" s="1815">
        <f t="shared" si="5"/>
        <v>1</v>
      </c>
    </row>
    <row r="41" spans="1:29" ht="15">
      <c r="A41" s="480" t="s">
        <v>2571</v>
      </c>
      <c r="B41" s="481"/>
      <c r="C41" s="1410" t="s">
        <v>1</v>
      </c>
      <c r="D41" s="1411"/>
      <c r="E41" s="1412"/>
      <c r="F41" s="1413"/>
      <c r="G41" s="1414"/>
      <c r="H41" s="1415"/>
      <c r="I41" s="1412"/>
      <c r="J41" s="1415"/>
      <c r="K41" s="783"/>
      <c r="L41" s="1146"/>
      <c r="M41" s="1147"/>
      <c r="N41" s="1134"/>
      <c r="O41" s="1147"/>
      <c r="P41" s="3304" t="str">
        <f>A41</f>
        <v>成交单价（元/平方米）</v>
      </c>
      <c r="Q41" s="3304"/>
      <c r="R41" s="3305">
        <f>E41</f>
        <v>0</v>
      </c>
      <c r="S41" s="3305"/>
      <c r="T41" s="3305">
        <f>G41</f>
        <v>0</v>
      </c>
      <c r="U41" s="3305"/>
      <c r="V41" s="3305">
        <f>I41</f>
        <v>0</v>
      </c>
      <c r="W41" s="3305"/>
      <c r="X41" s="759"/>
      <c r="Y41" s="781"/>
      <c r="Z41" s="759"/>
      <c r="AA41" s="759"/>
      <c r="AB41" s="759"/>
      <c r="AC41" s="759"/>
    </row>
    <row r="42" spans="1:29" ht="15.75" thickBot="1">
      <c r="A42" s="487" t="s">
        <v>2663</v>
      </c>
      <c r="B42" s="488"/>
      <c r="C42" s="1416" t="e">
        <f>R43</f>
        <v>#DIV/0!</v>
      </c>
      <c r="D42" s="1417"/>
      <c r="E42" s="1418" t="e">
        <f>R42</f>
        <v>#DIV/0!</v>
      </c>
      <c r="F42" s="1418"/>
      <c r="G42" s="1416" t="e">
        <f>T42</f>
        <v>#DIV/0!</v>
      </c>
      <c r="H42" s="1417"/>
      <c r="I42" s="1418" t="e">
        <f>V42</f>
        <v>#DIV/0!</v>
      </c>
      <c r="J42" s="1417"/>
      <c r="K42" s="784"/>
      <c r="L42" s="1146"/>
      <c r="M42" s="1147"/>
      <c r="N42" s="1134"/>
      <c r="O42" s="1147"/>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759"/>
      <c r="Y42" s="759"/>
      <c r="Z42" s="759"/>
      <c r="AA42" s="759"/>
      <c r="AB42" s="759"/>
      <c r="AC42" s="759"/>
    </row>
    <row r="43" spans="1:29" ht="15.75" thickBot="1">
      <c r="A43" s="493" t="s">
        <v>2664</v>
      </c>
      <c r="B43" s="494"/>
      <c r="C43" s="1420" t="e">
        <f>R43</f>
        <v>#DIV/0!</v>
      </c>
      <c r="D43" s="1420"/>
      <c r="E43" s="1420"/>
      <c r="F43" s="1420"/>
      <c r="G43" s="1420"/>
      <c r="H43" s="1420"/>
      <c r="I43" s="1420"/>
      <c r="J43" s="1420"/>
      <c r="K43" s="785"/>
      <c r="L43" s="1146"/>
      <c r="M43" s="1147"/>
      <c r="N43" s="1147"/>
      <c r="O43" s="1147"/>
      <c r="P43" s="3346" t="str">
        <f>A43</f>
        <v>估价对象XX用房的比较价值（楼面单价，元/平方米）</v>
      </c>
      <c r="Q43" s="3347"/>
      <c r="R43" s="3348" t="e">
        <f>IF(F1="售价",ROUND(AVERAGE(R42:V42),0),ROUND(AVERAGE(R42:V42),1))</f>
        <v>#DIV/0!</v>
      </c>
      <c r="S43" s="3348"/>
      <c r="T43" s="3348"/>
      <c r="U43" s="3348"/>
      <c r="V43" s="3348"/>
      <c r="W43" s="334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2665</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2666</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2667</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4"/>
      <c r="Q51" s="505"/>
    </row>
    <row r="52" spans="1:17" s="509" customFormat="1" ht="15">
      <c r="A52" s="506" t="s">
        <v>2542</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2579</v>
      </c>
      <c r="B54" s="517"/>
      <c r="C54" s="518"/>
      <c r="D54" s="519"/>
      <c r="E54" s="519"/>
      <c r="F54" s="519"/>
      <c r="G54" s="519"/>
      <c r="H54" s="519"/>
      <c r="I54" s="519"/>
      <c r="J54" s="519"/>
      <c r="K54" s="519"/>
      <c r="L54" s="519"/>
      <c r="M54" s="520"/>
      <c r="N54" s="519"/>
      <c r="O54" s="521"/>
      <c r="P54" s="505"/>
      <c r="Q54" s="505"/>
    </row>
    <row r="55" spans="1:17" s="117" customFormat="1" ht="15">
      <c r="A55" s="522" t="s">
        <v>2544</v>
      </c>
      <c r="B55" s="511"/>
      <c r="C55" s="523" t="s">
        <v>2646</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2582</v>
      </c>
      <c r="B57" s="529" t="s">
        <v>2548</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2551</v>
      </c>
      <c r="C59" s="540" t="s">
        <v>2583</v>
      </c>
      <c r="D59" s="540" t="s">
        <v>2584</v>
      </c>
      <c r="E59" s="540" t="s">
        <v>2585</v>
      </c>
      <c r="F59" s="540" t="s">
        <v>2586</v>
      </c>
      <c r="G59" s="540" t="s">
        <v>2587</v>
      </c>
      <c r="H59" s="540" t="s">
        <v>2588</v>
      </c>
      <c r="I59" s="540" t="s">
        <v>2589</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2552</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2553</v>
      </c>
      <c r="B70" s="529" t="s">
        <v>2699</v>
      </c>
      <c r="C70" s="574" t="s">
        <v>2591</v>
      </c>
      <c r="D70" s="574" t="s">
        <v>2592</v>
      </c>
      <c r="E70" s="574" t="s">
        <v>2593</v>
      </c>
      <c r="F70" s="574" t="s">
        <v>2594</v>
      </c>
      <c r="G70" s="574" t="s">
        <v>2595</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2596</v>
      </c>
      <c r="C72" s="579" t="s">
        <v>2591</v>
      </c>
      <c r="D72" s="579" t="s">
        <v>2592</v>
      </c>
      <c r="E72" s="579" t="s">
        <v>2593</v>
      </c>
      <c r="F72" s="579" t="s">
        <v>2594</v>
      </c>
      <c r="G72" s="579" t="s">
        <v>2595</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2597</v>
      </c>
      <c r="C74" s="579" t="s">
        <v>2591</v>
      </c>
      <c r="D74" s="579" t="s">
        <v>2592</v>
      </c>
      <c r="E74" s="579" t="s">
        <v>2593</v>
      </c>
      <c r="F74" s="579" t="s">
        <v>2594</v>
      </c>
      <c r="G74" s="579" t="s">
        <v>2595</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2683</v>
      </c>
      <c r="C76" s="661" t="s">
        <v>2669</v>
      </c>
      <c r="D76" s="661" t="s">
        <v>2670</v>
      </c>
      <c r="E76" s="661" t="s">
        <v>2671</v>
      </c>
      <c r="F76" s="661" t="s">
        <v>2672</v>
      </c>
      <c r="G76" s="661" t="s">
        <v>2673</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2692</v>
      </c>
      <c r="C78" s="579" t="s">
        <v>2591</v>
      </c>
      <c r="D78" s="579" t="s">
        <v>2592</v>
      </c>
      <c r="E78" s="579" t="s">
        <v>2593</v>
      </c>
      <c r="F78" s="579" t="s">
        <v>2594</v>
      </c>
      <c r="G78" s="579" t="s">
        <v>2595</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0"/>
      <c r="B87" s="570"/>
      <c r="C87" s="571"/>
      <c r="D87" s="571"/>
      <c r="E87" s="571"/>
      <c r="F87" s="571"/>
      <c r="G87" s="592"/>
      <c r="H87" s="592"/>
      <c r="I87" s="592"/>
      <c r="J87" s="592"/>
      <c r="K87" s="592"/>
      <c r="L87" s="592"/>
      <c r="M87" s="593"/>
      <c r="N87" s="1156"/>
      <c r="O87" s="1156"/>
      <c r="P87" s="45"/>
      <c r="Q87" s="505"/>
    </row>
    <row r="88" spans="1:17">
      <c r="A88" s="528" t="s">
        <v>2557</v>
      </c>
      <c r="B88" s="529" t="s">
        <v>2606</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2607</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2608</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2610</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2611</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2612</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2614</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2700</v>
      </c>
      <c r="C106" s="579" t="s">
        <v>2591</v>
      </c>
      <c r="D106" s="579" t="s">
        <v>2592</v>
      </c>
      <c r="E106" s="579" t="s">
        <v>2593</v>
      </c>
      <c r="F106" s="579" t="s">
        <v>2594</v>
      </c>
      <c r="G106" s="579" t="s">
        <v>2595</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0"/>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2701</v>
      </c>
      <c r="B1" s="1623"/>
      <c r="C1" s="1624" t="s">
        <v>2524</v>
      </c>
      <c r="D1" s="1625"/>
      <c r="E1" s="1626"/>
      <c r="F1" s="2588"/>
      <c r="G1" s="1627" t="s">
        <v>2637</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2321</v>
      </c>
      <c r="B2" s="1421" t="e">
        <f ca="1">IF(C2="——",IF(B37="元/平方米",ROUND(C39*D3/10000,0),ROUND(F3*C39/10000,0)),IF(B37="元/平方米",ROUND(C39*D3/10000,0),ROUND(F3*C39/10000,0))-D2)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2323</v>
      </c>
      <c r="B3" s="610" t="e">
        <f ca="1">IF(AND(C2="——",B37="元/平方米"),C39,ROUND(B2*10000/D3,0))</f>
        <v>#DIV/0!</v>
      </c>
      <c r="C3" s="401" t="s">
        <v>2638</v>
      </c>
      <c r="D3" s="400">
        <f>SUMIF('数据-汇总表'!$C19:$C33,D1,'数据-汇总表'!$E19:$E33)</f>
        <v>0</v>
      </c>
      <c r="E3" s="401" t="s">
        <v>2702</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59" t="s">
        <v>2642</v>
      </c>
      <c r="AC4" s="3331" t="s">
        <v>2643</v>
      </c>
    </row>
    <row r="5" spans="1:29"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59"/>
      <c r="AC5" s="3259"/>
    </row>
    <row r="6" spans="1:29" ht="15.75" thickBot="1">
      <c r="A6" s="407"/>
      <c r="B6" s="408"/>
      <c r="C6" s="3338" t="s">
        <v>2540</v>
      </c>
      <c r="D6" s="3339"/>
      <c r="E6" s="3340" t="s">
        <v>2540</v>
      </c>
      <c r="F6" s="3341"/>
      <c r="G6" s="3338" t="s">
        <v>2540</v>
      </c>
      <c r="H6" s="3339"/>
      <c r="I6" s="3338" t="s">
        <v>2540</v>
      </c>
      <c r="J6" s="3339"/>
      <c r="K6" s="611" t="s">
        <v>2541</v>
      </c>
      <c r="L6" s="1133"/>
      <c r="M6" s="1134"/>
      <c r="N6" s="1134"/>
      <c r="O6" s="1134"/>
      <c r="P6" s="3345"/>
      <c r="Q6" s="3288"/>
      <c r="R6" s="3265"/>
      <c r="S6" s="3266"/>
      <c r="T6" s="3289"/>
      <c r="U6" s="3290"/>
      <c r="V6" s="3292"/>
      <c r="W6" s="3292"/>
      <c r="X6" s="1817"/>
      <c r="Y6" s="3289"/>
      <c r="Z6" s="3290"/>
      <c r="AA6" s="3260"/>
      <c r="AB6" s="3260"/>
      <c r="AC6" s="3260"/>
    </row>
    <row r="7" spans="1:29" s="117" customFormat="1" ht="15.75" thickBot="1">
      <c r="A7" s="409" t="s">
        <v>2542</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61" t="s">
        <v>2543</v>
      </c>
      <c r="Q7" s="3294"/>
      <c r="R7" s="770" t="s">
        <v>17</v>
      </c>
      <c r="S7" s="771">
        <f t="shared" ref="S7:S14" si="0">F7</f>
        <v>0</v>
      </c>
      <c r="T7" s="770" t="s">
        <v>17</v>
      </c>
      <c r="U7" s="771">
        <f t="shared" ref="U7:U14" si="1">H7</f>
        <v>0</v>
      </c>
      <c r="V7" s="770" t="s">
        <v>17</v>
      </c>
      <c r="W7" s="771">
        <f t="shared" ref="W7:W14" si="2">J7</f>
        <v>0</v>
      </c>
      <c r="X7" s="772"/>
      <c r="Y7" s="3261" t="s">
        <v>2543</v>
      </c>
      <c r="Z7" s="3262"/>
      <c r="AA7" s="773" t="e">
        <f>D7/F7</f>
        <v>#DIV/0!</v>
      </c>
      <c r="AB7" s="773" t="e">
        <f>D7/H7</f>
        <v>#DIV/0!</v>
      </c>
      <c r="AC7" s="773" t="e">
        <f>D7/J7</f>
        <v>#DIV/0!</v>
      </c>
    </row>
    <row r="8" spans="1:29" s="117" customFormat="1" ht="15.75" thickBot="1">
      <c r="A8" s="409" t="s">
        <v>2544</v>
      </c>
      <c r="B8" s="410"/>
      <c r="C8" s="415" t="s">
        <v>2646</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36" si="3">D8/F8</f>
        <v>#DIV/0!</v>
      </c>
      <c r="AB8" s="773" t="e">
        <f t="shared" ref="AB8:AB36" si="4">D8/H8</f>
        <v>#DIV/0!</v>
      </c>
      <c r="AC8" s="773" t="e">
        <f t="shared" ref="AC8:AC36" si="5">D8/J8</f>
        <v>#DIV/0!</v>
      </c>
    </row>
    <row r="9" spans="1:29" s="117" customFormat="1">
      <c r="A9" s="68" t="s">
        <v>2547</v>
      </c>
      <c r="B9" s="641" t="s">
        <v>2548</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304" t="s">
        <v>2549</v>
      </c>
      <c r="Q9" s="1799" t="str">
        <f t="shared" ref="Q9:Q14" si="6">B9</f>
        <v>用途</v>
      </c>
      <c r="R9" s="770" t="s">
        <v>17</v>
      </c>
      <c r="S9" s="771">
        <f t="shared" si="0"/>
        <v>100</v>
      </c>
      <c r="T9" s="770" t="s">
        <v>17</v>
      </c>
      <c r="U9" s="771">
        <f t="shared" si="1"/>
        <v>100</v>
      </c>
      <c r="V9" s="770" t="s">
        <v>17</v>
      </c>
      <c r="W9" s="771">
        <f t="shared" si="2"/>
        <v>100</v>
      </c>
      <c r="X9" s="772"/>
      <c r="Y9" s="3130" t="s">
        <v>2550</v>
      </c>
      <c r="Z9" s="55" t="str">
        <f t="shared" ref="Z9:Z14" si="7">Q9</f>
        <v>用途</v>
      </c>
      <c r="AA9" s="773">
        <f t="shared" si="3"/>
        <v>1</v>
      </c>
      <c r="AB9" s="773">
        <f t="shared" si="4"/>
        <v>1</v>
      </c>
      <c r="AC9" s="773">
        <f t="shared" si="5"/>
        <v>1</v>
      </c>
    </row>
    <row r="10" spans="1:29" s="428" customFormat="1" ht="27">
      <c r="A10" s="642"/>
      <c r="B10" s="643" t="s">
        <v>2551</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304"/>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304"/>
      <c r="Q11" s="1799">
        <f t="shared" si="6"/>
        <v>111</v>
      </c>
      <c r="R11" s="770" t="s">
        <v>17</v>
      </c>
      <c r="S11" s="771">
        <f t="shared" si="0"/>
        <v>100</v>
      </c>
      <c r="T11" s="770" t="s">
        <v>17</v>
      </c>
      <c r="U11" s="771">
        <f t="shared" si="1"/>
        <v>100</v>
      </c>
      <c r="V11" s="770" t="s">
        <v>17</v>
      </c>
      <c r="W11" s="771">
        <f t="shared" si="2"/>
        <v>100</v>
      </c>
      <c r="X11" s="772"/>
      <c r="Y11" s="3130"/>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304"/>
      <c r="Q12" s="1799">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304"/>
      <c r="Q13" s="1799">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42.5">
      <c r="A14" s="402" t="s">
        <v>2553</v>
      </c>
      <c r="B14" s="630" t="s">
        <v>2703</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97" t="s">
        <v>2554</v>
      </c>
      <c r="Q14" s="1814" t="str">
        <f t="shared" si="6"/>
        <v>交通便捷度</v>
      </c>
      <c r="R14" s="774" t="s">
        <v>17</v>
      </c>
      <c r="S14" s="775">
        <f t="shared" si="0"/>
        <v>100</v>
      </c>
      <c r="T14" s="774" t="s">
        <v>17</v>
      </c>
      <c r="U14" s="775">
        <f t="shared" si="1"/>
        <v>100</v>
      </c>
      <c r="V14" s="774" t="s">
        <v>17</v>
      </c>
      <c r="W14" s="775">
        <f t="shared" si="2"/>
        <v>100</v>
      </c>
      <c r="X14" s="1817"/>
      <c r="Y14" s="3297" t="s">
        <v>2554</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298"/>
      <c r="Q15" s="1814"/>
      <c r="R15" s="774"/>
      <c r="S15" s="775"/>
      <c r="T15" s="774"/>
      <c r="U15" s="775"/>
      <c r="V15" s="774"/>
      <c r="W15" s="775"/>
      <c r="X15" s="1817"/>
      <c r="Y15" s="3298"/>
      <c r="Z15" s="1818"/>
      <c r="AA15" s="1815">
        <v>1</v>
      </c>
      <c r="AB15" s="1815">
        <v>1</v>
      </c>
      <c r="AC15" s="1815">
        <v>1</v>
      </c>
    </row>
    <row r="16" spans="1:29" ht="42.75">
      <c r="A16" s="405"/>
      <c r="B16" s="632" t="s">
        <v>2682</v>
      </c>
      <c r="C16" s="2611"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98"/>
      <c r="Q16" s="1814" t="str">
        <f>B16</f>
        <v>公共配套设施</v>
      </c>
      <c r="R16" s="774" t="s">
        <v>17</v>
      </c>
      <c r="S16" s="775">
        <f>F16</f>
        <v>100</v>
      </c>
      <c r="T16" s="774" t="s">
        <v>17</v>
      </c>
      <c r="U16" s="775">
        <f>H16</f>
        <v>100</v>
      </c>
      <c r="V16" s="774" t="s">
        <v>17</v>
      </c>
      <c r="W16" s="775">
        <f>J16</f>
        <v>100</v>
      </c>
      <c r="X16" s="1817"/>
      <c r="Y16" s="3298"/>
      <c r="Z16" s="1818" t="str">
        <f>Q16</f>
        <v>公共配套设施</v>
      </c>
      <c r="AA16" s="1815">
        <f t="shared" si="3"/>
        <v>1</v>
      </c>
      <c r="AB16" s="1815">
        <f t="shared" si="4"/>
        <v>1</v>
      </c>
      <c r="AC16" s="1815">
        <f t="shared" si="5"/>
        <v>1</v>
      </c>
    </row>
    <row r="17" spans="1:29" ht="15">
      <c r="A17" s="405"/>
      <c r="B17" s="633"/>
      <c r="C17" s="2612"/>
      <c r="D17" s="449"/>
      <c r="E17" s="448"/>
      <c r="F17" s="450"/>
      <c r="G17" s="448"/>
      <c r="H17" s="449"/>
      <c r="I17" s="448"/>
      <c r="J17" s="449"/>
      <c r="K17" s="616"/>
      <c r="L17" s="1143"/>
      <c r="M17" s="1134"/>
      <c r="N17" s="1134"/>
      <c r="O17" s="1134"/>
      <c r="P17" s="3298"/>
      <c r="Q17" s="1814"/>
      <c r="R17" s="774"/>
      <c r="S17" s="775"/>
      <c r="T17" s="774"/>
      <c r="U17" s="775"/>
      <c r="V17" s="774"/>
      <c r="W17" s="775"/>
      <c r="X17" s="1817"/>
      <c r="Y17" s="3298"/>
      <c r="Z17" s="1818"/>
      <c r="AA17" s="1815">
        <v>1</v>
      </c>
      <c r="AB17" s="1815">
        <v>1</v>
      </c>
      <c r="AC17" s="1815">
        <v>1</v>
      </c>
    </row>
    <row r="18" spans="1:29" ht="57">
      <c r="A18" s="405"/>
      <c r="B18" s="634" t="s">
        <v>2683</v>
      </c>
      <c r="C18" s="2611" t="str">
        <f>IF(B1="工业",估价对象房地状况!G6,估价对象房地状况!C8)</f>
        <v>估价对象所在区域基础设施水平可达红线外“七通”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98"/>
      <c r="Q18" s="1814" t="str">
        <f>B18</f>
        <v>基础设施水平</v>
      </c>
      <c r="R18" s="774" t="s">
        <v>17</v>
      </c>
      <c r="S18" s="775">
        <f>F18</f>
        <v>100</v>
      </c>
      <c r="T18" s="774" t="s">
        <v>17</v>
      </c>
      <c r="U18" s="775">
        <f>H18</f>
        <v>100</v>
      </c>
      <c r="V18" s="774" t="s">
        <v>17</v>
      </c>
      <c r="W18" s="775">
        <f>J18</f>
        <v>100</v>
      </c>
      <c r="X18" s="1817"/>
      <c r="Y18" s="3298"/>
      <c r="Z18" s="1818" t="str">
        <f>Q18</f>
        <v>基础设施水平</v>
      </c>
      <c r="AA18" s="1815">
        <f t="shared" ref="AA18" si="8">D18/F18</f>
        <v>1</v>
      </c>
      <c r="AB18" s="1815">
        <f t="shared" ref="AB18" si="9">D18/H18</f>
        <v>1</v>
      </c>
      <c r="AC18" s="1815">
        <f t="shared" ref="AC18" si="10">D18/J18</f>
        <v>1</v>
      </c>
    </row>
    <row r="19" spans="1:29" ht="15">
      <c r="A19" s="405"/>
      <c r="B19" s="634"/>
      <c r="C19" s="2612"/>
      <c r="D19" s="451"/>
      <c r="E19" s="2612"/>
      <c r="F19" s="454"/>
      <c r="G19" s="2612"/>
      <c r="H19" s="449"/>
      <c r="I19" s="448"/>
      <c r="J19" s="449"/>
      <c r="K19" s="1386"/>
      <c r="L19" s="1143"/>
      <c r="M19" s="1134"/>
      <c r="N19" s="1134"/>
      <c r="O19" s="1134"/>
      <c r="P19" s="3298"/>
      <c r="Q19" s="1814"/>
      <c r="R19" s="774"/>
      <c r="S19" s="775"/>
      <c r="T19" s="774"/>
      <c r="U19" s="775"/>
      <c r="V19" s="774"/>
      <c r="W19" s="775"/>
      <c r="X19" s="1817"/>
      <c r="Y19" s="3298"/>
      <c r="Z19" s="1818"/>
      <c r="AA19" s="1815">
        <v>1</v>
      </c>
      <c r="AB19" s="1815">
        <v>1</v>
      </c>
      <c r="AC19" s="1815">
        <v>1</v>
      </c>
    </row>
    <row r="20" spans="1:29" ht="128.25">
      <c r="A20" s="405"/>
      <c r="B20" s="632" t="s">
        <v>2704</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98"/>
      <c r="Q20" s="1814" t="str">
        <f>B20</f>
        <v>自然及人文环境</v>
      </c>
      <c r="R20" s="774" t="s">
        <v>17</v>
      </c>
      <c r="S20" s="775">
        <f>F20</f>
        <v>100</v>
      </c>
      <c r="T20" s="774" t="s">
        <v>17</v>
      </c>
      <c r="U20" s="775">
        <f>H20</f>
        <v>100</v>
      </c>
      <c r="V20" s="774" t="s">
        <v>17</v>
      </c>
      <c r="W20" s="775">
        <f>J20</f>
        <v>100</v>
      </c>
      <c r="X20" s="1817"/>
      <c r="Y20" s="3298"/>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298"/>
      <c r="Q21" s="1814"/>
      <c r="R21" s="774"/>
      <c r="S21" s="775"/>
      <c r="T21" s="774"/>
      <c r="U21" s="775"/>
      <c r="V21" s="774"/>
      <c r="W21" s="775"/>
      <c r="X21" s="1817"/>
      <c r="Y21" s="3298"/>
      <c r="Z21" s="1818"/>
      <c r="AA21" s="1815">
        <v>1</v>
      </c>
      <c r="AB21" s="1815">
        <v>1</v>
      </c>
      <c r="AC21" s="1815">
        <v>1</v>
      </c>
    </row>
    <row r="22" spans="1:29" ht="15">
      <c r="A22" s="405"/>
      <c r="B22" s="632" t="s">
        <v>2705</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98"/>
      <c r="Q22" s="1814" t="str">
        <f>B22</f>
        <v>楼层</v>
      </c>
      <c r="R22" s="774" t="s">
        <v>17</v>
      </c>
      <c r="S22" s="775">
        <f>F22</f>
        <v>100</v>
      </c>
      <c r="T22" s="774" t="s">
        <v>17</v>
      </c>
      <c r="U22" s="775">
        <f>H22</f>
        <v>100</v>
      </c>
      <c r="V22" s="774" t="s">
        <v>17</v>
      </c>
      <c r="W22" s="775">
        <f>J22</f>
        <v>100</v>
      </c>
      <c r="X22" s="1817"/>
      <c r="Y22" s="3298"/>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98"/>
      <c r="Q23" s="1814">
        <f>B23</f>
        <v>111</v>
      </c>
      <c r="R23" s="774" t="s">
        <v>17</v>
      </c>
      <c r="S23" s="775">
        <f>F23</f>
        <v>100</v>
      </c>
      <c r="T23" s="774" t="s">
        <v>17</v>
      </c>
      <c r="U23" s="775">
        <f>H23</f>
        <v>100</v>
      </c>
      <c r="V23" s="774" t="s">
        <v>17</v>
      </c>
      <c r="W23" s="775">
        <f>J23</f>
        <v>100</v>
      </c>
      <c r="X23" s="1817"/>
      <c r="Y23" s="3298"/>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98"/>
      <c r="Q24" s="1814">
        <f t="shared" ref="Q24:Q36" si="11">B24</f>
        <v>111</v>
      </c>
      <c r="R24" s="774" t="s">
        <v>17</v>
      </c>
      <c r="S24" s="775">
        <f>F24</f>
        <v>100</v>
      </c>
      <c r="T24" s="774" t="s">
        <v>17</v>
      </c>
      <c r="U24" s="775">
        <f>H24</f>
        <v>100</v>
      </c>
      <c r="V24" s="774" t="s">
        <v>17</v>
      </c>
      <c r="W24" s="775">
        <f>J24</f>
        <v>100</v>
      </c>
      <c r="X24" s="1817"/>
      <c r="Y24" s="3298"/>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98"/>
      <c r="Q25" s="1799">
        <f t="shared" si="11"/>
        <v>111</v>
      </c>
      <c r="R25" s="770" t="s">
        <v>17</v>
      </c>
      <c r="S25" s="771">
        <f>F25</f>
        <v>100</v>
      </c>
      <c r="T25" s="770" t="s">
        <v>17</v>
      </c>
      <c r="U25" s="771">
        <f>H25</f>
        <v>100</v>
      </c>
      <c r="V25" s="770" t="s">
        <v>17</v>
      </c>
      <c r="W25" s="771">
        <f>J25</f>
        <v>100</v>
      </c>
      <c r="X25" s="772"/>
      <c r="Y25" s="3298"/>
      <c r="Z25" s="55">
        <f>Q25</f>
        <v>111</v>
      </c>
      <c r="AA25" s="1815">
        <f>D25/F25</f>
        <v>1</v>
      </c>
      <c r="AB25" s="1815">
        <f>D25/H25</f>
        <v>1</v>
      </c>
      <c r="AC25" s="1815">
        <f>D25/J25</f>
        <v>1</v>
      </c>
    </row>
    <row r="26" spans="1:29" ht="15">
      <c r="A26" s="653" t="s">
        <v>2557</v>
      </c>
      <c r="B26" s="70" t="s">
        <v>2706</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349" t="s">
        <v>2559</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302" t="s">
        <v>2559</v>
      </c>
      <c r="Z26" s="1818" t="str">
        <f t="shared" ref="Z26:Z36" si="15">Q26</f>
        <v>配套类型</v>
      </c>
      <c r="AA26" s="1815">
        <f t="shared" si="3"/>
        <v>1</v>
      </c>
      <c r="AB26" s="1815">
        <f t="shared" si="4"/>
        <v>1</v>
      </c>
      <c r="AC26" s="1815">
        <f t="shared" si="5"/>
        <v>1</v>
      </c>
    </row>
    <row r="27" spans="1:29" s="472" customFormat="1" ht="15">
      <c r="A27" s="654"/>
      <c r="B27" s="655" t="s">
        <v>2707</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302"/>
      <c r="Q27" s="776" t="str">
        <f t="shared" si="11"/>
        <v>项目停车位配比</v>
      </c>
      <c r="R27" s="777" t="s">
        <v>17</v>
      </c>
      <c r="S27" s="778">
        <f t="shared" si="12"/>
        <v>100</v>
      </c>
      <c r="T27" s="777" t="s">
        <v>17</v>
      </c>
      <c r="U27" s="778">
        <f t="shared" si="13"/>
        <v>100</v>
      </c>
      <c r="V27" s="777" t="s">
        <v>17</v>
      </c>
      <c r="W27" s="778">
        <f t="shared" si="14"/>
        <v>100</v>
      </c>
      <c r="X27" s="779"/>
      <c r="Y27" s="3302"/>
      <c r="Z27" s="780" t="str">
        <f t="shared" si="15"/>
        <v>项目停车位配比</v>
      </c>
      <c r="AA27" s="1815">
        <f t="shared" si="3"/>
        <v>1</v>
      </c>
      <c r="AB27" s="1815">
        <f t="shared" si="4"/>
        <v>1</v>
      </c>
      <c r="AC27" s="1815">
        <f t="shared" si="5"/>
        <v>1</v>
      </c>
    </row>
    <row r="28" spans="1:29" ht="15">
      <c r="A28" s="657"/>
      <c r="B28" s="655" t="s">
        <v>2708</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302"/>
      <c r="Q28" s="1814" t="str">
        <f t="shared" si="11"/>
        <v>公共部分装修</v>
      </c>
      <c r="R28" s="774" t="s">
        <v>17</v>
      </c>
      <c r="S28" s="775">
        <f t="shared" si="12"/>
        <v>100</v>
      </c>
      <c r="T28" s="774" t="s">
        <v>17</v>
      </c>
      <c r="U28" s="775">
        <f t="shared" si="13"/>
        <v>100</v>
      </c>
      <c r="V28" s="774" t="s">
        <v>17</v>
      </c>
      <c r="W28" s="775">
        <f t="shared" si="14"/>
        <v>100</v>
      </c>
      <c r="X28" s="1817"/>
      <c r="Y28" s="3302"/>
      <c r="Z28" s="1818" t="str">
        <f t="shared" si="15"/>
        <v>公共部分装修</v>
      </c>
      <c r="AA28" s="1815">
        <f t="shared" si="3"/>
        <v>1</v>
      </c>
      <c r="AB28" s="1815">
        <f t="shared" si="4"/>
        <v>1</v>
      </c>
      <c r="AC28" s="1815">
        <f t="shared" si="5"/>
        <v>1</v>
      </c>
    </row>
    <row r="29" spans="1:29" ht="15">
      <c r="A29" s="657"/>
      <c r="B29" s="655" t="s">
        <v>2709</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302"/>
      <c r="Q29" s="1814" t="str">
        <f t="shared" si="11"/>
        <v>成新率</v>
      </c>
      <c r="R29" s="774" t="s">
        <v>17</v>
      </c>
      <c r="S29" s="775" t="e">
        <f t="shared" si="12"/>
        <v>#N/A</v>
      </c>
      <c r="T29" s="774" t="s">
        <v>17</v>
      </c>
      <c r="U29" s="775" t="e">
        <f t="shared" si="13"/>
        <v>#N/A</v>
      </c>
      <c r="V29" s="774" t="s">
        <v>17</v>
      </c>
      <c r="W29" s="775" t="e">
        <f t="shared" si="14"/>
        <v>#N/A</v>
      </c>
      <c r="X29" s="1817"/>
      <c r="Y29" s="3302"/>
      <c r="Z29" s="1818" t="str">
        <f t="shared" si="15"/>
        <v>成新率</v>
      </c>
      <c r="AA29" s="1815" t="e">
        <f t="shared" si="3"/>
        <v>#N/A</v>
      </c>
      <c r="AB29" s="1815" t="e">
        <f t="shared" si="4"/>
        <v>#N/A</v>
      </c>
      <c r="AC29" s="1815" t="e">
        <f t="shared" si="5"/>
        <v>#N/A</v>
      </c>
    </row>
    <row r="30" spans="1:29" ht="15">
      <c r="A30" s="657"/>
      <c r="B30" s="655" t="s">
        <v>2710</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302"/>
      <c r="Q30" s="1814" t="str">
        <f t="shared" si="11"/>
        <v>物业等级</v>
      </c>
      <c r="R30" s="774" t="s">
        <v>17</v>
      </c>
      <c r="S30" s="775">
        <f t="shared" si="12"/>
        <v>100</v>
      </c>
      <c r="T30" s="774" t="s">
        <v>17</v>
      </c>
      <c r="U30" s="775">
        <f t="shared" si="13"/>
        <v>100</v>
      </c>
      <c r="V30" s="774" t="s">
        <v>17</v>
      </c>
      <c r="W30" s="775">
        <f t="shared" si="14"/>
        <v>100</v>
      </c>
      <c r="X30" s="1817"/>
      <c r="Y30" s="3302"/>
      <c r="Z30" s="1818" t="str">
        <f t="shared" si="15"/>
        <v>物业等级</v>
      </c>
      <c r="AA30" s="1815">
        <f t="shared" si="3"/>
        <v>1</v>
      </c>
      <c r="AB30" s="1815">
        <f t="shared" si="4"/>
        <v>1</v>
      </c>
      <c r="AC30" s="1815">
        <f t="shared" si="5"/>
        <v>1</v>
      </c>
    </row>
    <row r="31" spans="1:29" s="117" customFormat="1" ht="15">
      <c r="A31" s="659"/>
      <c r="B31" s="655" t="s">
        <v>2711</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302"/>
      <c r="Q31" s="1799" t="str">
        <f t="shared" si="11"/>
        <v>停车位面积</v>
      </c>
      <c r="R31" s="770" t="s">
        <v>17</v>
      </c>
      <c r="S31" s="771" t="e">
        <f t="shared" si="12"/>
        <v>#N/A</v>
      </c>
      <c r="T31" s="770" t="s">
        <v>17</v>
      </c>
      <c r="U31" s="771" t="e">
        <f t="shared" si="13"/>
        <v>#N/A</v>
      </c>
      <c r="V31" s="770" t="s">
        <v>17</v>
      </c>
      <c r="W31" s="771" t="e">
        <f t="shared" si="14"/>
        <v>#N/A</v>
      </c>
      <c r="X31" s="772"/>
      <c r="Y31" s="3302"/>
      <c r="Z31" s="55" t="str">
        <f t="shared" si="15"/>
        <v>停车位面积</v>
      </c>
      <c r="AA31" s="773" t="e">
        <f t="shared" si="3"/>
        <v>#N/A</v>
      </c>
      <c r="AB31" s="773" t="e">
        <f t="shared" si="4"/>
        <v>#N/A</v>
      </c>
      <c r="AC31" s="773" t="e">
        <f t="shared" si="5"/>
        <v>#N/A</v>
      </c>
    </row>
    <row r="32" spans="1:29" ht="15">
      <c r="A32" s="657"/>
      <c r="B32" s="655" t="s">
        <v>2712</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302" t="s">
        <v>2559</v>
      </c>
      <c r="Q32" s="1814" t="str">
        <f t="shared" si="11"/>
        <v>车位类型</v>
      </c>
      <c r="R32" s="774" t="s">
        <v>17</v>
      </c>
      <c r="S32" s="775">
        <f t="shared" si="12"/>
        <v>100</v>
      </c>
      <c r="T32" s="774" t="s">
        <v>17</v>
      </c>
      <c r="U32" s="775">
        <f t="shared" si="13"/>
        <v>100</v>
      </c>
      <c r="V32" s="774" t="s">
        <v>17</v>
      </c>
      <c r="W32" s="775">
        <f t="shared" si="14"/>
        <v>100</v>
      </c>
      <c r="X32" s="1817"/>
      <c r="Y32" s="3302" t="s">
        <v>2559</v>
      </c>
      <c r="Z32" s="1818" t="str">
        <f t="shared" si="15"/>
        <v>车位类型</v>
      </c>
      <c r="AA32" s="1815">
        <f t="shared" si="3"/>
        <v>1</v>
      </c>
      <c r="AB32" s="1815">
        <f t="shared" si="4"/>
        <v>1</v>
      </c>
      <c r="AC32" s="1815">
        <f t="shared" si="5"/>
        <v>1</v>
      </c>
    </row>
    <row r="33" spans="1:29" ht="15">
      <c r="A33" s="657"/>
      <c r="B33" s="655" t="s">
        <v>2713</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302"/>
      <c r="Q33" s="1814" t="str">
        <f t="shared" si="11"/>
        <v>是否直接入户</v>
      </c>
      <c r="R33" s="774" t="s">
        <v>17</v>
      </c>
      <c r="S33" s="775">
        <f t="shared" si="12"/>
        <v>100</v>
      </c>
      <c r="T33" s="774" t="s">
        <v>17</v>
      </c>
      <c r="U33" s="775">
        <f t="shared" si="13"/>
        <v>100</v>
      </c>
      <c r="V33" s="774" t="s">
        <v>17</v>
      </c>
      <c r="W33" s="775">
        <f t="shared" si="14"/>
        <v>100</v>
      </c>
      <c r="X33" s="1817"/>
      <c r="Y33" s="3302"/>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302"/>
      <c r="Q34" s="1814">
        <f t="shared" si="11"/>
        <v>111</v>
      </c>
      <c r="R34" s="774" t="s">
        <v>17</v>
      </c>
      <c r="S34" s="775">
        <f t="shared" si="12"/>
        <v>100</v>
      </c>
      <c r="T34" s="774" t="s">
        <v>17</v>
      </c>
      <c r="U34" s="775">
        <f t="shared" si="13"/>
        <v>100</v>
      </c>
      <c r="V34" s="774" t="s">
        <v>17</v>
      </c>
      <c r="W34" s="775">
        <f t="shared" si="14"/>
        <v>100</v>
      </c>
      <c r="X34" s="1817"/>
      <c r="Y34" s="3302"/>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302"/>
      <c r="Q35" s="776">
        <f t="shared" si="11"/>
        <v>111</v>
      </c>
      <c r="R35" s="777" t="s">
        <v>17</v>
      </c>
      <c r="S35" s="778">
        <f t="shared" si="12"/>
        <v>100</v>
      </c>
      <c r="T35" s="777" t="s">
        <v>17</v>
      </c>
      <c r="U35" s="778">
        <f t="shared" si="13"/>
        <v>100</v>
      </c>
      <c r="V35" s="777" t="s">
        <v>17</v>
      </c>
      <c r="W35" s="778">
        <f t="shared" si="14"/>
        <v>100</v>
      </c>
      <c r="X35" s="779"/>
      <c r="Y35" s="3302"/>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302"/>
      <c r="Q36" s="1814">
        <f t="shared" si="11"/>
        <v>111</v>
      </c>
      <c r="R36" s="774" t="s">
        <v>17</v>
      </c>
      <c r="S36" s="775">
        <f t="shared" si="12"/>
        <v>100</v>
      </c>
      <c r="T36" s="774" t="s">
        <v>17</v>
      </c>
      <c r="U36" s="775">
        <f t="shared" si="13"/>
        <v>100</v>
      </c>
      <c r="V36" s="774" t="s">
        <v>17</v>
      </c>
      <c r="W36" s="775">
        <f t="shared" si="14"/>
        <v>100</v>
      </c>
      <c r="X36" s="1817"/>
      <c r="Y36" s="3302"/>
      <c r="Z36" s="1818">
        <f t="shared" si="15"/>
        <v>111</v>
      </c>
      <c r="AA36" s="1815">
        <f t="shared" si="3"/>
        <v>1</v>
      </c>
      <c r="AB36" s="1815">
        <f t="shared" si="4"/>
        <v>1</v>
      </c>
      <c r="AC36" s="1815">
        <f t="shared" si="5"/>
        <v>1</v>
      </c>
    </row>
    <row r="37" spans="1:29" ht="15">
      <c r="A37" s="480" t="s">
        <v>2714</v>
      </c>
      <c r="B37" s="2699" t="s">
        <v>2715</v>
      </c>
      <c r="C37" s="1410" t="s">
        <v>1</v>
      </c>
      <c r="D37" s="1411"/>
      <c r="E37" s="1412"/>
      <c r="F37" s="1413"/>
      <c r="G37" s="1414"/>
      <c r="H37" s="1415"/>
      <c r="I37" s="1412"/>
      <c r="J37" s="1415"/>
      <c r="K37" s="620"/>
      <c r="L37" s="1146"/>
      <c r="M37" s="1147"/>
      <c r="N37" s="1134"/>
      <c r="O37" s="1147"/>
      <c r="P37" s="3304" t="str">
        <f>A37</f>
        <v>成交单价</v>
      </c>
      <c r="Q37" s="3304"/>
      <c r="R37" s="3305">
        <f>E37</f>
        <v>0</v>
      </c>
      <c r="S37" s="3305"/>
      <c r="T37" s="3305">
        <f>G37</f>
        <v>0</v>
      </c>
      <c r="U37" s="3305"/>
      <c r="V37" s="3305">
        <f>I37</f>
        <v>0</v>
      </c>
      <c r="W37" s="3305"/>
      <c r="X37" s="759"/>
      <c r="Y37" s="781"/>
      <c r="Z37" s="759"/>
      <c r="AA37" s="759"/>
      <c r="AB37" s="759"/>
      <c r="AC37" s="759"/>
    </row>
    <row r="38" spans="1:29" ht="15.75" thickBot="1">
      <c r="A38" s="487" t="s">
        <v>2716</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759"/>
      <c r="Y38" s="759"/>
      <c r="Z38" s="759"/>
      <c r="AA38" s="759"/>
      <c r="AB38" s="759"/>
      <c r="AC38" s="759"/>
    </row>
    <row r="39" spans="1:29" ht="15.75" thickBot="1">
      <c r="A39" s="493" t="s">
        <v>2717</v>
      </c>
      <c r="B39" s="494"/>
      <c r="C39" s="1420" t="e">
        <f>R39</f>
        <v>#DIV/0!</v>
      </c>
      <c r="D39" s="1420"/>
      <c r="E39" s="1420"/>
      <c r="F39" s="1420"/>
      <c r="G39" s="1420"/>
      <c r="H39" s="1420"/>
      <c r="I39" s="1420"/>
      <c r="J39" s="1420"/>
      <c r="K39" s="622"/>
      <c r="L39" s="1146"/>
      <c r="M39" s="1147"/>
      <c r="N39" s="1147"/>
      <c r="O39" s="1147"/>
      <c r="P39" s="3346" t="str">
        <f>A39</f>
        <v>估价对象XX用房的比较价值（楼面单价，元/平方米）</v>
      </c>
      <c r="Q39" s="3347"/>
      <c r="R39" s="3348" t="e">
        <f>IF(F1="售价",ROUND(AVERAGE(R38:V38),0),ROUND(AVERAGE(R38:V38),1))</f>
        <v>#DIV/0!</v>
      </c>
      <c r="S39" s="3348"/>
      <c r="T39" s="3348"/>
      <c r="U39" s="3348"/>
      <c r="V39" s="3348"/>
      <c r="W39" s="334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2718</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2719</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2720</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2722</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2579</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2544</v>
      </c>
      <c r="B51" s="511"/>
      <c r="C51" s="523" t="s">
        <v>2646</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2582</v>
      </c>
      <c r="B53" s="529" t="s">
        <v>2548</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2551</v>
      </c>
      <c r="C55" s="540" t="s">
        <v>2583</v>
      </c>
      <c r="D55" s="540" t="s">
        <v>2584</v>
      </c>
      <c r="E55" s="540" t="s">
        <v>2585</v>
      </c>
      <c r="F55" s="540" t="s">
        <v>2586</v>
      </c>
      <c r="G55" s="540" t="s">
        <v>2587</v>
      </c>
      <c r="H55" s="540" t="s">
        <v>2588</v>
      </c>
      <c r="I55" s="540" t="s">
        <v>2589</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2553</v>
      </c>
      <c r="B63" s="529" t="s">
        <v>2596</v>
      </c>
      <c r="C63" s="574" t="s">
        <v>2591</v>
      </c>
      <c r="D63" s="574" t="s">
        <v>2592</v>
      </c>
      <c r="E63" s="574" t="s">
        <v>2593</v>
      </c>
      <c r="F63" s="574" t="s">
        <v>2594</v>
      </c>
      <c r="G63" s="574" t="s">
        <v>2595</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2597</v>
      </c>
      <c r="C65" s="579" t="s">
        <v>2591</v>
      </c>
      <c r="D65" s="579" t="s">
        <v>2592</v>
      </c>
      <c r="E65" s="579" t="s">
        <v>2593</v>
      </c>
      <c r="F65" s="579" t="s">
        <v>2594</v>
      </c>
      <c r="G65" s="579" t="s">
        <v>2595</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2683</v>
      </c>
      <c r="C67" s="661" t="s">
        <v>2669</v>
      </c>
      <c r="D67" s="661" t="s">
        <v>2670</v>
      </c>
      <c r="E67" s="661" t="s">
        <v>2671</v>
      </c>
      <c r="F67" s="661" t="s">
        <v>2672</v>
      </c>
      <c r="G67" s="661" t="s">
        <v>2673</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2603</v>
      </c>
      <c r="C69" s="579" t="s">
        <v>2591</v>
      </c>
      <c r="D69" s="579" t="s">
        <v>2592</v>
      </c>
      <c r="E69" s="579" t="s">
        <v>2593</v>
      </c>
      <c r="F69" s="579" t="s">
        <v>2594</v>
      </c>
      <c r="G69" s="579" t="s">
        <v>2595</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2723</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2557</v>
      </c>
      <c r="B79" s="529" t="s">
        <v>2724</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2725</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2610</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2726</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2727</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2728</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2729</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2730</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2701</v>
      </c>
      <c r="B1" s="1623"/>
      <c r="C1" s="1624" t="s">
        <v>2524</v>
      </c>
      <c r="D1" s="1625"/>
      <c r="E1" s="1634"/>
      <c r="F1" s="2588"/>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t="e">
        <f ca="1">IF(C2="——",ROUND(C37*D3/10000,0),ROUND(C37*D3/10000,0)-D2)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t="e">
        <f ca="1">IF(C2="——",C37,ROUND(B2*10000/D3,0))</f>
        <v>#DIV/0!</v>
      </c>
      <c r="C3" s="401" t="s">
        <v>2638</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59" t="s">
        <v>2642</v>
      </c>
      <c r="AC4" s="3331" t="s">
        <v>2643</v>
      </c>
    </row>
    <row r="5" spans="1:29"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59"/>
      <c r="AC5" s="3259"/>
    </row>
    <row r="6" spans="1:29" ht="15.75" thickBot="1">
      <c r="A6" s="407"/>
      <c r="B6" s="408"/>
      <c r="C6" s="3338" t="s">
        <v>2540</v>
      </c>
      <c r="D6" s="3339"/>
      <c r="E6" s="3340" t="s">
        <v>2540</v>
      </c>
      <c r="F6" s="3341"/>
      <c r="G6" s="3338" t="s">
        <v>2540</v>
      </c>
      <c r="H6" s="3339"/>
      <c r="I6" s="3338" t="s">
        <v>2540</v>
      </c>
      <c r="J6" s="3339"/>
      <c r="K6" s="611" t="s">
        <v>2541</v>
      </c>
      <c r="L6" s="1133"/>
      <c r="M6" s="1134"/>
      <c r="N6" s="1134"/>
      <c r="O6" s="1134"/>
      <c r="P6" s="3345"/>
      <c r="Q6" s="3288"/>
      <c r="R6" s="3265"/>
      <c r="S6" s="3266"/>
      <c r="T6" s="3289"/>
      <c r="U6" s="3290"/>
      <c r="V6" s="3292"/>
      <c r="W6" s="3292"/>
      <c r="X6" s="1817"/>
      <c r="Y6" s="3289"/>
      <c r="Z6" s="3290"/>
      <c r="AA6" s="3260"/>
      <c r="AB6" s="3260"/>
      <c r="AC6" s="3260"/>
    </row>
    <row r="7" spans="1:29" s="117" customFormat="1" ht="15.75" thickBot="1">
      <c r="A7" s="409" t="s">
        <v>2542</v>
      </c>
      <c r="B7" s="410"/>
      <c r="C7" s="411">
        <f>'数据-取费表'!B2</f>
        <v>43047</v>
      </c>
      <c r="D7" s="412">
        <v>100</v>
      </c>
      <c r="E7" s="413"/>
      <c r="F7" s="414">
        <f>SUMIF(46:46,YEAR(E7)&amp;"-"&amp;MONTH(E7),47:47)</f>
        <v>0</v>
      </c>
      <c r="G7" s="2700"/>
      <c r="H7" s="412">
        <f>SUMIF(46:46,YEAR(G7)&amp;"-"&amp;MONTH(G7),47:47)</f>
        <v>0</v>
      </c>
      <c r="I7" s="413"/>
      <c r="J7" s="412">
        <f>SUMIF(46:46,YEAR(I7)&amp;"-"&amp;MONTH(I7),47:47)</f>
        <v>0</v>
      </c>
      <c r="K7" s="612"/>
      <c r="L7" s="1135"/>
      <c r="M7" s="1136"/>
      <c r="N7" s="1136"/>
      <c r="O7" s="1136"/>
      <c r="P7" s="3261" t="s">
        <v>2543</v>
      </c>
      <c r="Q7" s="3294"/>
      <c r="R7" s="770" t="s">
        <v>17</v>
      </c>
      <c r="S7" s="771">
        <f t="shared" ref="S7:S14" si="0">F7</f>
        <v>0</v>
      </c>
      <c r="T7" s="770" t="s">
        <v>17</v>
      </c>
      <c r="U7" s="771">
        <f t="shared" ref="U7:U14" si="1">H7</f>
        <v>0</v>
      </c>
      <c r="V7" s="770" t="s">
        <v>17</v>
      </c>
      <c r="W7" s="771">
        <f t="shared" ref="W7:W14" si="2">J7</f>
        <v>0</v>
      </c>
      <c r="X7" s="772"/>
      <c r="Y7" s="3261" t="s">
        <v>2543</v>
      </c>
      <c r="Z7" s="3262"/>
      <c r="AA7" s="773" t="e">
        <f>D7/F7</f>
        <v>#DIV/0!</v>
      </c>
      <c r="AB7" s="773" t="e">
        <f>D7/H7</f>
        <v>#DIV/0!</v>
      </c>
      <c r="AC7" s="773" t="e">
        <f>D7/J7</f>
        <v>#DIV/0!</v>
      </c>
    </row>
    <row r="8" spans="1:29" s="117" customFormat="1" ht="15.75" thickBot="1">
      <c r="A8" s="409" t="s">
        <v>2544</v>
      </c>
      <c r="B8" s="410"/>
      <c r="C8" s="415" t="s">
        <v>2646</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34" si="3">D8/F8</f>
        <v>#DIV/0!</v>
      </c>
      <c r="AB8" s="773" t="e">
        <f t="shared" ref="AB8:AB34" si="4">D8/H8</f>
        <v>#DIV/0!</v>
      </c>
      <c r="AC8" s="773" t="e">
        <f t="shared" ref="AC8:AC34" si="5">D8/J8</f>
        <v>#DIV/0!</v>
      </c>
    </row>
    <row r="9" spans="1:29" s="117" customFormat="1">
      <c r="A9" s="416" t="s">
        <v>2547</v>
      </c>
      <c r="B9" s="71" t="s">
        <v>2548</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304" t="s">
        <v>2549</v>
      </c>
      <c r="Q9" s="1799" t="str">
        <f t="shared" ref="Q9:Q14" si="6">B9</f>
        <v>用途</v>
      </c>
      <c r="R9" s="770" t="s">
        <v>17</v>
      </c>
      <c r="S9" s="771">
        <f t="shared" si="0"/>
        <v>100</v>
      </c>
      <c r="T9" s="770" t="s">
        <v>17</v>
      </c>
      <c r="U9" s="771">
        <f t="shared" si="1"/>
        <v>100</v>
      </c>
      <c r="V9" s="770" t="s">
        <v>17</v>
      </c>
      <c r="W9" s="771">
        <f t="shared" si="2"/>
        <v>100</v>
      </c>
      <c r="X9" s="772"/>
      <c r="Y9" s="3130" t="s">
        <v>2550</v>
      </c>
      <c r="Z9" s="55" t="str">
        <f t="shared" ref="Z9:Z14" si="7">Q9</f>
        <v>用途</v>
      </c>
      <c r="AA9" s="773">
        <f t="shared" si="3"/>
        <v>1</v>
      </c>
      <c r="AB9" s="773">
        <f t="shared" si="4"/>
        <v>1</v>
      </c>
      <c r="AC9" s="773">
        <f t="shared" si="5"/>
        <v>1</v>
      </c>
    </row>
    <row r="10" spans="1:29" s="428" customFormat="1" ht="27">
      <c r="A10" s="422"/>
      <c r="B10" s="423" t="s">
        <v>2551</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304"/>
      <c r="Q10" s="1799"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304"/>
      <c r="Q11" s="1799">
        <f t="shared" si="6"/>
        <v>111</v>
      </c>
      <c r="R11" s="770" t="s">
        <v>17</v>
      </c>
      <c r="S11" s="771">
        <f t="shared" si="0"/>
        <v>100</v>
      </c>
      <c r="T11" s="770" t="s">
        <v>17</v>
      </c>
      <c r="U11" s="771">
        <f t="shared" si="1"/>
        <v>100</v>
      </c>
      <c r="V11" s="770" t="s">
        <v>17</v>
      </c>
      <c r="W11" s="771">
        <f t="shared" si="2"/>
        <v>100</v>
      </c>
      <c r="X11" s="772"/>
      <c r="Y11" s="3130"/>
      <c r="Z11" s="55">
        <f t="shared" si="7"/>
        <v>111</v>
      </c>
      <c r="AA11" s="773">
        <f t="shared" si="3"/>
        <v>1</v>
      </c>
      <c r="AB11" s="773">
        <f t="shared" si="4"/>
        <v>1</v>
      </c>
      <c r="AC11" s="773">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304"/>
      <c r="Q12" s="1799">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3"/>
      <c r="M13" s="1134"/>
      <c r="N13" s="1134"/>
      <c r="O13" s="1142"/>
      <c r="P13" s="3304"/>
      <c r="Q13" s="1799">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42.5">
      <c r="A14" s="441" t="s">
        <v>2553</v>
      </c>
      <c r="B14" s="69" t="s">
        <v>2703</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97" t="s">
        <v>2554</v>
      </c>
      <c r="Q14" s="1814" t="str">
        <f t="shared" si="6"/>
        <v>交通便捷度</v>
      </c>
      <c r="R14" s="774" t="s">
        <v>17</v>
      </c>
      <c r="S14" s="775">
        <f t="shared" si="0"/>
        <v>100</v>
      </c>
      <c r="T14" s="774" t="s">
        <v>17</v>
      </c>
      <c r="U14" s="775">
        <f t="shared" si="1"/>
        <v>100</v>
      </c>
      <c r="V14" s="774" t="s">
        <v>17</v>
      </c>
      <c r="W14" s="775">
        <f t="shared" si="2"/>
        <v>100</v>
      </c>
      <c r="X14" s="1817"/>
      <c r="Y14" s="3297" t="s">
        <v>2554</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298"/>
      <c r="Q15" s="1814"/>
      <c r="R15" s="774"/>
      <c r="S15" s="775"/>
      <c r="T15" s="774"/>
      <c r="U15" s="775"/>
      <c r="V15" s="774"/>
      <c r="W15" s="775"/>
      <c r="X15" s="1817"/>
      <c r="Y15" s="3298"/>
      <c r="Z15" s="1818"/>
      <c r="AA15" s="1815">
        <v>1</v>
      </c>
      <c r="AB15" s="1815">
        <v>1</v>
      </c>
      <c r="AC15" s="1815">
        <v>1</v>
      </c>
    </row>
    <row r="16" spans="1:29" ht="42.75">
      <c r="A16" s="429"/>
      <c r="B16" s="452" t="s">
        <v>2682</v>
      </c>
      <c r="C16" s="2611"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98"/>
      <c r="Q16" s="1814" t="str">
        <f>B16</f>
        <v>公共配套设施</v>
      </c>
      <c r="R16" s="774" t="s">
        <v>17</v>
      </c>
      <c r="S16" s="775">
        <f>F16</f>
        <v>100</v>
      </c>
      <c r="T16" s="774" t="s">
        <v>17</v>
      </c>
      <c r="U16" s="775">
        <f>H16</f>
        <v>100</v>
      </c>
      <c r="V16" s="774" t="s">
        <v>17</v>
      </c>
      <c r="W16" s="775">
        <f>J16</f>
        <v>100</v>
      </c>
      <c r="X16" s="1817"/>
      <c r="Y16" s="3298"/>
      <c r="Z16" s="1818" t="str">
        <f>Q16</f>
        <v>公共配套设施</v>
      </c>
      <c r="AA16" s="1815">
        <f t="shared" si="3"/>
        <v>1</v>
      </c>
      <c r="AB16" s="1815">
        <f t="shared" si="4"/>
        <v>1</v>
      </c>
      <c r="AC16" s="1815">
        <f t="shared" si="5"/>
        <v>1</v>
      </c>
    </row>
    <row r="17" spans="1:29" ht="15">
      <c r="A17" s="429"/>
      <c r="B17" s="457"/>
      <c r="C17" s="2612"/>
      <c r="D17" s="449"/>
      <c r="E17" s="448"/>
      <c r="F17" s="450"/>
      <c r="G17" s="448"/>
      <c r="H17" s="449"/>
      <c r="I17" s="448"/>
      <c r="J17" s="449"/>
      <c r="K17" s="616"/>
      <c r="L17" s="1143"/>
      <c r="M17" s="1134"/>
      <c r="N17" s="1134"/>
      <c r="O17" s="1142"/>
      <c r="P17" s="3298"/>
      <c r="Q17" s="1814"/>
      <c r="R17" s="774"/>
      <c r="S17" s="775"/>
      <c r="T17" s="774"/>
      <c r="U17" s="775"/>
      <c r="V17" s="774"/>
      <c r="W17" s="775"/>
      <c r="X17" s="1817"/>
      <c r="Y17" s="3298"/>
      <c r="Z17" s="1818"/>
      <c r="AA17" s="1815">
        <v>1</v>
      </c>
      <c r="AB17" s="1815">
        <v>1</v>
      </c>
      <c r="AC17" s="1815">
        <v>1</v>
      </c>
    </row>
    <row r="18" spans="1:29" ht="57">
      <c r="A18" s="429"/>
      <c r="B18" s="1387" t="s">
        <v>2683</v>
      </c>
      <c r="C18" s="2611" t="str">
        <f>IF(B1="工业",估价对象房地状况!G6,估价对象房地状况!C8)</f>
        <v>估价对象所在区域基础设施水平可达红线外“七通”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98"/>
      <c r="Q18" s="1814" t="str">
        <f>B18</f>
        <v>基础设施水平</v>
      </c>
      <c r="R18" s="774" t="s">
        <v>17</v>
      </c>
      <c r="S18" s="775">
        <f>F18</f>
        <v>100</v>
      </c>
      <c r="T18" s="774" t="s">
        <v>17</v>
      </c>
      <c r="U18" s="775">
        <f>H18</f>
        <v>100</v>
      </c>
      <c r="V18" s="774" t="s">
        <v>17</v>
      </c>
      <c r="W18" s="775">
        <f>J18</f>
        <v>100</v>
      </c>
      <c r="X18" s="1817"/>
      <c r="Y18" s="3298"/>
      <c r="Z18" s="1818" t="str">
        <f>Q18</f>
        <v>基础设施水平</v>
      </c>
      <c r="AA18" s="1815">
        <f t="shared" ref="AA18" si="8">D18/F18</f>
        <v>1</v>
      </c>
      <c r="AB18" s="1815">
        <f t="shared" ref="AB18" si="9">D18/H18</f>
        <v>1</v>
      </c>
      <c r="AC18" s="1815">
        <f t="shared" ref="AC18" si="10">D18/J18</f>
        <v>1</v>
      </c>
    </row>
    <row r="19" spans="1:29" ht="15">
      <c r="A19" s="429"/>
      <c r="B19" s="1387"/>
      <c r="C19" s="2612"/>
      <c r="D19" s="451"/>
      <c r="E19" s="2612"/>
      <c r="F19" s="454"/>
      <c r="G19" s="2612"/>
      <c r="H19" s="449"/>
      <c r="I19" s="448"/>
      <c r="J19" s="449"/>
      <c r="K19" s="1386"/>
      <c r="L19" s="1143"/>
      <c r="M19" s="1134"/>
      <c r="N19" s="1134"/>
      <c r="O19" s="1142"/>
      <c r="P19" s="3298"/>
      <c r="Q19" s="1814"/>
      <c r="R19" s="774"/>
      <c r="S19" s="775"/>
      <c r="T19" s="774"/>
      <c r="U19" s="775"/>
      <c r="V19" s="774"/>
      <c r="W19" s="775"/>
      <c r="X19" s="1817"/>
      <c r="Y19" s="3298"/>
      <c r="Z19" s="1818"/>
      <c r="AA19" s="1815">
        <v>1</v>
      </c>
      <c r="AB19" s="1815">
        <v>1</v>
      </c>
      <c r="AC19" s="1815">
        <v>1</v>
      </c>
    </row>
    <row r="20" spans="1:29" ht="128.25">
      <c r="A20" s="429"/>
      <c r="B20" s="452" t="s">
        <v>2704</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98"/>
      <c r="Q20" s="1814" t="str">
        <f>B20</f>
        <v>自然及人文环境</v>
      </c>
      <c r="R20" s="774" t="s">
        <v>17</v>
      </c>
      <c r="S20" s="775">
        <f>F20</f>
        <v>100</v>
      </c>
      <c r="T20" s="774" t="s">
        <v>17</v>
      </c>
      <c r="U20" s="775">
        <f>H20</f>
        <v>100</v>
      </c>
      <c r="V20" s="774" t="s">
        <v>17</v>
      </c>
      <c r="W20" s="775">
        <f>J20</f>
        <v>100</v>
      </c>
      <c r="X20" s="1817"/>
      <c r="Y20" s="3298"/>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298"/>
      <c r="Q21" s="1814"/>
      <c r="R21" s="774"/>
      <c r="S21" s="775"/>
      <c r="T21" s="774"/>
      <c r="U21" s="775"/>
      <c r="V21" s="774"/>
      <c r="W21" s="775"/>
      <c r="X21" s="1817"/>
      <c r="Y21" s="3298"/>
      <c r="Z21" s="1818"/>
      <c r="AA21" s="1815">
        <v>1</v>
      </c>
      <c r="AB21" s="1815">
        <v>1</v>
      </c>
      <c r="AC21" s="1815">
        <v>1</v>
      </c>
    </row>
    <row r="22" spans="1:29" ht="15">
      <c r="A22" s="429"/>
      <c r="B22" s="452" t="s">
        <v>2705</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98"/>
      <c r="Q22" s="1814" t="str">
        <f>B22</f>
        <v>楼层</v>
      </c>
      <c r="R22" s="774" t="s">
        <v>17</v>
      </c>
      <c r="S22" s="775">
        <f>F22</f>
        <v>100</v>
      </c>
      <c r="T22" s="774" t="s">
        <v>17</v>
      </c>
      <c r="U22" s="775">
        <f>H22</f>
        <v>100</v>
      </c>
      <c r="V22" s="774" t="s">
        <v>17</v>
      </c>
      <c r="W22" s="775">
        <f>J22</f>
        <v>100</v>
      </c>
      <c r="X22" s="1817"/>
      <c r="Y22" s="3298"/>
      <c r="Z22" s="1818" t="str">
        <f>Q22</f>
        <v>楼层</v>
      </c>
      <c r="AA22" s="1815">
        <f t="shared" si="3"/>
        <v>1</v>
      </c>
      <c r="AB22" s="1815">
        <f t="shared" si="4"/>
        <v>1</v>
      </c>
      <c r="AC22" s="1815">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98"/>
      <c r="Q23" s="1814">
        <f>B23</f>
        <v>111</v>
      </c>
      <c r="R23" s="774" t="s">
        <v>17</v>
      </c>
      <c r="S23" s="775">
        <f>F23</f>
        <v>100</v>
      </c>
      <c r="T23" s="774" t="s">
        <v>17</v>
      </c>
      <c r="U23" s="775">
        <f>H23</f>
        <v>100</v>
      </c>
      <c r="V23" s="774" t="s">
        <v>17</v>
      </c>
      <c r="W23" s="775">
        <f>J23</f>
        <v>100</v>
      </c>
      <c r="X23" s="1817"/>
      <c r="Y23" s="3298"/>
      <c r="Z23" s="1818">
        <f>Q23</f>
        <v>111</v>
      </c>
      <c r="AA23" s="1815">
        <f t="shared" si="3"/>
        <v>1</v>
      </c>
      <c r="AB23" s="1815">
        <f t="shared" si="4"/>
        <v>1</v>
      </c>
      <c r="AC23" s="1815">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98"/>
      <c r="Q24" s="1814">
        <f t="shared" ref="Q24:Q34" si="11">B24</f>
        <v>111</v>
      </c>
      <c r="R24" s="774" t="s">
        <v>17</v>
      </c>
      <c r="S24" s="775">
        <f>F24</f>
        <v>100</v>
      </c>
      <c r="T24" s="774" t="s">
        <v>17</v>
      </c>
      <c r="U24" s="775">
        <f>H24</f>
        <v>100</v>
      </c>
      <c r="V24" s="774" t="s">
        <v>17</v>
      </c>
      <c r="W24" s="775">
        <f>J24</f>
        <v>100</v>
      </c>
      <c r="X24" s="1817"/>
      <c r="Y24" s="3298"/>
      <c r="Z24" s="1818">
        <f>Q24</f>
        <v>111</v>
      </c>
      <c r="AA24" s="1815">
        <f t="shared" si="3"/>
        <v>1</v>
      </c>
      <c r="AB24" s="1815">
        <f t="shared" si="4"/>
        <v>1</v>
      </c>
      <c r="AC24" s="1815">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5"/>
      <c r="M25" s="1136"/>
      <c r="N25" s="1136"/>
      <c r="O25" s="1137"/>
      <c r="P25" s="3298"/>
      <c r="Q25" s="1799">
        <f t="shared" si="11"/>
        <v>111</v>
      </c>
      <c r="R25" s="770" t="s">
        <v>17</v>
      </c>
      <c r="S25" s="771">
        <f>F25</f>
        <v>100</v>
      </c>
      <c r="T25" s="770" t="s">
        <v>17</v>
      </c>
      <c r="U25" s="771">
        <f>H25</f>
        <v>100</v>
      </c>
      <c r="V25" s="770" t="s">
        <v>17</v>
      </c>
      <c r="W25" s="771">
        <f>J25</f>
        <v>100</v>
      </c>
      <c r="X25" s="772"/>
      <c r="Y25" s="3298"/>
      <c r="Z25" s="55">
        <f>Q25</f>
        <v>111</v>
      </c>
      <c r="AA25" s="1815">
        <f>D25/F25</f>
        <v>1</v>
      </c>
      <c r="AB25" s="1815">
        <f>D25/H25</f>
        <v>1</v>
      </c>
      <c r="AC25" s="1815">
        <f>D25/J25</f>
        <v>1</v>
      </c>
    </row>
    <row r="26" spans="1:29" ht="15">
      <c r="A26" s="467" t="s">
        <v>2557</v>
      </c>
      <c r="B26" s="71" t="s">
        <v>2708</v>
      </c>
      <c r="C26" s="2683"/>
      <c r="D26" s="468">
        <v>100</v>
      </c>
      <c r="E26" s="2683"/>
      <c r="F26" s="668">
        <f>SUMIF(77:77,E26,78:78)-SUMIF(77:77,C26,78:78)+100</f>
        <v>100</v>
      </c>
      <c r="G26" s="2683"/>
      <c r="H26" s="468">
        <f>SUMIF(77:77,G26,78:78)-SUMIF(77:77,C26,78:78)+100</f>
        <v>100</v>
      </c>
      <c r="I26" s="2683"/>
      <c r="J26" s="468">
        <f>SUMIF(77:77,I26,78:78)-SUMIF(77:77,C26,78:78)+100</f>
        <v>100</v>
      </c>
      <c r="K26" s="613"/>
      <c r="L26" s="1143"/>
      <c r="M26" s="1134"/>
      <c r="N26" s="1134"/>
      <c r="O26" s="1142"/>
      <c r="P26" s="3349" t="s">
        <v>2559</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302" t="s">
        <v>2559</v>
      </c>
      <c r="Z26" s="1818" t="str">
        <f t="shared" ref="Z26:Z34" si="15">Q26</f>
        <v>公共部分装修</v>
      </c>
      <c r="AA26" s="1815">
        <f t="shared" si="3"/>
        <v>1</v>
      </c>
      <c r="AB26" s="1815">
        <f t="shared" si="4"/>
        <v>1</v>
      </c>
      <c r="AC26" s="1815">
        <f t="shared" si="5"/>
        <v>1</v>
      </c>
    </row>
    <row r="27" spans="1:29" s="472" customFormat="1" ht="15">
      <c r="A27" s="469"/>
      <c r="B27" s="423" t="s">
        <v>2709</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302"/>
      <c r="Q27" s="776" t="str">
        <f t="shared" si="11"/>
        <v>成新率</v>
      </c>
      <c r="R27" s="777" t="s">
        <v>17</v>
      </c>
      <c r="S27" s="778" t="e">
        <f t="shared" si="12"/>
        <v>#N/A</v>
      </c>
      <c r="T27" s="777" t="s">
        <v>17</v>
      </c>
      <c r="U27" s="778" t="e">
        <f t="shared" si="13"/>
        <v>#N/A</v>
      </c>
      <c r="V27" s="777" t="s">
        <v>17</v>
      </c>
      <c r="W27" s="778" t="e">
        <f t="shared" si="14"/>
        <v>#N/A</v>
      </c>
      <c r="X27" s="779"/>
      <c r="Y27" s="3302"/>
      <c r="Z27" s="780" t="str">
        <f t="shared" si="15"/>
        <v>成新率</v>
      </c>
      <c r="AA27" s="1815" t="e">
        <f t="shared" si="3"/>
        <v>#N/A</v>
      </c>
      <c r="AB27" s="1815" t="e">
        <f t="shared" si="4"/>
        <v>#N/A</v>
      </c>
      <c r="AC27" s="1815" t="e">
        <f t="shared" si="5"/>
        <v>#N/A</v>
      </c>
    </row>
    <row r="28" spans="1:29" ht="15">
      <c r="A28" s="473"/>
      <c r="B28" s="423" t="s">
        <v>2710</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302"/>
      <c r="Q28" s="1814" t="str">
        <f t="shared" si="11"/>
        <v>物业等级</v>
      </c>
      <c r="R28" s="774" t="s">
        <v>17</v>
      </c>
      <c r="S28" s="775">
        <f t="shared" si="12"/>
        <v>100</v>
      </c>
      <c r="T28" s="774" t="s">
        <v>17</v>
      </c>
      <c r="U28" s="775">
        <f t="shared" si="13"/>
        <v>100</v>
      </c>
      <c r="V28" s="774" t="s">
        <v>17</v>
      </c>
      <c r="W28" s="775">
        <f t="shared" si="14"/>
        <v>100</v>
      </c>
      <c r="X28" s="1817"/>
      <c r="Y28" s="3302"/>
      <c r="Z28" s="1818" t="str">
        <f t="shared" si="15"/>
        <v>物业等级</v>
      </c>
      <c r="AA28" s="1815">
        <f t="shared" si="3"/>
        <v>1</v>
      </c>
      <c r="AB28" s="1815">
        <f t="shared" si="4"/>
        <v>1</v>
      </c>
      <c r="AC28" s="1815">
        <f t="shared" si="5"/>
        <v>1</v>
      </c>
    </row>
    <row r="29" spans="1:29" ht="15">
      <c r="A29" s="473"/>
      <c r="B29" s="423" t="s">
        <v>2731</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302"/>
      <c r="Q29" s="1814" t="str">
        <f t="shared" si="11"/>
        <v>有无电梯</v>
      </c>
      <c r="R29" s="774" t="s">
        <v>17</v>
      </c>
      <c r="S29" s="775">
        <f t="shared" si="12"/>
        <v>100</v>
      </c>
      <c r="T29" s="774" t="s">
        <v>17</v>
      </c>
      <c r="U29" s="775">
        <f t="shared" si="13"/>
        <v>100</v>
      </c>
      <c r="V29" s="774" t="s">
        <v>17</v>
      </c>
      <c r="W29" s="775">
        <f t="shared" si="14"/>
        <v>100</v>
      </c>
      <c r="X29" s="1817"/>
      <c r="Y29" s="3302"/>
      <c r="Z29" s="1818" t="str">
        <f t="shared" si="15"/>
        <v>有无电梯</v>
      </c>
      <c r="AA29" s="1815">
        <f t="shared" si="3"/>
        <v>1</v>
      </c>
      <c r="AB29" s="1815">
        <f t="shared" si="4"/>
        <v>1</v>
      </c>
      <c r="AC29" s="1815">
        <f t="shared" si="5"/>
        <v>1</v>
      </c>
    </row>
    <row r="30" spans="1:29" ht="15">
      <c r="A30" s="473"/>
      <c r="B30" s="423" t="s">
        <v>2732</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302"/>
      <c r="Q30" s="1814" t="str">
        <f t="shared" si="11"/>
        <v>建筑面积</v>
      </c>
      <c r="R30" s="774" t="s">
        <v>17</v>
      </c>
      <c r="S30" s="775" t="e">
        <f t="shared" si="12"/>
        <v>#N/A</v>
      </c>
      <c r="T30" s="774" t="s">
        <v>17</v>
      </c>
      <c r="U30" s="775" t="e">
        <f t="shared" si="13"/>
        <v>#N/A</v>
      </c>
      <c r="V30" s="774" t="s">
        <v>17</v>
      </c>
      <c r="W30" s="775" t="e">
        <f t="shared" si="14"/>
        <v>#N/A</v>
      </c>
      <c r="X30" s="1817"/>
      <c r="Y30" s="3302"/>
      <c r="Z30" s="1818" t="str">
        <f t="shared" si="15"/>
        <v>建筑面积</v>
      </c>
      <c r="AA30" s="1815" t="e">
        <f t="shared" si="3"/>
        <v>#N/A</v>
      </c>
      <c r="AB30" s="1815" t="e">
        <f t="shared" si="4"/>
        <v>#N/A</v>
      </c>
      <c r="AC30" s="1815" t="e">
        <f t="shared" si="5"/>
        <v>#N/A</v>
      </c>
    </row>
    <row r="31" spans="1:29" s="117" customFormat="1" ht="15">
      <c r="A31" s="474"/>
      <c r="B31" s="423" t="s">
        <v>2733</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302"/>
      <c r="Q31" s="1799" t="str">
        <f t="shared" si="11"/>
        <v>是否封闭</v>
      </c>
      <c r="R31" s="770" t="s">
        <v>17</v>
      </c>
      <c r="S31" s="771">
        <f t="shared" si="12"/>
        <v>100</v>
      </c>
      <c r="T31" s="770" t="s">
        <v>17</v>
      </c>
      <c r="U31" s="771">
        <f t="shared" si="13"/>
        <v>100</v>
      </c>
      <c r="V31" s="770" t="s">
        <v>17</v>
      </c>
      <c r="W31" s="771">
        <f t="shared" si="14"/>
        <v>100</v>
      </c>
      <c r="X31" s="772"/>
      <c r="Y31" s="3302"/>
      <c r="Z31" s="55" t="str">
        <f t="shared" si="15"/>
        <v>是否封闭</v>
      </c>
      <c r="AA31" s="773">
        <f t="shared" si="3"/>
        <v>1</v>
      </c>
      <c r="AB31" s="773">
        <f t="shared" si="4"/>
        <v>1</v>
      </c>
      <c r="AC31" s="773">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302" t="s">
        <v>2559</v>
      </c>
      <c r="Q32" s="1814">
        <f t="shared" si="11"/>
        <v>111</v>
      </c>
      <c r="R32" s="774" t="s">
        <v>17</v>
      </c>
      <c r="S32" s="775">
        <f t="shared" si="12"/>
        <v>100</v>
      </c>
      <c r="T32" s="774" t="s">
        <v>17</v>
      </c>
      <c r="U32" s="775">
        <f t="shared" si="13"/>
        <v>100</v>
      </c>
      <c r="V32" s="774" t="s">
        <v>17</v>
      </c>
      <c r="W32" s="775">
        <f t="shared" si="14"/>
        <v>100</v>
      </c>
      <c r="X32" s="1817"/>
      <c r="Y32" s="3302" t="s">
        <v>2559</v>
      </c>
      <c r="Z32" s="1818">
        <f t="shared" si="15"/>
        <v>111</v>
      </c>
      <c r="AA32" s="1815">
        <f t="shared" si="3"/>
        <v>1</v>
      </c>
      <c r="AB32" s="1815">
        <f t="shared" si="4"/>
        <v>1</v>
      </c>
      <c r="AC32" s="1815">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302"/>
      <c r="Q33" s="1814">
        <f t="shared" si="11"/>
        <v>111</v>
      </c>
      <c r="R33" s="774" t="s">
        <v>17</v>
      </c>
      <c r="S33" s="775">
        <f t="shared" si="12"/>
        <v>100</v>
      </c>
      <c r="T33" s="774" t="s">
        <v>17</v>
      </c>
      <c r="U33" s="775">
        <f t="shared" si="13"/>
        <v>100</v>
      </c>
      <c r="V33" s="774" t="s">
        <v>17</v>
      </c>
      <c r="W33" s="775">
        <f t="shared" si="14"/>
        <v>100</v>
      </c>
      <c r="X33" s="1817"/>
      <c r="Y33" s="3302"/>
      <c r="Z33" s="1818">
        <f t="shared" si="15"/>
        <v>111</v>
      </c>
      <c r="AA33" s="1815">
        <f t="shared" si="3"/>
        <v>1</v>
      </c>
      <c r="AB33" s="1815">
        <f t="shared" si="4"/>
        <v>1</v>
      </c>
      <c r="AC33" s="1815">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3"/>
      <c r="M34" s="1134"/>
      <c r="N34" s="1134"/>
      <c r="O34" s="1142"/>
      <c r="P34" s="3302"/>
      <c r="Q34" s="1814">
        <f t="shared" si="11"/>
        <v>111</v>
      </c>
      <c r="R34" s="774" t="s">
        <v>17</v>
      </c>
      <c r="S34" s="775">
        <f t="shared" si="12"/>
        <v>100</v>
      </c>
      <c r="T34" s="774" t="s">
        <v>17</v>
      </c>
      <c r="U34" s="775">
        <f t="shared" si="13"/>
        <v>100</v>
      </c>
      <c r="V34" s="774" t="s">
        <v>17</v>
      </c>
      <c r="W34" s="775">
        <f t="shared" si="14"/>
        <v>100</v>
      </c>
      <c r="X34" s="1817"/>
      <c r="Y34" s="3302"/>
      <c r="Z34" s="1818">
        <f t="shared" si="15"/>
        <v>111</v>
      </c>
      <c r="AA34" s="1815">
        <f t="shared" si="3"/>
        <v>1</v>
      </c>
      <c r="AB34" s="1815">
        <f t="shared" si="4"/>
        <v>1</v>
      </c>
      <c r="AC34" s="1815">
        <f t="shared" si="5"/>
        <v>1</v>
      </c>
    </row>
    <row r="35" spans="1:29" ht="15">
      <c r="A35" s="480" t="s">
        <v>2571</v>
      </c>
      <c r="B35" s="481"/>
      <c r="C35" s="1410" t="s">
        <v>1</v>
      </c>
      <c r="D35" s="1411"/>
      <c r="E35" s="1412"/>
      <c r="F35" s="1413"/>
      <c r="G35" s="1414"/>
      <c r="H35" s="1415"/>
      <c r="I35" s="1412"/>
      <c r="J35" s="1415"/>
      <c r="K35" s="783"/>
      <c r="L35" s="1146"/>
      <c r="M35" s="1147"/>
      <c r="N35" s="1134"/>
      <c r="O35" s="1147"/>
      <c r="P35" s="3304" t="str">
        <f>A35</f>
        <v>成交单价（元/平方米）</v>
      </c>
      <c r="Q35" s="3304"/>
      <c r="R35" s="3305">
        <f>E35</f>
        <v>0</v>
      </c>
      <c r="S35" s="3305"/>
      <c r="T35" s="3305">
        <f>G35</f>
        <v>0</v>
      </c>
      <c r="U35" s="3305"/>
      <c r="V35" s="3305">
        <f>I35</f>
        <v>0</v>
      </c>
      <c r="W35" s="3305"/>
      <c r="X35" s="759"/>
      <c r="Y35" s="781"/>
      <c r="Z35" s="759"/>
      <c r="AA35" s="759"/>
      <c r="AB35" s="759"/>
      <c r="AC35" s="759"/>
    </row>
    <row r="36" spans="1:29" ht="15.75" thickBot="1">
      <c r="A36" s="487" t="s">
        <v>2663</v>
      </c>
      <c r="B36" s="488"/>
      <c r="C36" s="1416" t="e">
        <f>R37</f>
        <v>#DIV/0!</v>
      </c>
      <c r="D36" s="1417"/>
      <c r="E36" s="1418" t="e">
        <f>R36</f>
        <v>#DIV/0!</v>
      </c>
      <c r="F36" s="1418"/>
      <c r="G36" s="1416" t="e">
        <f>T36</f>
        <v>#DIV/0!</v>
      </c>
      <c r="H36" s="1417"/>
      <c r="I36" s="1418" t="e">
        <f>V36</f>
        <v>#DIV/0!</v>
      </c>
      <c r="J36" s="1417"/>
      <c r="K36" s="784"/>
      <c r="L36" s="1146"/>
      <c r="M36" s="1147"/>
      <c r="N36" s="1134"/>
      <c r="O36" s="1147"/>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759"/>
      <c r="Y36" s="759"/>
      <c r="Z36" s="759"/>
      <c r="AA36" s="759"/>
      <c r="AB36" s="759"/>
      <c r="AC36" s="759"/>
    </row>
    <row r="37" spans="1:29" ht="15.75" thickBot="1">
      <c r="A37" s="493" t="s">
        <v>2664</v>
      </c>
      <c r="B37" s="494"/>
      <c r="C37" s="1420" t="e">
        <f>R37</f>
        <v>#DIV/0!</v>
      </c>
      <c r="D37" s="1420"/>
      <c r="E37" s="1420"/>
      <c r="F37" s="1420"/>
      <c r="G37" s="1420"/>
      <c r="H37" s="1420"/>
      <c r="I37" s="1420"/>
      <c r="J37" s="1420"/>
      <c r="K37" s="785"/>
      <c r="L37" s="1146"/>
      <c r="M37" s="1147"/>
      <c r="N37" s="1147"/>
      <c r="O37" s="1147"/>
      <c r="P37" s="3346" t="str">
        <f>A37</f>
        <v>估价对象XX用房的比较价值（楼面单价，元/平方米）</v>
      </c>
      <c r="Q37" s="3347"/>
      <c r="R37" s="3348" t="e">
        <f>IF(F1="售价",ROUND(AVERAGE(R36:V36),0),ROUND(AVERAGE(R36:V36),1))</f>
        <v>#DIV/0!</v>
      </c>
      <c r="S37" s="3348"/>
      <c r="T37" s="3348"/>
      <c r="U37" s="3348"/>
      <c r="V37" s="3348"/>
      <c r="W37" s="334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2665</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2666</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2667</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4"/>
      <c r="Q45" s="505"/>
    </row>
    <row r="46" spans="1:29" s="509" customFormat="1" ht="15">
      <c r="A46" s="506" t="s">
        <v>2542</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2579</v>
      </c>
      <c r="B48" s="517"/>
      <c r="C48" s="518"/>
      <c r="D48" s="519"/>
      <c r="E48" s="519"/>
      <c r="F48" s="519"/>
      <c r="G48" s="519"/>
      <c r="H48" s="519"/>
      <c r="I48" s="519"/>
      <c r="J48" s="519"/>
      <c r="K48" s="519"/>
      <c r="L48" s="519"/>
      <c r="M48" s="520"/>
      <c r="N48" s="519"/>
      <c r="O48" s="521"/>
      <c r="P48" s="505"/>
      <c r="Q48" s="505"/>
    </row>
    <row r="49" spans="1:17" s="117" customFormat="1" ht="15">
      <c r="A49" s="522" t="s">
        <v>2544</v>
      </c>
      <c r="B49" s="511"/>
      <c r="C49" s="523" t="s">
        <v>2646</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2582</v>
      </c>
      <c r="B51" s="529" t="s">
        <v>2548</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2551</v>
      </c>
      <c r="C53" s="540" t="s">
        <v>2583</v>
      </c>
      <c r="D53" s="540" t="s">
        <v>2584</v>
      </c>
      <c r="E53" s="540" t="s">
        <v>2585</v>
      </c>
      <c r="F53" s="540" t="s">
        <v>2586</v>
      </c>
      <c r="G53" s="540" t="s">
        <v>2587</v>
      </c>
      <c r="H53" s="540" t="s">
        <v>2588</v>
      </c>
      <c r="I53" s="540" t="s">
        <v>2589</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2553</v>
      </c>
      <c r="B61" s="529" t="s">
        <v>2596</v>
      </c>
      <c r="C61" s="574" t="s">
        <v>2591</v>
      </c>
      <c r="D61" s="574" t="s">
        <v>2592</v>
      </c>
      <c r="E61" s="574" t="s">
        <v>2593</v>
      </c>
      <c r="F61" s="574" t="s">
        <v>2594</v>
      </c>
      <c r="G61" s="574" t="s">
        <v>2595</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2734</v>
      </c>
      <c r="C63" s="579" t="s">
        <v>2591</v>
      </c>
      <c r="D63" s="579" t="s">
        <v>2592</v>
      </c>
      <c r="E63" s="579" t="s">
        <v>2593</v>
      </c>
      <c r="F63" s="579" t="s">
        <v>2594</v>
      </c>
      <c r="G63" s="579" t="s">
        <v>2595</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2683</v>
      </c>
      <c r="C65" s="661" t="s">
        <v>2669</v>
      </c>
      <c r="D65" s="661" t="s">
        <v>2670</v>
      </c>
      <c r="E65" s="661" t="s">
        <v>2671</v>
      </c>
      <c r="F65" s="661" t="s">
        <v>2672</v>
      </c>
      <c r="G65" s="661" t="s">
        <v>2673</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2603</v>
      </c>
      <c r="C67" s="579" t="s">
        <v>2591</v>
      </c>
      <c r="D67" s="579" t="s">
        <v>2592</v>
      </c>
      <c r="E67" s="579" t="s">
        <v>2593</v>
      </c>
      <c r="F67" s="579" t="s">
        <v>2594</v>
      </c>
      <c r="G67" s="579" t="s">
        <v>2595</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2723</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2557</v>
      </c>
      <c r="B77" s="529" t="s">
        <v>2610</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2726</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2727</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2735</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2736</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2737</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2738</v>
      </c>
      <c r="B1" s="396"/>
      <c r="C1" s="397"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2321</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2323</v>
      </c>
      <c r="B3" s="610" t="e">
        <f>ROUND(IF(D3="",B2*10000/'数据-汇总表'!E3,B2*10000/D3),0)</f>
        <v>#DIV/0!</v>
      </c>
      <c r="C3" s="248" t="s">
        <v>2740</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59" t="s">
        <v>2642</v>
      </c>
      <c r="AC4" s="3331" t="s">
        <v>2643</v>
      </c>
    </row>
    <row r="5" spans="1:30"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59"/>
      <c r="AC5" s="3259"/>
    </row>
    <row r="6" spans="1:30" ht="15.75" thickBot="1">
      <c r="A6" s="407"/>
      <c r="B6" s="408"/>
      <c r="C6" s="3338" t="s">
        <v>2540</v>
      </c>
      <c r="D6" s="3339"/>
      <c r="E6" s="3340" t="s">
        <v>2540</v>
      </c>
      <c r="F6" s="3341"/>
      <c r="G6" s="3338" t="s">
        <v>2540</v>
      </c>
      <c r="H6" s="3339"/>
      <c r="I6" s="3338" t="s">
        <v>2540</v>
      </c>
      <c r="J6" s="3339"/>
      <c r="K6" s="611" t="s">
        <v>2541</v>
      </c>
      <c r="L6" s="1133"/>
      <c r="M6" s="1134"/>
      <c r="N6" s="1134"/>
      <c r="O6" s="1134"/>
      <c r="P6" s="3345"/>
      <c r="Q6" s="3288"/>
      <c r="R6" s="3265"/>
      <c r="S6" s="3266"/>
      <c r="T6" s="3289"/>
      <c r="U6" s="3290"/>
      <c r="V6" s="3292"/>
      <c r="W6" s="3292"/>
      <c r="X6" s="1817"/>
      <c r="Y6" s="3289"/>
      <c r="Z6" s="3290"/>
      <c r="AA6" s="3260"/>
      <c r="AB6" s="3260"/>
      <c r="AC6" s="3260"/>
    </row>
    <row r="7" spans="1:30" s="117" customFormat="1" ht="15.75" thickBot="1">
      <c r="A7" s="409" t="s">
        <v>2542</v>
      </c>
      <c r="B7" s="410"/>
      <c r="C7" s="411">
        <f>'数据-取费表'!B2</f>
        <v>43047</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5"/>
      <c r="M7" s="1136"/>
      <c r="N7" s="1136"/>
      <c r="O7" s="1136"/>
      <c r="P7" s="3261" t="s">
        <v>2543</v>
      </c>
      <c r="Q7" s="3294"/>
      <c r="R7" s="770" t="s">
        <v>17</v>
      </c>
      <c r="S7" s="771">
        <f t="shared" ref="S7:S15" si="0">F7</f>
        <v>0</v>
      </c>
      <c r="T7" s="770" t="s">
        <v>17</v>
      </c>
      <c r="U7" s="771">
        <f t="shared" ref="U7:U15" si="1">H7</f>
        <v>0</v>
      </c>
      <c r="V7" s="770" t="s">
        <v>17</v>
      </c>
      <c r="W7" s="771">
        <f t="shared" ref="W7:W15" si="2">J7</f>
        <v>0</v>
      </c>
      <c r="X7" s="772"/>
      <c r="Y7" s="3261" t="s">
        <v>2543</v>
      </c>
      <c r="Z7" s="3262"/>
      <c r="AA7" s="773" t="e">
        <f>D7/F7</f>
        <v>#DIV/0!</v>
      </c>
      <c r="AB7" s="773" t="e">
        <f>D7/H7</f>
        <v>#DIV/0!</v>
      </c>
      <c r="AC7" s="773" t="e">
        <f>D7/J7</f>
        <v>#DIV/0!</v>
      </c>
    </row>
    <row r="8" spans="1:30" s="117" customFormat="1" ht="15.75" thickBot="1">
      <c r="A8" s="409" t="s">
        <v>2544</v>
      </c>
      <c r="B8" s="410"/>
      <c r="C8" s="415" t="s">
        <v>2545</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45" si="3">D8/F8</f>
        <v>#DIV/0!</v>
      </c>
      <c r="AB8" s="773" t="e">
        <f t="shared" ref="AB8:AB45" si="4">D8/H8</f>
        <v>#DIV/0!</v>
      </c>
      <c r="AC8" s="773" t="e">
        <f t="shared" ref="AC8:AC45" si="5">D8/J8</f>
        <v>#DIV/0!</v>
      </c>
    </row>
    <row r="9" spans="1:30" s="117" customFormat="1">
      <c r="A9" s="416" t="s">
        <v>2547</v>
      </c>
      <c r="B9" s="71" t="s">
        <v>2548</v>
      </c>
      <c r="C9" s="2703"/>
      <c r="D9" s="135">
        <v>100</v>
      </c>
      <c r="E9" s="2703"/>
      <c r="F9" s="135">
        <f>SUMIF(75:75,E9,76:76)-SUMIF(75:75,C9,76:76)+100</f>
        <v>100</v>
      </c>
      <c r="G9" s="2703"/>
      <c r="H9" s="135">
        <f>SUMIF(75:75,G9,76:76)-SUMIF(75:75,C9,76:76)+100</f>
        <v>100</v>
      </c>
      <c r="I9" s="2703"/>
      <c r="J9" s="135">
        <f>SUMIF(75:75,I9,76:76)-SUMIF(75:75,C9,76:76)+100</f>
        <v>100</v>
      </c>
      <c r="K9" s="612"/>
      <c r="L9" s="1135"/>
      <c r="M9" s="1136"/>
      <c r="N9" s="1136"/>
      <c r="O9" s="1137"/>
      <c r="P9" s="3304"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773">
        <f t="shared" si="5"/>
        <v>1</v>
      </c>
    </row>
    <row r="10" spans="1:30" s="428" customFormat="1" ht="27">
      <c r="A10" s="422"/>
      <c r="B10" s="423" t="s">
        <v>2551</v>
      </c>
      <c r="C10" s="433"/>
      <c r="D10" s="136">
        <v>100</v>
      </c>
      <c r="E10" s="466"/>
      <c r="F10" s="136">
        <f>ROUND(100/'数据-取费表'!G16,0)</f>
        <v>115</v>
      </c>
      <c r="G10" s="464"/>
      <c r="H10" s="136">
        <f>ROUND(100/'数据-取费表'!G16,0)</f>
        <v>115</v>
      </c>
      <c r="I10" s="464"/>
      <c r="J10" s="136">
        <f>ROUND(100/'数据-取费表'!G16,0)</f>
        <v>115</v>
      </c>
      <c r="K10" s="673"/>
      <c r="L10" s="1138"/>
      <c r="M10" s="1139"/>
      <c r="N10" s="1139"/>
      <c r="O10" s="1140"/>
      <c r="P10" s="3304"/>
      <c r="Q10" s="1799" t="str">
        <f t="shared" si="6"/>
        <v>土地使用年限（年）</v>
      </c>
      <c r="R10" s="770" t="s">
        <v>17</v>
      </c>
      <c r="S10" s="771">
        <f t="shared" si="0"/>
        <v>115</v>
      </c>
      <c r="T10" s="770" t="s">
        <v>17</v>
      </c>
      <c r="U10" s="771">
        <f t="shared" si="1"/>
        <v>115</v>
      </c>
      <c r="V10" s="770" t="s">
        <v>17</v>
      </c>
      <c r="W10" s="771">
        <f t="shared" si="2"/>
        <v>115</v>
      </c>
      <c r="X10" s="772"/>
      <c r="Y10" s="3130"/>
      <c r="Z10" s="55" t="str">
        <f t="shared" si="7"/>
        <v>土地使用年限（年）</v>
      </c>
      <c r="AA10" s="773">
        <f t="shared" si="3"/>
        <v>0.86956521739130432</v>
      </c>
      <c r="AB10" s="773">
        <f t="shared" si="4"/>
        <v>0.86956521739130432</v>
      </c>
      <c r="AC10" s="773">
        <f t="shared" si="5"/>
        <v>0.86956521739130432</v>
      </c>
    </row>
    <row r="11" spans="1:30" ht="15">
      <c r="A11" s="429"/>
      <c r="B11" s="423" t="s">
        <v>2552</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304"/>
      <c r="Q11" s="1799"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30" s="117" customFormat="1" ht="15">
      <c r="A12" s="432"/>
      <c r="B12" s="2604" t="s">
        <v>2741</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304"/>
      <c r="Q12" s="1799" t="str">
        <f t="shared" si="6"/>
        <v>配建</v>
      </c>
      <c r="R12" s="770" t="s">
        <v>17</v>
      </c>
      <c r="S12" s="771">
        <f t="shared" si="0"/>
        <v>100</v>
      </c>
      <c r="T12" s="770" t="s">
        <v>17</v>
      </c>
      <c r="U12" s="771">
        <f t="shared" si="1"/>
        <v>100</v>
      </c>
      <c r="V12" s="770" t="s">
        <v>17</v>
      </c>
      <c r="W12" s="771">
        <f t="shared" si="2"/>
        <v>100</v>
      </c>
      <c r="X12" s="772"/>
      <c r="Y12" s="3130"/>
      <c r="Z12" s="55" t="str">
        <f t="shared" si="7"/>
        <v>配建</v>
      </c>
      <c r="AA12" s="773">
        <f>D12/F12</f>
        <v>1</v>
      </c>
      <c r="AB12" s="773">
        <f>D12/H12</f>
        <v>1</v>
      </c>
      <c r="AC12" s="773">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304"/>
      <c r="Q13" s="1799">
        <f t="shared" si="6"/>
        <v>111</v>
      </c>
      <c r="R13" s="770" t="s">
        <v>17</v>
      </c>
      <c r="S13" s="771">
        <f t="shared" si="0"/>
        <v>100</v>
      </c>
      <c r="T13" s="770" t="s">
        <v>17</v>
      </c>
      <c r="U13" s="771">
        <f t="shared" si="1"/>
        <v>100</v>
      </c>
      <c r="V13" s="770" t="s">
        <v>17</v>
      </c>
      <c r="W13" s="771">
        <f t="shared" si="2"/>
        <v>100</v>
      </c>
      <c r="X13" s="772"/>
      <c r="Y13" s="3130"/>
      <c r="Z13" s="55">
        <f t="shared" si="7"/>
        <v>111</v>
      </c>
      <c r="AA13" s="773">
        <f>D13/F13</f>
        <v>1</v>
      </c>
      <c r="AB13" s="773">
        <f>D13/H13</f>
        <v>1</v>
      </c>
      <c r="AC13" s="773">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304"/>
      <c r="Q14" s="1799">
        <f t="shared" si="6"/>
        <v>111</v>
      </c>
      <c r="R14" s="770" t="s">
        <v>17</v>
      </c>
      <c r="S14" s="771">
        <f t="shared" si="0"/>
        <v>100</v>
      </c>
      <c r="T14" s="770" t="s">
        <v>17</v>
      </c>
      <c r="U14" s="771">
        <f t="shared" si="1"/>
        <v>100</v>
      </c>
      <c r="V14" s="770" t="s">
        <v>17</v>
      </c>
      <c r="W14" s="771">
        <f t="shared" si="2"/>
        <v>100</v>
      </c>
      <c r="X14" s="772"/>
      <c r="Y14" s="3130"/>
      <c r="Z14" s="55">
        <f t="shared" si="7"/>
        <v>111</v>
      </c>
      <c r="AA14" s="773">
        <f>D14/F14</f>
        <v>1</v>
      </c>
      <c r="AB14" s="773">
        <f>D14/H14</f>
        <v>1</v>
      </c>
      <c r="AC14" s="773">
        <f>D14/J14</f>
        <v>1</v>
      </c>
    </row>
    <row r="15" spans="1:30" ht="15">
      <c r="A15" s="441" t="s">
        <v>2553</v>
      </c>
      <c r="B15" s="69" t="s">
        <v>2087</v>
      </c>
      <c r="C15" s="2607">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97" t="s">
        <v>2554</v>
      </c>
      <c r="Q15" s="1814" t="str">
        <f t="shared" si="6"/>
        <v>居住社区成熟度</v>
      </c>
      <c r="R15" s="774" t="s">
        <v>17</v>
      </c>
      <c r="S15" s="775">
        <f t="shared" si="0"/>
        <v>100</v>
      </c>
      <c r="T15" s="774" t="s">
        <v>17</v>
      </c>
      <c r="U15" s="775">
        <f t="shared" si="1"/>
        <v>100</v>
      </c>
      <c r="V15" s="774" t="s">
        <v>17</v>
      </c>
      <c r="W15" s="775">
        <f t="shared" si="2"/>
        <v>100</v>
      </c>
      <c r="X15" s="1817"/>
      <c r="Y15" s="3297" t="s">
        <v>2554</v>
      </c>
      <c r="Z15" s="1818" t="str">
        <f t="shared" si="7"/>
        <v>居住社区成熟度</v>
      </c>
      <c r="AA15" s="1815">
        <f t="shared" si="3"/>
        <v>1</v>
      </c>
      <c r="AB15" s="1815">
        <f t="shared" si="4"/>
        <v>1</v>
      </c>
      <c r="AC15" s="1815">
        <f t="shared" si="5"/>
        <v>1</v>
      </c>
    </row>
    <row r="16" spans="1:30" ht="15">
      <c r="A16" s="429"/>
      <c r="B16" s="447"/>
      <c r="C16" s="448"/>
      <c r="D16" s="449"/>
      <c r="E16" s="2609"/>
      <c r="F16" s="449"/>
      <c r="G16" s="2609"/>
      <c r="H16" s="451"/>
      <c r="I16" s="2608"/>
      <c r="J16" s="449"/>
      <c r="K16" s="673"/>
      <c r="L16" s="1143"/>
      <c r="M16" s="1134"/>
      <c r="N16" s="1134"/>
      <c r="O16" s="1142"/>
      <c r="P16" s="3298"/>
      <c r="Q16" s="1814"/>
      <c r="R16" s="774"/>
      <c r="S16" s="775"/>
      <c r="T16" s="774"/>
      <c r="U16" s="775"/>
      <c r="V16" s="774"/>
      <c r="W16" s="775"/>
      <c r="X16" s="1817"/>
      <c r="Y16" s="3298"/>
      <c r="Z16" s="1818"/>
      <c r="AA16" s="1815">
        <v>1</v>
      </c>
      <c r="AB16" s="1815">
        <v>1</v>
      </c>
      <c r="AC16" s="1815">
        <v>1</v>
      </c>
    </row>
    <row r="17" spans="1:29" ht="15">
      <c r="A17" s="429"/>
      <c r="B17" s="452" t="s">
        <v>2647</v>
      </c>
      <c r="C17" s="2668">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98"/>
      <c r="Q17" s="1814" t="str">
        <f>B17</f>
        <v>商业繁华度</v>
      </c>
      <c r="R17" s="774" t="s">
        <v>17</v>
      </c>
      <c r="S17" s="775">
        <f>F17</f>
        <v>100</v>
      </c>
      <c r="T17" s="774" t="s">
        <v>17</v>
      </c>
      <c r="U17" s="775">
        <f>H17</f>
        <v>100</v>
      </c>
      <c r="V17" s="774" t="s">
        <v>17</v>
      </c>
      <c r="W17" s="775">
        <f>J17</f>
        <v>100</v>
      </c>
      <c r="X17" s="1817"/>
      <c r="Y17" s="3298"/>
      <c r="Z17" s="1818" t="str">
        <f>Q17</f>
        <v>商业繁华度</v>
      </c>
      <c r="AA17" s="1815">
        <f t="shared" si="3"/>
        <v>1</v>
      </c>
      <c r="AB17" s="1815">
        <f t="shared" si="4"/>
        <v>1</v>
      </c>
      <c r="AC17" s="1815">
        <f t="shared" si="5"/>
        <v>1</v>
      </c>
    </row>
    <row r="18" spans="1:29" ht="15">
      <c r="A18" s="429"/>
      <c r="B18" s="457"/>
      <c r="C18" s="2612"/>
      <c r="D18" s="451"/>
      <c r="E18" s="2614"/>
      <c r="F18" s="451"/>
      <c r="G18" s="2614"/>
      <c r="H18" s="449"/>
      <c r="I18" s="2613"/>
      <c r="J18" s="449"/>
      <c r="K18" s="673"/>
      <c r="L18" s="1143"/>
      <c r="M18" s="1134"/>
      <c r="N18" s="1134"/>
      <c r="O18" s="1142"/>
      <c r="P18" s="3298"/>
      <c r="Q18" s="1814"/>
      <c r="R18" s="774"/>
      <c r="S18" s="775"/>
      <c r="T18" s="774"/>
      <c r="U18" s="775"/>
      <c r="V18" s="774"/>
      <c r="W18" s="775"/>
      <c r="X18" s="1817"/>
      <c r="Y18" s="3298"/>
      <c r="Z18" s="1818"/>
      <c r="AA18" s="1815">
        <v>1</v>
      </c>
      <c r="AB18" s="1815">
        <v>1</v>
      </c>
      <c r="AC18" s="1815">
        <v>1</v>
      </c>
    </row>
    <row r="19" spans="1:29" ht="114">
      <c r="A19" s="429"/>
      <c r="B19" s="452" t="s">
        <v>2681</v>
      </c>
      <c r="C19" s="2668" t="str">
        <f>估价对象房地状况!C17</f>
        <v>估价对象位于国贸商圈，周边办公楼项目较多，有富力中心，乐成中心、佳龙大厦等，入驻率较高，办公集聚程度较好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98"/>
      <c r="Q19" s="1814" t="str">
        <f>B19</f>
        <v>办公集聚程度</v>
      </c>
      <c r="R19" s="774" t="s">
        <v>17</v>
      </c>
      <c r="S19" s="775">
        <f>F19</f>
        <v>100</v>
      </c>
      <c r="T19" s="774" t="s">
        <v>17</v>
      </c>
      <c r="U19" s="775">
        <f>H19</f>
        <v>100</v>
      </c>
      <c r="V19" s="774" t="s">
        <v>17</v>
      </c>
      <c r="W19" s="775">
        <f>J19</f>
        <v>100</v>
      </c>
      <c r="X19" s="1817"/>
      <c r="Y19" s="3298"/>
      <c r="Z19" s="1818" t="str">
        <f>Q19</f>
        <v>办公集聚程度</v>
      </c>
      <c r="AA19" s="1815">
        <f t="shared" si="3"/>
        <v>1</v>
      </c>
      <c r="AB19" s="1815">
        <f t="shared" si="4"/>
        <v>1</v>
      </c>
      <c r="AC19" s="1815">
        <f t="shared" si="5"/>
        <v>1</v>
      </c>
    </row>
    <row r="20" spans="1:29" ht="15">
      <c r="A20" s="429"/>
      <c r="B20" s="457"/>
      <c r="C20" s="448"/>
      <c r="D20" s="449"/>
      <c r="E20" s="2609"/>
      <c r="F20" s="449"/>
      <c r="G20" s="2609"/>
      <c r="H20" s="449"/>
      <c r="I20" s="2608"/>
      <c r="J20" s="449"/>
      <c r="K20" s="673"/>
      <c r="L20" s="1143"/>
      <c r="M20" s="1134"/>
      <c r="N20" s="1134"/>
      <c r="O20" s="1142"/>
      <c r="P20" s="3298"/>
      <c r="Q20" s="1814"/>
      <c r="R20" s="774"/>
      <c r="S20" s="775"/>
      <c r="T20" s="774"/>
      <c r="U20" s="775"/>
      <c r="V20" s="774"/>
      <c r="W20" s="775"/>
      <c r="X20" s="1817"/>
      <c r="Y20" s="3298"/>
      <c r="Z20" s="1818"/>
      <c r="AA20" s="1815">
        <v>1</v>
      </c>
      <c r="AB20" s="1815">
        <v>1</v>
      </c>
      <c r="AC20" s="1815">
        <v>1</v>
      </c>
    </row>
    <row r="21" spans="1:29" ht="142.5">
      <c r="A21" s="429"/>
      <c r="B21" s="452" t="s">
        <v>2703</v>
      </c>
      <c r="C21" s="2611" t="str">
        <f>估价对象房地状况!C18</f>
        <v>估价对象周边2公里范围内路网密集、有57、72、300路等多辆公交车经过，有1号线、7号线、10号线经过，周边停车便捷，综合评价交通便捷度好。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98"/>
      <c r="Q21" s="1814" t="str">
        <f>B21</f>
        <v>交通便捷度</v>
      </c>
      <c r="R21" s="774" t="s">
        <v>17</v>
      </c>
      <c r="S21" s="775">
        <f>F21</f>
        <v>100</v>
      </c>
      <c r="T21" s="774" t="s">
        <v>17</v>
      </c>
      <c r="U21" s="775">
        <f>H21</f>
        <v>100</v>
      </c>
      <c r="V21" s="774" t="s">
        <v>17</v>
      </c>
      <c r="W21" s="775">
        <f>J21</f>
        <v>100</v>
      </c>
      <c r="X21" s="1817"/>
      <c r="Y21" s="3298"/>
      <c r="Z21" s="1818" t="str">
        <f>Q21</f>
        <v>交通便捷度</v>
      </c>
      <c r="AA21" s="1815">
        <f t="shared" si="3"/>
        <v>1</v>
      </c>
      <c r="AB21" s="1815">
        <f t="shared" si="4"/>
        <v>1</v>
      </c>
      <c r="AC21" s="1815">
        <f t="shared" si="5"/>
        <v>1</v>
      </c>
    </row>
    <row r="22" spans="1:29" ht="15">
      <c r="A22" s="429"/>
      <c r="B22" s="1387"/>
      <c r="C22" s="448"/>
      <c r="D22" s="451"/>
      <c r="E22" s="2609"/>
      <c r="F22" s="449"/>
      <c r="G22" s="2609"/>
      <c r="H22" s="449"/>
      <c r="I22" s="2608"/>
      <c r="J22" s="449"/>
      <c r="K22" s="673"/>
      <c r="L22" s="1143"/>
      <c r="M22" s="1134"/>
      <c r="N22" s="1134"/>
      <c r="O22" s="1142"/>
      <c r="P22" s="3298"/>
      <c r="Q22" s="1814"/>
      <c r="R22" s="774"/>
      <c r="S22" s="775"/>
      <c r="T22" s="774"/>
      <c r="U22" s="775"/>
      <c r="V22" s="774"/>
      <c r="W22" s="775"/>
      <c r="X22" s="1817"/>
      <c r="Y22" s="3298"/>
      <c r="Z22" s="1818"/>
      <c r="AA22" s="1815">
        <v>1</v>
      </c>
      <c r="AB22" s="1815">
        <v>1</v>
      </c>
      <c r="AC22" s="1815">
        <v>1</v>
      </c>
    </row>
    <row r="23" spans="1:29" ht="15">
      <c r="A23" s="405"/>
      <c r="B23" s="452" t="s">
        <v>2742</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98"/>
      <c r="Q23" s="1814" t="str">
        <f t="shared" ref="Q23:Q37" si="8">B23</f>
        <v>区域土地利用方向</v>
      </c>
      <c r="R23" s="774" t="s">
        <v>17</v>
      </c>
      <c r="S23" s="775">
        <f>F23</f>
        <v>100</v>
      </c>
      <c r="T23" s="774" t="s">
        <v>17</v>
      </c>
      <c r="U23" s="775">
        <f>H23</f>
        <v>100</v>
      </c>
      <c r="V23" s="774" t="s">
        <v>17</v>
      </c>
      <c r="W23" s="775">
        <f>J23</f>
        <v>100</v>
      </c>
      <c r="X23" s="1817"/>
      <c r="Y23" s="3298"/>
      <c r="Z23" s="1818" t="str">
        <f>Q23</f>
        <v>区域土地利用方向</v>
      </c>
      <c r="AA23" s="1815">
        <f t="shared" si="3"/>
        <v>1</v>
      </c>
      <c r="AB23" s="1815">
        <f t="shared" si="4"/>
        <v>1</v>
      </c>
      <c r="AC23" s="1815">
        <f t="shared" si="5"/>
        <v>1</v>
      </c>
    </row>
    <row r="24" spans="1:29" ht="15">
      <c r="A24" s="405"/>
      <c r="B24" s="457"/>
      <c r="C24" s="617"/>
      <c r="D24" s="449"/>
      <c r="E24" s="2609"/>
      <c r="F24" s="449"/>
      <c r="G24" s="2608"/>
      <c r="H24" s="449"/>
      <c r="I24" s="2608"/>
      <c r="J24" s="449"/>
      <c r="K24" s="812"/>
      <c r="L24" s="1143"/>
      <c r="M24" s="1134"/>
      <c r="N24" s="1134"/>
      <c r="O24" s="1142"/>
      <c r="P24" s="3298"/>
      <c r="Q24" s="1814"/>
      <c r="R24" s="774"/>
      <c r="S24" s="775"/>
      <c r="T24" s="774"/>
      <c r="U24" s="775"/>
      <c r="V24" s="774"/>
      <c r="W24" s="775"/>
      <c r="X24" s="1817"/>
      <c r="Y24" s="3298"/>
      <c r="Z24" s="1818"/>
      <c r="AA24" s="1815"/>
      <c r="AB24" s="1815"/>
      <c r="AC24" s="1815"/>
    </row>
    <row r="25" spans="1:29" ht="128.25">
      <c r="A25" s="405"/>
      <c r="B25" s="1387" t="s">
        <v>2743</v>
      </c>
      <c r="C25" s="2668" t="str">
        <f>估价对象房地状况!C20</f>
        <v>区域有一定数量大型绿化，自然环境一般：周边有一定数量图书馆，歌剧院等，无高等院校等，人文环境一般；综合评价环境状况一般。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98"/>
      <c r="Q25" s="1814" t="str">
        <f t="shared" si="8"/>
        <v>自然及人文环境状况</v>
      </c>
      <c r="R25" s="774" t="s">
        <v>17</v>
      </c>
      <c r="S25" s="775">
        <f>F25</f>
        <v>100</v>
      </c>
      <c r="T25" s="774" t="s">
        <v>17</v>
      </c>
      <c r="U25" s="775">
        <f>H25</f>
        <v>100</v>
      </c>
      <c r="V25" s="774" t="s">
        <v>17</v>
      </c>
      <c r="W25" s="775">
        <f>J25</f>
        <v>100</v>
      </c>
      <c r="X25" s="1817"/>
      <c r="Y25" s="3298"/>
      <c r="Z25" s="1818" t="str">
        <f>Q25</f>
        <v>自然及人文环境状况</v>
      </c>
      <c r="AA25" s="1815">
        <f t="shared" si="3"/>
        <v>1</v>
      </c>
      <c r="AB25" s="1815">
        <f t="shared" si="4"/>
        <v>1</v>
      </c>
      <c r="AC25" s="1815">
        <f t="shared" si="5"/>
        <v>1</v>
      </c>
    </row>
    <row r="26" spans="1:29" ht="15">
      <c r="A26" s="405"/>
      <c r="B26" s="457"/>
      <c r="C26" s="448"/>
      <c r="D26" s="449"/>
      <c r="E26" s="2615"/>
      <c r="F26" s="449"/>
      <c r="G26" s="2615"/>
      <c r="H26" s="449"/>
      <c r="I26" s="448"/>
      <c r="J26" s="449"/>
      <c r="K26" s="673"/>
      <c r="L26" s="1143"/>
      <c r="M26" s="1134"/>
      <c r="N26" s="1134"/>
      <c r="O26" s="1142"/>
      <c r="P26" s="3298"/>
      <c r="Q26" s="1814"/>
      <c r="R26" s="774"/>
      <c r="S26" s="775"/>
      <c r="T26" s="774"/>
      <c r="U26" s="775"/>
      <c r="V26" s="774"/>
      <c r="W26" s="775"/>
      <c r="X26" s="1817"/>
      <c r="Y26" s="3298"/>
      <c r="Z26" s="1818"/>
      <c r="AA26" s="1815">
        <v>1</v>
      </c>
      <c r="AB26" s="1815">
        <v>1</v>
      </c>
      <c r="AC26" s="1815">
        <v>1</v>
      </c>
    </row>
    <row r="27" spans="1:29" s="117" customFormat="1" ht="42.75">
      <c r="A27" s="650"/>
      <c r="B27" s="1387" t="s">
        <v>2648</v>
      </c>
      <c r="C27" s="2611"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98"/>
      <c r="Q27" s="1799" t="str">
        <f t="shared" si="8"/>
        <v>公共配套设施</v>
      </c>
      <c r="R27" s="770" t="s">
        <v>17</v>
      </c>
      <c r="S27" s="771">
        <f>F27</f>
        <v>100</v>
      </c>
      <c r="T27" s="770" t="s">
        <v>17</v>
      </c>
      <c r="U27" s="771">
        <f>H27</f>
        <v>100</v>
      </c>
      <c r="V27" s="770" t="s">
        <v>17</v>
      </c>
      <c r="W27" s="771">
        <f>J27</f>
        <v>100</v>
      </c>
      <c r="X27" s="772"/>
      <c r="Y27" s="3298"/>
      <c r="Z27" s="55" t="str">
        <f>Q27</f>
        <v>公共配套设施</v>
      </c>
      <c r="AA27" s="1815">
        <f>D27/F27</f>
        <v>1</v>
      </c>
      <c r="AB27" s="1815">
        <f>D27/H27</f>
        <v>1</v>
      </c>
      <c r="AC27" s="1815">
        <f>D27/J27</f>
        <v>1</v>
      </c>
    </row>
    <row r="28" spans="1:29" s="117" customFormat="1" ht="15">
      <c r="A28" s="650"/>
      <c r="B28" s="457"/>
      <c r="C28" s="2704"/>
      <c r="D28" s="449"/>
      <c r="E28" s="2615"/>
      <c r="F28" s="449"/>
      <c r="G28" s="2615"/>
      <c r="H28" s="449"/>
      <c r="I28" s="448"/>
      <c r="J28" s="449"/>
      <c r="K28" s="673"/>
      <c r="L28" s="1135"/>
      <c r="M28" s="1136"/>
      <c r="N28" s="1136"/>
      <c r="O28" s="1137"/>
      <c r="P28" s="3298"/>
      <c r="Q28" s="1799"/>
      <c r="R28" s="770"/>
      <c r="S28" s="771"/>
      <c r="T28" s="770"/>
      <c r="U28" s="771"/>
      <c r="V28" s="770"/>
      <c r="W28" s="771"/>
      <c r="X28" s="772"/>
      <c r="Y28" s="3298"/>
      <c r="Z28" s="55"/>
      <c r="AA28" s="1815">
        <v>1</v>
      </c>
      <c r="AB28" s="1815">
        <v>1</v>
      </c>
      <c r="AC28" s="1815">
        <v>1</v>
      </c>
    </row>
    <row r="29" spans="1:29" s="117" customFormat="1" ht="57">
      <c r="A29" s="650"/>
      <c r="B29" s="1387" t="s">
        <v>2649</v>
      </c>
      <c r="C29" s="2611" t="str">
        <f>估价对象房地状况!C22</f>
        <v>估价对象所在区域基础设施水平可达红线外“七通”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98"/>
      <c r="Q29" s="1799" t="str">
        <f t="shared" ref="Q29" si="9">B29</f>
        <v>基础设施水平</v>
      </c>
      <c r="R29" s="770" t="s">
        <v>17</v>
      </c>
      <c r="S29" s="771">
        <f>F29</f>
        <v>100</v>
      </c>
      <c r="T29" s="770" t="s">
        <v>17</v>
      </c>
      <c r="U29" s="771">
        <f>H29</f>
        <v>100</v>
      </c>
      <c r="V29" s="770" t="s">
        <v>17</v>
      </c>
      <c r="W29" s="771">
        <f>J29</f>
        <v>100</v>
      </c>
      <c r="X29" s="772"/>
      <c r="Y29" s="3298"/>
      <c r="Z29" s="55" t="str">
        <f>Q29</f>
        <v>基础设施水平</v>
      </c>
      <c r="AA29" s="1815">
        <f>D29/F29</f>
        <v>1</v>
      </c>
      <c r="AB29" s="1815">
        <f>D29/H29</f>
        <v>1</v>
      </c>
      <c r="AC29" s="1815">
        <f>D29/J29</f>
        <v>1</v>
      </c>
    </row>
    <row r="30" spans="1:29" s="117" customFormat="1" ht="15">
      <c r="A30" s="650"/>
      <c r="B30" s="457"/>
      <c r="C30" s="2704"/>
      <c r="D30" s="449"/>
      <c r="E30" s="2705"/>
      <c r="F30" s="449"/>
      <c r="G30" s="2705"/>
      <c r="H30" s="449"/>
      <c r="I30" s="2705"/>
      <c r="J30" s="449"/>
      <c r="K30" s="673"/>
      <c r="L30" s="1135"/>
      <c r="M30" s="1136"/>
      <c r="N30" s="1136"/>
      <c r="O30" s="1137"/>
      <c r="P30" s="3298"/>
      <c r="Q30" s="1799"/>
      <c r="R30" s="770"/>
      <c r="S30" s="771"/>
      <c r="T30" s="770"/>
      <c r="U30" s="771"/>
      <c r="V30" s="770"/>
      <c r="W30" s="771"/>
      <c r="X30" s="772"/>
      <c r="Y30" s="3298"/>
      <c r="Z30" s="55"/>
      <c r="AA30" s="1815">
        <v>1</v>
      </c>
      <c r="AB30" s="1815">
        <v>1</v>
      </c>
      <c r="AC30" s="1815">
        <v>1</v>
      </c>
    </row>
    <row r="31" spans="1:29" ht="15">
      <c r="A31" s="429"/>
      <c r="B31" s="457" t="s">
        <v>2650</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98"/>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98"/>
      <c r="Z31" s="1818" t="str">
        <f t="shared" ref="Z31:Z45" si="13">Q31</f>
        <v>临街状况</v>
      </c>
      <c r="AA31" s="1815">
        <f t="shared" si="3"/>
        <v>1</v>
      </c>
      <c r="AB31" s="1815">
        <f t="shared" si="4"/>
        <v>1</v>
      </c>
      <c r="AC31" s="1815">
        <f t="shared" si="5"/>
        <v>1</v>
      </c>
    </row>
    <row r="32" spans="1:29" ht="27">
      <c r="A32" s="429"/>
      <c r="B32" s="1387" t="s">
        <v>2685</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98"/>
      <c r="Q32" s="1814" t="str">
        <f t="shared" si="8"/>
        <v>毗邻道路的类型与等级</v>
      </c>
      <c r="R32" s="774" t="s">
        <v>17</v>
      </c>
      <c r="S32" s="775">
        <f t="shared" si="10"/>
        <v>100</v>
      </c>
      <c r="T32" s="774" t="s">
        <v>17</v>
      </c>
      <c r="U32" s="775">
        <f t="shared" si="11"/>
        <v>100</v>
      </c>
      <c r="V32" s="774" t="s">
        <v>17</v>
      </c>
      <c r="W32" s="775">
        <f t="shared" si="12"/>
        <v>100</v>
      </c>
      <c r="X32" s="1817"/>
      <c r="Y32" s="3298"/>
      <c r="Z32" s="1818" t="str">
        <f t="shared" si="13"/>
        <v>毗邻道路的类型与等级</v>
      </c>
      <c r="AA32" s="1815">
        <f t="shared" si="3"/>
        <v>1</v>
      </c>
      <c r="AB32" s="1815">
        <f t="shared" si="4"/>
        <v>1</v>
      </c>
      <c r="AC32" s="1815">
        <f t="shared" si="5"/>
        <v>1</v>
      </c>
    </row>
    <row r="33" spans="1:29" ht="15">
      <c r="A33" s="429"/>
      <c r="B33" s="457"/>
      <c r="C33" s="448"/>
      <c r="D33" s="449"/>
      <c r="E33" s="2615"/>
      <c r="F33" s="449"/>
      <c r="G33" s="2615"/>
      <c r="H33" s="449"/>
      <c r="I33" s="448"/>
      <c r="J33" s="449"/>
      <c r="K33" s="614"/>
      <c r="L33" s="1143"/>
      <c r="M33" s="1134"/>
      <c r="N33" s="1134"/>
      <c r="O33" s="1142"/>
      <c r="P33" s="3298"/>
      <c r="Q33" s="1814"/>
      <c r="R33" s="774"/>
      <c r="S33" s="775"/>
      <c r="T33" s="774"/>
      <c r="U33" s="775"/>
      <c r="V33" s="774"/>
      <c r="W33" s="775"/>
      <c r="X33" s="1817"/>
      <c r="Y33" s="3298"/>
      <c r="Z33" s="1818"/>
      <c r="AA33" s="1815">
        <v>1</v>
      </c>
      <c r="AB33" s="1815">
        <v>1</v>
      </c>
      <c r="AC33" s="1815">
        <v>1</v>
      </c>
    </row>
    <row r="34" spans="1:29" ht="15">
      <c r="A34" s="429"/>
      <c r="B34" s="423" t="s">
        <v>2744</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98"/>
      <c r="Q34" s="1814" t="str">
        <f t="shared" si="8"/>
        <v>土地级别</v>
      </c>
      <c r="R34" s="774" t="s">
        <v>17</v>
      </c>
      <c r="S34" s="775">
        <f t="shared" si="10"/>
        <v>100</v>
      </c>
      <c r="T34" s="774" t="s">
        <v>17</v>
      </c>
      <c r="U34" s="775">
        <f t="shared" si="11"/>
        <v>100</v>
      </c>
      <c r="V34" s="774" t="s">
        <v>17</v>
      </c>
      <c r="W34" s="775">
        <f t="shared" si="12"/>
        <v>100</v>
      </c>
      <c r="X34" s="1817"/>
      <c r="Y34" s="3298"/>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98"/>
      <c r="Q35" s="1814">
        <f t="shared" si="8"/>
        <v>111</v>
      </c>
      <c r="R35" s="774" t="s">
        <v>17</v>
      </c>
      <c r="S35" s="775">
        <f t="shared" si="10"/>
        <v>100</v>
      </c>
      <c r="T35" s="774" t="s">
        <v>17</v>
      </c>
      <c r="U35" s="775">
        <f t="shared" si="11"/>
        <v>100</v>
      </c>
      <c r="V35" s="774" t="s">
        <v>17</v>
      </c>
      <c r="W35" s="775">
        <f t="shared" si="12"/>
        <v>100</v>
      </c>
      <c r="X35" s="1817"/>
      <c r="Y35" s="3298"/>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349" t="s">
        <v>2559</v>
      </c>
      <c r="Q36" s="1814">
        <f t="shared" si="8"/>
        <v>111</v>
      </c>
      <c r="R36" s="774" t="s">
        <v>17</v>
      </c>
      <c r="S36" s="775">
        <f t="shared" si="10"/>
        <v>100</v>
      </c>
      <c r="T36" s="774" t="s">
        <v>17</v>
      </c>
      <c r="U36" s="775">
        <f t="shared" si="11"/>
        <v>100</v>
      </c>
      <c r="V36" s="774" t="s">
        <v>17</v>
      </c>
      <c r="W36" s="775">
        <f t="shared" si="12"/>
        <v>100</v>
      </c>
      <c r="X36" s="1817"/>
      <c r="Y36" s="3302" t="s">
        <v>2559</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302"/>
      <c r="Q37" s="1814">
        <f t="shared" si="8"/>
        <v>111</v>
      </c>
      <c r="R37" s="777" t="s">
        <v>17</v>
      </c>
      <c r="S37" s="778">
        <f t="shared" si="10"/>
        <v>100</v>
      </c>
      <c r="T37" s="777" t="s">
        <v>17</v>
      </c>
      <c r="U37" s="778">
        <f t="shared" si="11"/>
        <v>100</v>
      </c>
      <c r="V37" s="777" t="s">
        <v>17</v>
      </c>
      <c r="W37" s="778">
        <f t="shared" si="12"/>
        <v>100</v>
      </c>
      <c r="X37" s="779"/>
      <c r="Y37" s="3302"/>
      <c r="Z37" s="780">
        <f t="shared" si="13"/>
        <v>111</v>
      </c>
      <c r="AA37" s="1815">
        <f t="shared" si="3"/>
        <v>1</v>
      </c>
      <c r="AB37" s="1815">
        <f t="shared" si="4"/>
        <v>1</v>
      </c>
      <c r="AC37" s="1815">
        <f t="shared" si="5"/>
        <v>1</v>
      </c>
    </row>
    <row r="38" spans="1:29" ht="15">
      <c r="A38" s="473" t="s">
        <v>2557</v>
      </c>
      <c r="B38" s="457" t="s">
        <v>2745</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302"/>
      <c r="Q38" s="1814" t="str">
        <f>B38</f>
        <v>宗地面积</v>
      </c>
      <c r="R38" s="774" t="s">
        <v>17</v>
      </c>
      <c r="S38" s="775" t="e">
        <f t="shared" si="10"/>
        <v>#N/A</v>
      </c>
      <c r="T38" s="774" t="s">
        <v>17</v>
      </c>
      <c r="U38" s="775" t="e">
        <f t="shared" si="11"/>
        <v>#N/A</v>
      </c>
      <c r="V38" s="774" t="s">
        <v>17</v>
      </c>
      <c r="W38" s="775" t="e">
        <f t="shared" si="12"/>
        <v>#N/A</v>
      </c>
      <c r="X38" s="1817"/>
      <c r="Y38" s="3302"/>
      <c r="Z38" s="1818" t="str">
        <f t="shared" si="13"/>
        <v>宗地面积</v>
      </c>
      <c r="AA38" s="1815" t="e">
        <f t="shared" si="3"/>
        <v>#N/A</v>
      </c>
      <c r="AB38" s="1815" t="e">
        <f t="shared" si="4"/>
        <v>#N/A</v>
      </c>
      <c r="AC38" s="1815" t="e">
        <f t="shared" si="5"/>
        <v>#N/A</v>
      </c>
    </row>
    <row r="39" spans="1:29" ht="15">
      <c r="A39" s="473"/>
      <c r="B39" s="423" t="s">
        <v>2746</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3"/>
      <c r="M39" s="1134"/>
      <c r="N39" s="1134"/>
      <c r="O39" s="1142"/>
      <c r="P39" s="3302"/>
      <c r="Q39" s="1814" t="str">
        <f t="shared" ref="Q39:Q45" si="14">B39</f>
        <v>宗地形状</v>
      </c>
      <c r="R39" s="774" t="s">
        <v>17</v>
      </c>
      <c r="S39" s="775">
        <f t="shared" si="10"/>
        <v>100</v>
      </c>
      <c r="T39" s="774" t="s">
        <v>17</v>
      </c>
      <c r="U39" s="775">
        <f t="shared" si="11"/>
        <v>100</v>
      </c>
      <c r="V39" s="774" t="s">
        <v>17</v>
      </c>
      <c r="W39" s="775">
        <f t="shared" si="12"/>
        <v>100</v>
      </c>
      <c r="X39" s="1817"/>
      <c r="Y39" s="3302"/>
      <c r="Z39" s="1818" t="str">
        <f t="shared" si="13"/>
        <v>宗地形状</v>
      </c>
      <c r="AA39" s="1815">
        <f t="shared" si="3"/>
        <v>1</v>
      </c>
      <c r="AB39" s="1815">
        <f t="shared" si="4"/>
        <v>1</v>
      </c>
      <c r="AC39" s="1815">
        <f t="shared" si="5"/>
        <v>1</v>
      </c>
    </row>
    <row r="40" spans="1:29" ht="15">
      <c r="A40" s="473"/>
      <c r="B40" s="423" t="s">
        <v>2747</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3"/>
      <c r="M40" s="1134"/>
      <c r="N40" s="1134"/>
      <c r="O40" s="1142"/>
      <c r="P40" s="3302"/>
      <c r="Q40" s="1814" t="str">
        <f t="shared" si="14"/>
        <v>临街宽度及深度</v>
      </c>
      <c r="R40" s="774" t="s">
        <v>17</v>
      </c>
      <c r="S40" s="775">
        <f t="shared" si="10"/>
        <v>100</v>
      </c>
      <c r="T40" s="774" t="s">
        <v>17</v>
      </c>
      <c r="U40" s="775">
        <f t="shared" si="11"/>
        <v>100</v>
      </c>
      <c r="V40" s="774" t="s">
        <v>17</v>
      </c>
      <c r="W40" s="775">
        <f t="shared" si="12"/>
        <v>100</v>
      </c>
      <c r="X40" s="1817"/>
      <c r="Y40" s="3302"/>
      <c r="Z40" s="1818" t="str">
        <f t="shared" si="13"/>
        <v>临街宽度及深度</v>
      </c>
      <c r="AA40" s="1815">
        <f t="shared" si="3"/>
        <v>1</v>
      </c>
      <c r="AB40" s="1815">
        <f t="shared" si="4"/>
        <v>1</v>
      </c>
      <c r="AC40" s="1815">
        <f t="shared" si="5"/>
        <v>1</v>
      </c>
    </row>
    <row r="41" spans="1:29" s="117" customFormat="1" ht="15">
      <c r="A41" s="474"/>
      <c r="B41" s="423" t="s">
        <v>2748</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5"/>
      <c r="M41" s="1136"/>
      <c r="N41" s="1136"/>
      <c r="O41" s="1137"/>
      <c r="P41" s="3302"/>
      <c r="Q41" s="1814" t="str">
        <f t="shared" si="14"/>
        <v>宗地开发程度</v>
      </c>
      <c r="R41" s="770" t="s">
        <v>17</v>
      </c>
      <c r="S41" s="771">
        <f t="shared" si="10"/>
        <v>100</v>
      </c>
      <c r="T41" s="770" t="s">
        <v>17</v>
      </c>
      <c r="U41" s="771">
        <f t="shared" si="11"/>
        <v>100</v>
      </c>
      <c r="V41" s="770" t="s">
        <v>17</v>
      </c>
      <c r="W41" s="771">
        <f t="shared" si="12"/>
        <v>100</v>
      </c>
      <c r="X41" s="772"/>
      <c r="Y41" s="3302"/>
      <c r="Z41" s="55" t="str">
        <f t="shared" si="13"/>
        <v>宗地开发程度</v>
      </c>
      <c r="AA41" s="773">
        <f t="shared" si="3"/>
        <v>1</v>
      </c>
      <c r="AB41" s="773">
        <f t="shared" si="4"/>
        <v>1</v>
      </c>
      <c r="AC41" s="773">
        <f t="shared" si="5"/>
        <v>1</v>
      </c>
    </row>
    <row r="42" spans="1:29" ht="15">
      <c r="A42" s="473"/>
      <c r="B42" s="423" t="s">
        <v>2749</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3"/>
      <c r="M42" s="1134"/>
      <c r="N42" s="1134"/>
      <c r="O42" s="1142"/>
      <c r="P42" s="3302" t="s">
        <v>2559</v>
      </c>
      <c r="Q42" s="1814" t="str">
        <f t="shared" si="14"/>
        <v>工程地质条件</v>
      </c>
      <c r="R42" s="774" t="s">
        <v>17</v>
      </c>
      <c r="S42" s="775">
        <f t="shared" si="10"/>
        <v>100</v>
      </c>
      <c r="T42" s="774" t="s">
        <v>17</v>
      </c>
      <c r="U42" s="775">
        <f t="shared" si="11"/>
        <v>100</v>
      </c>
      <c r="V42" s="774" t="s">
        <v>17</v>
      </c>
      <c r="W42" s="775">
        <f t="shared" si="12"/>
        <v>100</v>
      </c>
      <c r="X42" s="1817"/>
      <c r="Y42" s="3302" t="s">
        <v>2559</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302"/>
      <c r="Q43" s="1814">
        <f t="shared" si="14"/>
        <v>111</v>
      </c>
      <c r="R43" s="774" t="s">
        <v>17</v>
      </c>
      <c r="S43" s="775">
        <f t="shared" si="10"/>
        <v>100</v>
      </c>
      <c r="T43" s="774" t="s">
        <v>17</v>
      </c>
      <c r="U43" s="775">
        <f t="shared" si="11"/>
        <v>100</v>
      </c>
      <c r="V43" s="774" t="s">
        <v>17</v>
      </c>
      <c r="W43" s="775">
        <f t="shared" si="12"/>
        <v>100</v>
      </c>
      <c r="X43" s="1817"/>
      <c r="Y43" s="3302"/>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302"/>
      <c r="Q44" s="1814">
        <f t="shared" si="14"/>
        <v>111</v>
      </c>
      <c r="R44" s="774" t="s">
        <v>17</v>
      </c>
      <c r="S44" s="775">
        <f t="shared" si="10"/>
        <v>100</v>
      </c>
      <c r="T44" s="774" t="s">
        <v>17</v>
      </c>
      <c r="U44" s="775">
        <f t="shared" si="11"/>
        <v>100</v>
      </c>
      <c r="V44" s="774" t="s">
        <v>17</v>
      </c>
      <c r="W44" s="775">
        <f t="shared" si="12"/>
        <v>100</v>
      </c>
      <c r="X44" s="1817"/>
      <c r="Y44" s="3302"/>
      <c r="Z44" s="1818">
        <f t="shared" si="13"/>
        <v>111</v>
      </c>
      <c r="AA44" s="1815">
        <f t="shared" si="3"/>
        <v>1</v>
      </c>
      <c r="AB44" s="1815">
        <f t="shared" si="4"/>
        <v>1</v>
      </c>
      <c r="AC44" s="1815">
        <f t="shared" si="5"/>
        <v>1</v>
      </c>
    </row>
    <row r="45" spans="1:29" s="472" customFormat="1" ht="15.75" thickBot="1">
      <c r="A45" s="469"/>
      <c r="B45" s="1390">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302"/>
      <c r="Q45" s="1814">
        <f t="shared" si="14"/>
        <v>111</v>
      </c>
      <c r="R45" s="777" t="s">
        <v>17</v>
      </c>
      <c r="S45" s="778">
        <f t="shared" si="10"/>
        <v>100</v>
      </c>
      <c r="T45" s="777" t="s">
        <v>17</v>
      </c>
      <c r="U45" s="778">
        <f t="shared" si="11"/>
        <v>100</v>
      </c>
      <c r="V45" s="777" t="s">
        <v>17</v>
      </c>
      <c r="W45" s="778">
        <f t="shared" si="12"/>
        <v>100</v>
      </c>
      <c r="X45" s="779"/>
      <c r="Y45" s="3302"/>
      <c r="Z45" s="780">
        <f t="shared" si="13"/>
        <v>111</v>
      </c>
      <c r="AA45" s="1815">
        <f t="shared" si="3"/>
        <v>1</v>
      </c>
      <c r="AB45" s="1815">
        <f t="shared" si="4"/>
        <v>1</v>
      </c>
      <c r="AC45" s="1815">
        <f t="shared" si="5"/>
        <v>1</v>
      </c>
    </row>
    <row r="46" spans="1:29" ht="15">
      <c r="A46" s="480" t="s">
        <v>2714</v>
      </c>
      <c r="B46" s="2708" t="s">
        <v>2750</v>
      </c>
      <c r="C46" s="683" t="s">
        <v>1</v>
      </c>
      <c r="D46" s="482"/>
      <c r="E46" s="483"/>
      <c r="F46" s="484"/>
      <c r="G46" s="485"/>
      <c r="H46" s="486"/>
      <c r="I46" s="483"/>
      <c r="J46" s="486"/>
      <c r="K46" s="783"/>
      <c r="L46" s="1146"/>
      <c r="M46" s="1147"/>
      <c r="N46" s="1134"/>
      <c r="O46" s="1147"/>
      <c r="P46" s="3304" t="str">
        <f>A46</f>
        <v>成交单价</v>
      </c>
      <c r="Q46" s="3304"/>
      <c r="R46" s="3292">
        <f>E46</f>
        <v>0</v>
      </c>
      <c r="S46" s="3292"/>
      <c r="T46" s="3292">
        <f>G46</f>
        <v>0</v>
      </c>
      <c r="U46" s="3292"/>
      <c r="V46" s="3292">
        <f>I46</f>
        <v>0</v>
      </c>
      <c r="W46" s="3292"/>
      <c r="X46" s="759"/>
      <c r="Y46" s="781"/>
      <c r="Z46" s="759"/>
      <c r="AA46" s="759"/>
      <c r="AB46" s="759"/>
      <c r="AC46" s="759"/>
    </row>
    <row r="47" spans="1:29" ht="15.75" thickBot="1">
      <c r="A47" s="487" t="s">
        <v>2663</v>
      </c>
      <c r="B47" s="684"/>
      <c r="C47" s="491" t="e">
        <f>R48</f>
        <v>#DIV/0!</v>
      </c>
      <c r="D47" s="490"/>
      <c r="E47" s="491" t="e">
        <f>R47</f>
        <v>#DIV/0!</v>
      </c>
      <c r="F47" s="492"/>
      <c r="G47" s="489" t="e">
        <f>T47</f>
        <v>#DIV/0!</v>
      </c>
      <c r="H47" s="490"/>
      <c r="I47" s="491" t="e">
        <f>V47</f>
        <v>#DIV/0!</v>
      </c>
      <c r="J47" s="490"/>
      <c r="K47" s="784"/>
      <c r="L47" s="1146"/>
      <c r="M47" s="1147"/>
      <c r="N47" s="1147"/>
      <c r="O47" s="1147"/>
      <c r="P47" s="3304" t="str">
        <f>A47</f>
        <v>比较价值（元/平方米）</v>
      </c>
      <c r="Q47" s="3304"/>
      <c r="R47" s="3350" t="e">
        <f>ROUND(PRODUCT(R46,AA7:AA45),0)</f>
        <v>#DIV/0!</v>
      </c>
      <c r="S47" s="3350"/>
      <c r="T47" s="3350" t="e">
        <f>ROUND(PRODUCT(T46,AB7:AB45),0)</f>
        <v>#DIV/0!</v>
      </c>
      <c r="U47" s="3350"/>
      <c r="V47" s="3350" t="e">
        <f>ROUND(PRODUCT(V46,AC7:AC45),0)</f>
        <v>#DIV/0!</v>
      </c>
      <c r="W47" s="3350"/>
      <c r="X47" s="759"/>
      <c r="Y47" s="759"/>
      <c r="Z47" s="759"/>
      <c r="AA47" s="759"/>
      <c r="AB47" s="759"/>
      <c r="AC47" s="759"/>
    </row>
    <row r="48" spans="1:29" ht="15.75" thickBot="1">
      <c r="A48" s="493" t="s">
        <v>2751</v>
      </c>
      <c r="B48" s="494"/>
      <c r="C48" s="495" t="e">
        <f>R48</f>
        <v>#DIV/0!</v>
      </c>
      <c r="D48" s="495"/>
      <c r="E48" s="495"/>
      <c r="F48" s="495"/>
      <c r="G48" s="495"/>
      <c r="H48" s="495"/>
      <c r="I48" s="495"/>
      <c r="J48" s="495"/>
      <c r="K48" s="785"/>
      <c r="L48" s="1146"/>
      <c r="M48" s="1147"/>
      <c r="N48" s="1147"/>
      <c r="O48" s="1147"/>
      <c r="P48" s="3346" t="str">
        <f>A48</f>
        <v>估价对象XX用房的比较价值（楼面单价，元/平方米）</v>
      </c>
      <c r="Q48" s="3347"/>
      <c r="R48" s="3351" t="e">
        <f>ROUND(AVERAGE(R47:V47),0)</f>
        <v>#DIV/0!</v>
      </c>
      <c r="S48" s="3351"/>
      <c r="T48" s="3351"/>
      <c r="U48" s="3351"/>
      <c r="V48" s="3351"/>
      <c r="W48" s="33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2665</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2666</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2667</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2752</v>
      </c>
      <c r="B55" s="686" t="s">
        <v>2753</v>
      </c>
      <c r="C55" s="2709" t="s">
        <v>2754</v>
      </c>
      <c r="D55" s="2710" t="s">
        <v>2755</v>
      </c>
      <c r="E55" s="687" t="s">
        <v>2756</v>
      </c>
      <c r="F55" s="1110" t="s">
        <v>2757</v>
      </c>
      <c r="G55" s="3279" t="s">
        <v>2758</v>
      </c>
      <c r="H55" s="3352"/>
      <c r="I55" s="144" t="s">
        <v>2759</v>
      </c>
      <c r="J55" s="2711">
        <f>项目基本情况!F35</f>
        <v>0</v>
      </c>
      <c r="K55" s="2712" t="s">
        <v>2760</v>
      </c>
      <c r="L55" s="1109"/>
      <c r="M55" s="1147"/>
      <c r="N55" s="1147"/>
      <c r="O55" s="1147"/>
    </row>
    <row r="56" spans="1:15" s="693" customFormat="1">
      <c r="A56" s="689" t="s">
        <v>2761</v>
      </c>
      <c r="B56" s="690" t="e">
        <f>C48</f>
        <v>#DIV/0!</v>
      </c>
      <c r="C56" s="691">
        <v>1</v>
      </c>
      <c r="D56" s="1166">
        <v>1</v>
      </c>
      <c r="E56" s="691">
        <f>'数据-汇总表'!E8+'数据-汇总表'!E9</f>
        <v>6960.5900000000011</v>
      </c>
      <c r="F56" s="1106" t="e">
        <f t="shared" ref="F56:F65" si="15">ROUND(B56*E56/10000,0)</f>
        <v>#DIV/0!</v>
      </c>
      <c r="G56" s="3275"/>
      <c r="H56" s="3304"/>
      <c r="I56" s="1111">
        <v>1</v>
      </c>
      <c r="J56" s="1114">
        <v>1</v>
      </c>
      <c r="K56" s="1148"/>
      <c r="L56" s="944"/>
      <c r="M56" s="944"/>
      <c r="N56" s="944"/>
      <c r="O56" s="944"/>
    </row>
    <row r="57" spans="1:15" s="693" customFormat="1">
      <c r="A57" s="694" t="s">
        <v>2762</v>
      </c>
      <c r="B57" s="263" t="e">
        <f>ROUND($C$48*C57*D57,0)</f>
        <v>#DIV/0!</v>
      </c>
      <c r="C57" s="201">
        <f t="shared" ref="C57:C65" si="16">IF($C$55="北京市系数",I57,J57)</f>
        <v>0</v>
      </c>
      <c r="D57" s="1167">
        <v>0.25</v>
      </c>
      <c r="E57" s="695"/>
      <c r="F57" s="1106" t="e">
        <f t="shared" si="15"/>
        <v>#DIV/0!</v>
      </c>
      <c r="G57" s="3353" t="s">
        <v>2763</v>
      </c>
      <c r="H57" s="1107">
        <f>项目基本情况!B37</f>
        <v>0</v>
      </c>
      <c r="I57" s="1111">
        <f>SUMIF(修正!A45:A56,H57,修正!B45:B56)</f>
        <v>0</v>
      </c>
      <c r="J57" s="1115"/>
      <c r="K57" s="1147"/>
      <c r="L57" s="944"/>
      <c r="M57" s="944"/>
      <c r="N57" s="944"/>
      <c r="O57" s="944"/>
    </row>
    <row r="58" spans="1:15" s="693" customFormat="1">
      <c r="A58" s="694" t="s">
        <v>2764</v>
      </c>
      <c r="B58" s="263" t="e">
        <f t="shared" ref="B58:B65" si="17">ROUND($C$48*C58*D58,0)</f>
        <v>#DIV/0!</v>
      </c>
      <c r="C58" s="201">
        <f t="shared" si="16"/>
        <v>0</v>
      </c>
      <c r="D58" s="1167">
        <v>0.25</v>
      </c>
      <c r="E58" s="695"/>
      <c r="F58" s="1106" t="e">
        <f t="shared" si="15"/>
        <v>#DIV/0!</v>
      </c>
      <c r="G58" s="3353"/>
      <c r="H58" s="1107">
        <f>项目基本情况!B37</f>
        <v>0</v>
      </c>
      <c r="I58" s="1111">
        <f>SUMIF(修正!A45:A56,H58,修正!C45:C56)</f>
        <v>0</v>
      </c>
      <c r="J58" s="1115"/>
      <c r="K58" s="1148"/>
      <c r="L58" s="944"/>
      <c r="M58" s="944"/>
      <c r="N58" s="944"/>
      <c r="O58" s="944"/>
    </row>
    <row r="59" spans="1:15" s="693" customFormat="1">
      <c r="A59" s="694" t="s">
        <v>2765</v>
      </c>
      <c r="B59" s="263" t="e">
        <f t="shared" si="17"/>
        <v>#DIV/0!</v>
      </c>
      <c r="C59" s="201">
        <f t="shared" si="16"/>
        <v>0</v>
      </c>
      <c r="D59" s="1167">
        <v>0.25</v>
      </c>
      <c r="E59" s="695"/>
      <c r="F59" s="1106" t="e">
        <f t="shared" si="15"/>
        <v>#DIV/0!</v>
      </c>
      <c r="G59" s="3353"/>
      <c r="H59" s="1107">
        <f>项目基本情况!B37</f>
        <v>0</v>
      </c>
      <c r="I59" s="1111">
        <f>SUMIF(修正!A45:A56,H59,修正!D45:D56)</f>
        <v>0</v>
      </c>
      <c r="J59" s="1115"/>
      <c r="K59" s="1147"/>
      <c r="L59" s="944"/>
      <c r="M59" s="944"/>
      <c r="N59" s="944"/>
      <c r="O59" s="944"/>
    </row>
    <row r="60" spans="1:15" s="693" customFormat="1">
      <c r="A60" s="694" t="s">
        <v>2766</v>
      </c>
      <c r="B60" s="263" t="e">
        <f t="shared" si="17"/>
        <v>#DIV/0!</v>
      </c>
      <c r="C60" s="201">
        <f t="shared" si="16"/>
        <v>0</v>
      </c>
      <c r="D60" s="1167">
        <v>0.25</v>
      </c>
      <c r="E60" s="695"/>
      <c r="F60" s="1106" t="e">
        <f t="shared" si="15"/>
        <v>#DIV/0!</v>
      </c>
      <c r="G60" s="3353"/>
      <c r="H60" s="1107">
        <f>项目基本情况!B37</f>
        <v>0</v>
      </c>
      <c r="I60" s="1111">
        <f>SUMIF(修正!A45:A56,H60,修正!E45:E56)</f>
        <v>0</v>
      </c>
      <c r="J60" s="1115"/>
      <c r="K60" s="1148"/>
      <c r="L60" s="944"/>
      <c r="M60" s="944"/>
      <c r="N60" s="944"/>
      <c r="O60" s="944"/>
    </row>
    <row r="61" spans="1:15" s="693" customFormat="1">
      <c r="A61" s="694" t="s">
        <v>2767</v>
      </c>
      <c r="B61" s="263" t="e">
        <f t="shared" si="17"/>
        <v>#DIV/0!</v>
      </c>
      <c r="C61" s="201">
        <f t="shared" si="16"/>
        <v>0</v>
      </c>
      <c r="D61" s="1167">
        <v>0.25</v>
      </c>
      <c r="E61" s="262">
        <f>'数据-汇总表'!E11</f>
        <v>0</v>
      </c>
      <c r="F61" s="1106" t="e">
        <f t="shared" si="15"/>
        <v>#DIV/0!</v>
      </c>
      <c r="G61" s="2713" t="s">
        <v>2768</v>
      </c>
      <c r="H61" s="1107">
        <f>项目基本情况!C37</f>
        <v>0</v>
      </c>
      <c r="I61" s="1111">
        <f>SUMIF(修正!A45:A56,H61,修正!F45:F56)</f>
        <v>0</v>
      </c>
      <c r="J61" s="1115"/>
      <c r="K61" s="1147"/>
      <c r="L61" s="944"/>
      <c r="M61" s="944"/>
      <c r="N61" s="944"/>
      <c r="O61" s="944"/>
    </row>
    <row r="62" spans="1:15" s="693" customFormat="1">
      <c r="A62" s="694" t="s">
        <v>2769</v>
      </c>
      <c r="B62" s="263" t="e">
        <f t="shared" si="17"/>
        <v>#DIV/0!</v>
      </c>
      <c r="C62" s="201">
        <f t="shared" si="16"/>
        <v>0</v>
      </c>
      <c r="D62" s="1167">
        <v>0.25</v>
      </c>
      <c r="E62" s="262">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2771</v>
      </c>
      <c r="B63" s="263" t="e">
        <f t="shared" si="17"/>
        <v>#DIV/0!</v>
      </c>
      <c r="C63" s="201">
        <f t="shared" si="16"/>
        <v>0</v>
      </c>
      <c r="D63" s="1167">
        <v>0.25</v>
      </c>
      <c r="E63" s="262">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2773</v>
      </c>
      <c r="B64" s="263" t="e">
        <f t="shared" si="17"/>
        <v>#DIV/0!</v>
      </c>
      <c r="C64" s="201">
        <f t="shared" si="16"/>
        <v>0</v>
      </c>
      <c r="D64" s="1167">
        <v>0.25</v>
      </c>
      <c r="E64" s="262">
        <f>'数据-汇总表'!E14</f>
        <v>0</v>
      </c>
      <c r="F64" s="1106" t="e">
        <f t="shared" si="15"/>
        <v>#DIV/0!</v>
      </c>
      <c r="G64" s="2713" t="s">
        <v>2763</v>
      </c>
      <c r="H64" s="1107">
        <f>项目基本情况!B37</f>
        <v>0</v>
      </c>
      <c r="I64" s="1111">
        <f>SUMIF(修正!A45:A56,H64,修正!H45:H56)</f>
        <v>0</v>
      </c>
      <c r="J64" s="1115"/>
      <c r="K64" s="1148"/>
      <c r="L64" s="944"/>
      <c r="M64" s="944"/>
      <c r="N64" s="944"/>
      <c r="O64" s="944"/>
    </row>
    <row r="65" spans="1:17" s="693" customFormat="1" ht="15" thickBot="1">
      <c r="A65" s="694" t="s">
        <v>2774</v>
      </c>
      <c r="B65" s="263" t="e">
        <f t="shared" si="17"/>
        <v>#DIV/0!</v>
      </c>
      <c r="C65" s="201">
        <f t="shared" si="16"/>
        <v>0</v>
      </c>
      <c r="D65" s="1167">
        <v>0.25</v>
      </c>
      <c r="E65" s="262">
        <f>'数据-汇总表'!E15</f>
        <v>0</v>
      </c>
      <c r="F65" s="1106" t="e">
        <f t="shared" si="15"/>
        <v>#DIV/0!</v>
      </c>
      <c r="G65" s="2714" t="s">
        <v>2768</v>
      </c>
      <c r="H65" s="1117">
        <f>项目基本情况!C37</f>
        <v>0</v>
      </c>
      <c r="I65" s="1113">
        <f>SUMIF(修正!A45:A56,H65,修正!H45:H56)</f>
        <v>0</v>
      </c>
      <c r="J65" s="1116"/>
      <c r="K65" s="1147"/>
      <c r="L65" s="944"/>
      <c r="M65" s="944"/>
      <c r="N65" s="944"/>
      <c r="O65" s="944"/>
    </row>
    <row r="66" spans="1:17" s="693" customFormat="1" ht="13.5" thickBot="1">
      <c r="A66" s="696" t="s">
        <v>2775</v>
      </c>
      <c r="B66" s="697" t="s">
        <v>28</v>
      </c>
      <c r="C66" s="697" t="s">
        <v>29</v>
      </c>
      <c r="D66" s="697" t="s">
        <v>1029</v>
      </c>
      <c r="E66" s="697">
        <f>IF(B46="楼面地价",SUM(E56:E65),'数据-汇总表'!D3)</f>
        <v>6960.5900000000011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2668</v>
      </c>
      <c r="B69" s="759"/>
      <c r="C69" s="764"/>
      <c r="D69" s="764"/>
      <c r="E69" s="764"/>
      <c r="F69" s="765"/>
      <c r="G69" s="765"/>
      <c r="H69" s="764"/>
      <c r="I69" s="764"/>
      <c r="J69" s="1162"/>
      <c r="K69" s="1163"/>
      <c r="L69" s="1164"/>
      <c r="M69" s="1162"/>
      <c r="N69" s="1162"/>
      <c r="O69" s="1162"/>
      <c r="P69" s="504"/>
      <c r="Q69" s="505"/>
    </row>
    <row r="70" spans="1:17" s="509" customFormat="1" ht="15">
      <c r="A70" s="2715" t="s">
        <v>2776</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6" t="s">
        <v>2777</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2579</v>
      </c>
      <c r="B72" s="517"/>
      <c r="C72" s="518"/>
      <c r="D72" s="519"/>
      <c r="E72" s="519"/>
      <c r="F72" s="519"/>
      <c r="G72" s="519"/>
      <c r="H72" s="519"/>
      <c r="I72" s="519"/>
      <c r="J72" s="519"/>
      <c r="K72" s="519"/>
      <c r="L72" s="519"/>
      <c r="M72" s="520"/>
      <c r="N72" s="519"/>
      <c r="O72" s="1165"/>
      <c r="P72" s="505"/>
      <c r="Q72" s="505"/>
    </row>
    <row r="73" spans="1:17" s="117" customFormat="1" ht="15">
      <c r="A73" s="522" t="s">
        <v>2544</v>
      </c>
      <c r="B73" s="511"/>
      <c r="C73" s="523" t="s">
        <v>2646</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2582</v>
      </c>
      <c r="B75" s="529" t="s">
        <v>2548</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2551</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2552</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2553</v>
      </c>
      <c r="B88" s="529" t="s">
        <v>2590</v>
      </c>
      <c r="C88" s="574" t="s">
        <v>2591</v>
      </c>
      <c r="D88" s="574" t="s">
        <v>2592</v>
      </c>
      <c r="E88" s="574" t="s">
        <v>2593</v>
      </c>
      <c r="F88" s="574" t="s">
        <v>2594</v>
      </c>
      <c r="G88" s="574" t="s">
        <v>2595</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2778</v>
      </c>
      <c r="C90" s="579" t="s">
        <v>2591</v>
      </c>
      <c r="D90" s="579" t="s">
        <v>2592</v>
      </c>
      <c r="E90" s="579" t="s">
        <v>2593</v>
      </c>
      <c r="F90" s="579" t="s">
        <v>2594</v>
      </c>
      <c r="G90" s="579" t="s">
        <v>2595</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2691</v>
      </c>
      <c r="C92" s="579" t="s">
        <v>2591</v>
      </c>
      <c r="D92" s="579" t="s">
        <v>2592</v>
      </c>
      <c r="E92" s="579" t="s">
        <v>2593</v>
      </c>
      <c r="F92" s="579" t="s">
        <v>2594</v>
      </c>
      <c r="G92" s="579" t="s">
        <v>2595</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2596</v>
      </c>
      <c r="C94" s="579" t="s">
        <v>2591</v>
      </c>
      <c r="D94" s="579" t="s">
        <v>2592</v>
      </c>
      <c r="E94" s="579" t="s">
        <v>2593</v>
      </c>
      <c r="F94" s="579" t="s">
        <v>2594</v>
      </c>
      <c r="G94" s="579" t="s">
        <v>2595</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2779</v>
      </c>
      <c r="C96" s="579" t="s">
        <v>2591</v>
      </c>
      <c r="D96" s="579" t="s">
        <v>2592</v>
      </c>
      <c r="E96" s="579" t="s">
        <v>2593</v>
      </c>
      <c r="F96" s="579" t="s">
        <v>2594</v>
      </c>
      <c r="G96" s="579" t="s">
        <v>2595</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2780</v>
      </c>
      <c r="C98" s="574" t="s">
        <v>2591</v>
      </c>
      <c r="D98" s="574" t="s">
        <v>2592</v>
      </c>
      <c r="E98" s="574" t="s">
        <v>2593</v>
      </c>
      <c r="F98" s="574" t="s">
        <v>2594</v>
      </c>
      <c r="G98" s="574" t="s">
        <v>2595</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2648</v>
      </c>
      <c r="C100" s="574" t="s">
        <v>2591</v>
      </c>
      <c r="D100" s="574" t="s">
        <v>2592</v>
      </c>
      <c r="E100" s="574" t="s">
        <v>2593</v>
      </c>
      <c r="F100" s="574" t="s">
        <v>2594</v>
      </c>
      <c r="G100" s="574" t="s">
        <v>2595</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2649</v>
      </c>
      <c r="C102" s="661" t="s">
        <v>2669</v>
      </c>
      <c r="D102" s="661" t="s">
        <v>2670</v>
      </c>
      <c r="E102" s="661" t="s">
        <v>2671</v>
      </c>
      <c r="F102" s="661" t="s">
        <v>2672</v>
      </c>
      <c r="G102" s="661" t="s">
        <v>2673</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2781</v>
      </c>
      <c r="D104" s="540" t="s">
        <v>2782</v>
      </c>
      <c r="E104" s="540" t="s">
        <v>2783</v>
      </c>
      <c r="F104" s="540" t="s">
        <v>2784</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2685</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2744</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2557</v>
      </c>
      <c r="B116" s="529" t="s">
        <v>2785</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2786</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2787</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2788</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2789</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2738</v>
      </c>
      <c r="B1" s="396"/>
      <c r="C1" s="397"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2321</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t="e">
        <f>ROUND(IF(D3="",B2*10000/'数据-汇总表'!E3,B2*10000/D3),0)</f>
        <v>#DIV/0!</v>
      </c>
      <c r="C3" s="248" t="s">
        <v>2740</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9" t="s">
        <v>2640</v>
      </c>
      <c r="D4" s="3280"/>
      <c r="E4" s="3281" t="s">
        <v>2641</v>
      </c>
      <c r="F4" s="3282"/>
      <c r="G4" s="3279" t="s">
        <v>2642</v>
      </c>
      <c r="H4" s="3280"/>
      <c r="I4" s="3279" t="s">
        <v>2643</v>
      </c>
      <c r="J4" s="3280"/>
      <c r="K4" s="611" t="s">
        <v>2644</v>
      </c>
      <c r="L4" s="1133"/>
      <c r="M4" s="1134"/>
      <c r="N4" s="1134"/>
      <c r="O4" s="1134"/>
      <c r="P4" s="3342" t="s">
        <v>2645</v>
      </c>
      <c r="Q4" s="3343"/>
      <c r="R4" s="3332" t="s">
        <v>2641</v>
      </c>
      <c r="S4" s="3333"/>
      <c r="T4" s="3332" t="s">
        <v>2642</v>
      </c>
      <c r="U4" s="3333"/>
      <c r="V4" s="3292" t="s">
        <v>2643</v>
      </c>
      <c r="W4" s="3292"/>
      <c r="X4" s="1817"/>
      <c r="Y4" s="3332" t="s">
        <v>2645</v>
      </c>
      <c r="Z4" s="3333"/>
      <c r="AA4" s="3331" t="s">
        <v>2641</v>
      </c>
      <c r="AB4" s="3259" t="s">
        <v>2642</v>
      </c>
      <c r="AC4" s="3331" t="s">
        <v>2643</v>
      </c>
    </row>
    <row r="5" spans="1:29" ht="15">
      <c r="A5" s="405"/>
      <c r="B5" s="406"/>
      <c r="C5" s="3336" t="s">
        <v>2536</v>
      </c>
      <c r="D5" s="3337"/>
      <c r="E5" s="3334" t="s">
        <v>2537</v>
      </c>
      <c r="F5" s="3335"/>
      <c r="G5" s="3336" t="s">
        <v>2538</v>
      </c>
      <c r="H5" s="3337"/>
      <c r="I5" s="3336" t="s">
        <v>2539</v>
      </c>
      <c r="J5" s="3337"/>
      <c r="K5" s="611"/>
      <c r="L5" s="1133"/>
      <c r="M5" s="1134"/>
      <c r="N5" s="1134"/>
      <c r="O5" s="1134"/>
      <c r="P5" s="3344"/>
      <c r="Q5" s="3286"/>
      <c r="R5" s="3265"/>
      <c r="S5" s="3266"/>
      <c r="T5" s="3265"/>
      <c r="U5" s="3266"/>
      <c r="V5" s="3292"/>
      <c r="W5" s="3292"/>
      <c r="X5" s="1817"/>
      <c r="Y5" s="3265"/>
      <c r="Z5" s="3266"/>
      <c r="AA5" s="3259"/>
      <c r="AB5" s="3259"/>
      <c r="AC5" s="3259"/>
    </row>
    <row r="6" spans="1:29" ht="15.75" thickBot="1">
      <c r="A6" s="407"/>
      <c r="B6" s="408"/>
      <c r="C6" s="3271" t="s">
        <v>2791</v>
      </c>
      <c r="D6" s="3272"/>
      <c r="E6" s="3273" t="s">
        <v>2791</v>
      </c>
      <c r="F6" s="3274"/>
      <c r="G6" s="3271" t="s">
        <v>2791</v>
      </c>
      <c r="H6" s="3272"/>
      <c r="I6" s="3271" t="s">
        <v>2791</v>
      </c>
      <c r="J6" s="3272"/>
      <c r="K6" s="611" t="s">
        <v>2541</v>
      </c>
      <c r="L6" s="1133"/>
      <c r="M6" s="1134"/>
      <c r="N6" s="1134"/>
      <c r="O6" s="1134"/>
      <c r="P6" s="3345"/>
      <c r="Q6" s="3288"/>
      <c r="R6" s="3265"/>
      <c r="S6" s="3266"/>
      <c r="T6" s="3289"/>
      <c r="U6" s="3290"/>
      <c r="V6" s="3292"/>
      <c r="W6" s="3292"/>
      <c r="X6" s="1817"/>
      <c r="Y6" s="3289"/>
      <c r="Z6" s="3290"/>
      <c r="AA6" s="3260"/>
      <c r="AB6" s="3260"/>
      <c r="AC6" s="3260"/>
    </row>
    <row r="7" spans="1:29" s="117" customFormat="1" ht="15.75" thickBot="1">
      <c r="A7" s="409" t="s">
        <v>2542</v>
      </c>
      <c r="B7" s="410"/>
      <c r="C7" s="411">
        <f>'数据-取费表'!B2</f>
        <v>43047</v>
      </c>
      <c r="D7" s="412">
        <v>100</v>
      </c>
      <c r="E7" s="413"/>
      <c r="F7" s="414">
        <f>SUMIF(65:65,YEAR(E7)&amp;"-"&amp;INT((MONTH(E7)+2)/3),66:66)</f>
        <v>0</v>
      </c>
      <c r="G7" s="2700"/>
      <c r="H7" s="412">
        <f>SUMIF(65:65,YEAR(G7)&amp;"-"&amp;INT((MONTH(G7)+2)/3),66:66)</f>
        <v>0</v>
      </c>
      <c r="I7" s="2700"/>
      <c r="J7" s="412">
        <f>SUMIF(65:65,YEAR(I7)&amp;"-"&amp;INT((MONTH(I7)+2)/3),66:66)</f>
        <v>0</v>
      </c>
      <c r="K7" s="612"/>
      <c r="L7" s="1135"/>
      <c r="M7" s="1136"/>
      <c r="N7" s="1136"/>
      <c r="O7" s="1136"/>
      <c r="P7" s="3261" t="s">
        <v>2543</v>
      </c>
      <c r="Q7" s="3294"/>
      <c r="R7" s="770" t="s">
        <v>17</v>
      </c>
      <c r="S7" s="771">
        <f t="shared" ref="S7:S15" si="0">F7</f>
        <v>0</v>
      </c>
      <c r="T7" s="770" t="s">
        <v>17</v>
      </c>
      <c r="U7" s="771">
        <f t="shared" ref="U7:U15" si="1">H7</f>
        <v>0</v>
      </c>
      <c r="V7" s="770" t="s">
        <v>17</v>
      </c>
      <c r="W7" s="771">
        <f t="shared" ref="W7:W15" si="2">J7</f>
        <v>0</v>
      </c>
      <c r="X7" s="772"/>
      <c r="Y7" s="3261" t="s">
        <v>2543</v>
      </c>
      <c r="Z7" s="3262"/>
      <c r="AA7" s="773" t="e">
        <f>D7/F7</f>
        <v>#DIV/0!</v>
      </c>
      <c r="AB7" s="773" t="e">
        <f>D7/H7</f>
        <v>#DIV/0!</v>
      </c>
      <c r="AC7" s="773" t="e">
        <f>D7/J7</f>
        <v>#DIV/0!</v>
      </c>
    </row>
    <row r="8" spans="1:29" s="117" customFormat="1" ht="15.75" thickBot="1">
      <c r="A8" s="409" t="s">
        <v>2544</v>
      </c>
      <c r="B8" s="410"/>
      <c r="C8" s="415" t="s">
        <v>2545</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61" t="s">
        <v>2546</v>
      </c>
      <c r="Q8" s="3262"/>
      <c r="R8" s="770" t="s">
        <v>17</v>
      </c>
      <c r="S8" s="771">
        <f t="shared" si="0"/>
        <v>0</v>
      </c>
      <c r="T8" s="770" t="s">
        <v>17</v>
      </c>
      <c r="U8" s="771">
        <f t="shared" si="1"/>
        <v>0</v>
      </c>
      <c r="V8" s="770" t="s">
        <v>17</v>
      </c>
      <c r="W8" s="771">
        <f t="shared" si="2"/>
        <v>0</v>
      </c>
      <c r="X8" s="772"/>
      <c r="Y8" s="3261" t="s">
        <v>2546</v>
      </c>
      <c r="Z8" s="3262"/>
      <c r="AA8" s="773" t="e">
        <f t="shared" ref="AA8:AA40" si="3">D8/F8</f>
        <v>#DIV/0!</v>
      </c>
      <c r="AB8" s="773" t="e">
        <f t="shared" ref="AB8:AB40" si="4">D8/H8</f>
        <v>#DIV/0!</v>
      </c>
      <c r="AC8" s="773" t="e">
        <f t="shared" ref="AC8:AC40" si="5">D8/J8</f>
        <v>#DIV/0!</v>
      </c>
    </row>
    <row r="9" spans="1:29" s="117" customFormat="1">
      <c r="A9" s="416" t="s">
        <v>2547</v>
      </c>
      <c r="B9" s="71" t="s">
        <v>2548</v>
      </c>
      <c r="C9" s="2703"/>
      <c r="D9" s="135">
        <v>100</v>
      </c>
      <c r="E9" s="2703"/>
      <c r="F9" s="135">
        <f>SUMIF(70:70,E9,71:71)-SUMIF(70:70,C9,71:71)+100</f>
        <v>100</v>
      </c>
      <c r="G9" s="2703"/>
      <c r="H9" s="135">
        <f>SUMIF(70:70,G9,71:71)-SUMIF(70:70,C9,71:71)+100</f>
        <v>100</v>
      </c>
      <c r="I9" s="2703"/>
      <c r="J9" s="135">
        <f>SUMIF(70:70,I9,71:71)-SUMIF(70:70,C9,71:71)+100</f>
        <v>100</v>
      </c>
      <c r="K9" s="612"/>
      <c r="L9" s="1135"/>
      <c r="M9" s="1136"/>
      <c r="N9" s="1136"/>
      <c r="O9" s="1137"/>
      <c r="P9" s="3304" t="s">
        <v>2549</v>
      </c>
      <c r="Q9" s="1799" t="str">
        <f t="shared" ref="Q9:Q15" si="6">B9</f>
        <v>用途</v>
      </c>
      <c r="R9" s="770" t="s">
        <v>17</v>
      </c>
      <c r="S9" s="771">
        <f t="shared" si="0"/>
        <v>100</v>
      </c>
      <c r="T9" s="770" t="s">
        <v>17</v>
      </c>
      <c r="U9" s="771">
        <f t="shared" si="1"/>
        <v>100</v>
      </c>
      <c r="V9" s="770" t="s">
        <v>17</v>
      </c>
      <c r="W9" s="771">
        <f t="shared" si="2"/>
        <v>100</v>
      </c>
      <c r="X9" s="772"/>
      <c r="Y9" s="3130" t="s">
        <v>2550</v>
      </c>
      <c r="Z9" s="55" t="str">
        <f t="shared" ref="Z9:Z15" si="7">Q9</f>
        <v>用途</v>
      </c>
      <c r="AA9" s="773">
        <f t="shared" si="3"/>
        <v>1</v>
      </c>
      <c r="AB9" s="773">
        <f t="shared" si="4"/>
        <v>1</v>
      </c>
      <c r="AC9" s="773">
        <f t="shared" si="5"/>
        <v>1</v>
      </c>
    </row>
    <row r="10" spans="1:29" s="428" customFormat="1" ht="27">
      <c r="A10" s="422"/>
      <c r="B10" s="423" t="s">
        <v>2551</v>
      </c>
      <c r="C10" s="433"/>
      <c r="D10" s="136">
        <v>100</v>
      </c>
      <c r="E10" s="433"/>
      <c r="F10" s="136">
        <f>ROUND(100/'数据-取费表'!G16,0)</f>
        <v>115</v>
      </c>
      <c r="G10" s="433"/>
      <c r="H10" s="136">
        <f>ROUND(100/'数据-取费表'!G16,0)</f>
        <v>115</v>
      </c>
      <c r="I10" s="433"/>
      <c r="J10" s="136">
        <f>ROUND(100/'数据-取费表'!G16,0)</f>
        <v>115</v>
      </c>
      <c r="K10" s="673"/>
      <c r="L10" s="1138"/>
      <c r="M10" s="1139"/>
      <c r="N10" s="1139"/>
      <c r="O10" s="1140"/>
      <c r="P10" s="3304"/>
      <c r="Q10" s="1799" t="str">
        <f t="shared" si="6"/>
        <v>土地使用年限（年）</v>
      </c>
      <c r="R10" s="770" t="s">
        <v>17</v>
      </c>
      <c r="S10" s="771">
        <f t="shared" si="0"/>
        <v>115</v>
      </c>
      <c r="T10" s="770" t="s">
        <v>17</v>
      </c>
      <c r="U10" s="771">
        <f t="shared" si="1"/>
        <v>115</v>
      </c>
      <c r="V10" s="770" t="s">
        <v>17</v>
      </c>
      <c r="W10" s="771">
        <f t="shared" si="2"/>
        <v>115</v>
      </c>
      <c r="X10" s="772"/>
      <c r="Y10" s="3130"/>
      <c r="Z10" s="55" t="str">
        <f t="shared" si="7"/>
        <v>土地使用年限（年）</v>
      </c>
      <c r="AA10" s="773">
        <f t="shared" si="3"/>
        <v>0.86956521739130432</v>
      </c>
      <c r="AB10" s="773">
        <f t="shared" si="4"/>
        <v>0.86956521739130432</v>
      </c>
      <c r="AC10" s="773">
        <f t="shared" si="5"/>
        <v>0.86956521739130432</v>
      </c>
    </row>
    <row r="11" spans="1:29" ht="15">
      <c r="A11" s="429"/>
      <c r="B11" s="423" t="s">
        <v>2552</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304"/>
      <c r="Q11" s="1799"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304"/>
      <c r="Q12" s="1799">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304"/>
      <c r="Q13" s="1799">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304"/>
      <c r="Q14" s="1799">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15">
      <c r="A15" s="441" t="s">
        <v>2553</v>
      </c>
      <c r="B15" s="630" t="s">
        <v>2792</v>
      </c>
      <c r="C15" s="2697">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97" t="s">
        <v>2554</v>
      </c>
      <c r="Q15" s="1814" t="str">
        <f t="shared" si="6"/>
        <v>产业集聚程度</v>
      </c>
      <c r="R15" s="774" t="s">
        <v>17</v>
      </c>
      <c r="S15" s="775">
        <f t="shared" si="0"/>
        <v>100</v>
      </c>
      <c r="T15" s="774" t="s">
        <v>17</v>
      </c>
      <c r="U15" s="775">
        <f t="shared" si="1"/>
        <v>100</v>
      </c>
      <c r="V15" s="774" t="s">
        <v>17</v>
      </c>
      <c r="W15" s="775">
        <f t="shared" si="2"/>
        <v>100</v>
      </c>
      <c r="X15" s="1817"/>
      <c r="Y15" s="3297" t="s">
        <v>2554</v>
      </c>
      <c r="Z15" s="1818" t="str">
        <f t="shared" si="7"/>
        <v>产业集聚程度</v>
      </c>
      <c r="AA15" s="1815">
        <f t="shared" si="3"/>
        <v>1</v>
      </c>
      <c r="AB15" s="1815">
        <f t="shared" si="4"/>
        <v>1</v>
      </c>
      <c r="AC15" s="1815">
        <f t="shared" si="5"/>
        <v>1</v>
      </c>
    </row>
    <row r="16" spans="1:29" ht="15">
      <c r="A16" s="429"/>
      <c r="B16" s="631"/>
      <c r="C16" s="448"/>
      <c r="D16" s="449"/>
      <c r="E16" s="2615"/>
      <c r="F16" s="449"/>
      <c r="G16" s="2615"/>
      <c r="H16" s="451"/>
      <c r="I16" s="2615"/>
      <c r="J16" s="449"/>
      <c r="K16" s="673"/>
      <c r="L16" s="1143"/>
      <c r="M16" s="1134"/>
      <c r="N16" s="1134"/>
      <c r="O16" s="1142"/>
      <c r="P16" s="3298"/>
      <c r="Q16" s="1814"/>
      <c r="R16" s="774"/>
      <c r="S16" s="775"/>
      <c r="T16" s="774"/>
      <c r="U16" s="775"/>
      <c r="V16" s="774"/>
      <c r="W16" s="775"/>
      <c r="X16" s="1817"/>
      <c r="Y16" s="3298"/>
      <c r="Z16" s="1818"/>
      <c r="AA16" s="1815">
        <v>1</v>
      </c>
      <c r="AB16" s="1815">
        <v>1</v>
      </c>
      <c r="AC16" s="1815">
        <v>1</v>
      </c>
    </row>
    <row r="17" spans="1:29" ht="15">
      <c r="A17" s="429"/>
      <c r="B17" s="632" t="s">
        <v>2703</v>
      </c>
      <c r="C17" s="2611">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98"/>
      <c r="Q17" s="1814" t="str">
        <f>B17</f>
        <v>交通便捷度</v>
      </c>
      <c r="R17" s="774" t="s">
        <v>17</v>
      </c>
      <c r="S17" s="775">
        <f>F17</f>
        <v>100</v>
      </c>
      <c r="T17" s="774" t="s">
        <v>17</v>
      </c>
      <c r="U17" s="775">
        <f>H17</f>
        <v>100</v>
      </c>
      <c r="V17" s="774" t="s">
        <v>17</v>
      </c>
      <c r="W17" s="775">
        <f>J17</f>
        <v>100</v>
      </c>
      <c r="X17" s="1817"/>
      <c r="Y17" s="3298"/>
      <c r="Z17" s="1818" t="str">
        <f>Q17</f>
        <v>交通便捷度</v>
      </c>
      <c r="AA17" s="1815">
        <f t="shared" si="3"/>
        <v>1</v>
      </c>
      <c r="AB17" s="1815">
        <f t="shared" si="4"/>
        <v>1</v>
      </c>
      <c r="AC17" s="1815">
        <f t="shared" si="5"/>
        <v>1</v>
      </c>
    </row>
    <row r="18" spans="1:29" ht="15">
      <c r="A18" s="429"/>
      <c r="B18" s="633"/>
      <c r="C18" s="448"/>
      <c r="D18" s="449"/>
      <c r="E18" s="2609"/>
      <c r="F18" s="449"/>
      <c r="G18" s="2609"/>
      <c r="H18" s="449"/>
      <c r="I18" s="2608"/>
      <c r="J18" s="449"/>
      <c r="K18" s="673"/>
      <c r="L18" s="1143"/>
      <c r="M18" s="1134"/>
      <c r="N18" s="1134"/>
      <c r="O18" s="1142"/>
      <c r="P18" s="3298"/>
      <c r="Q18" s="1814"/>
      <c r="R18" s="774"/>
      <c r="S18" s="775"/>
      <c r="T18" s="774"/>
      <c r="U18" s="775"/>
      <c r="V18" s="774"/>
      <c r="W18" s="775"/>
      <c r="X18" s="1817"/>
      <c r="Y18" s="3298"/>
      <c r="Z18" s="1818"/>
      <c r="AA18" s="1815">
        <v>1</v>
      </c>
      <c r="AB18" s="1815">
        <v>1</v>
      </c>
      <c r="AC18" s="1815">
        <v>1</v>
      </c>
    </row>
    <row r="19" spans="1:29" ht="15">
      <c r="A19" s="429"/>
      <c r="B19" s="632" t="s">
        <v>2742</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98"/>
      <c r="Q19" s="1814" t="str">
        <f t="shared" ref="Q19:Q33" si="8">B19</f>
        <v>区域土地利用方向</v>
      </c>
      <c r="R19" s="774" t="s">
        <v>17</v>
      </c>
      <c r="S19" s="775">
        <f>F19</f>
        <v>100</v>
      </c>
      <c r="T19" s="774" t="s">
        <v>17</v>
      </c>
      <c r="U19" s="775">
        <f>H19</f>
        <v>100</v>
      </c>
      <c r="V19" s="774" t="s">
        <v>17</v>
      </c>
      <c r="W19" s="775">
        <f>J19</f>
        <v>100</v>
      </c>
      <c r="X19" s="1817"/>
      <c r="Y19" s="3298"/>
      <c r="Z19" s="1818" t="str">
        <f>Q19</f>
        <v>区域土地利用方向</v>
      </c>
      <c r="AA19" s="1815">
        <f t="shared" si="3"/>
        <v>1</v>
      </c>
      <c r="AB19" s="1815">
        <f t="shared" si="4"/>
        <v>1</v>
      </c>
      <c r="AC19" s="1815">
        <f t="shared" si="5"/>
        <v>1</v>
      </c>
    </row>
    <row r="20" spans="1:29" ht="15">
      <c r="A20" s="405"/>
      <c r="B20" s="633"/>
      <c r="C20" s="448"/>
      <c r="D20" s="449"/>
      <c r="E20" s="2609"/>
      <c r="F20" s="449"/>
      <c r="G20" s="2609"/>
      <c r="H20" s="449"/>
      <c r="I20" s="2609"/>
      <c r="J20" s="449"/>
      <c r="K20" s="812"/>
      <c r="L20" s="1143"/>
      <c r="M20" s="1134"/>
      <c r="N20" s="1134"/>
      <c r="O20" s="1142"/>
      <c r="P20" s="3298"/>
      <c r="Q20" s="1814"/>
      <c r="R20" s="774"/>
      <c r="S20" s="775"/>
      <c r="T20" s="774"/>
      <c r="U20" s="775"/>
      <c r="V20" s="774"/>
      <c r="W20" s="775"/>
      <c r="X20" s="1817"/>
      <c r="Y20" s="3298"/>
      <c r="Z20" s="1818"/>
      <c r="AA20" s="1815"/>
      <c r="AB20" s="1815"/>
      <c r="AC20" s="1815"/>
    </row>
    <row r="21" spans="1:29" ht="15">
      <c r="A21" s="405"/>
      <c r="B21" s="632" t="s">
        <v>2793</v>
      </c>
      <c r="C21" s="2611">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98"/>
      <c r="Q21" s="1814" t="str">
        <f t="shared" si="8"/>
        <v>环境状况</v>
      </c>
      <c r="R21" s="774" t="s">
        <v>17</v>
      </c>
      <c r="S21" s="775">
        <f>F21</f>
        <v>100</v>
      </c>
      <c r="T21" s="774" t="s">
        <v>17</v>
      </c>
      <c r="U21" s="775">
        <f>H21</f>
        <v>100</v>
      </c>
      <c r="V21" s="774" t="s">
        <v>17</v>
      </c>
      <c r="W21" s="775">
        <f>J21</f>
        <v>100</v>
      </c>
      <c r="X21" s="1817"/>
      <c r="Y21" s="3298"/>
      <c r="Z21" s="1818" t="str">
        <f>Q21</f>
        <v>环境状况</v>
      </c>
      <c r="AA21" s="1815">
        <f t="shared" si="3"/>
        <v>1</v>
      </c>
      <c r="AB21" s="1815">
        <f t="shared" si="4"/>
        <v>1</v>
      </c>
      <c r="AC21" s="1815">
        <f t="shared" si="5"/>
        <v>1</v>
      </c>
    </row>
    <row r="22" spans="1:29" ht="15">
      <c r="A22" s="405"/>
      <c r="B22" s="633"/>
      <c r="C22" s="448"/>
      <c r="D22" s="449"/>
      <c r="E22" s="2615"/>
      <c r="F22" s="449"/>
      <c r="G22" s="2615"/>
      <c r="H22" s="449"/>
      <c r="I22" s="448"/>
      <c r="J22" s="449"/>
      <c r="K22" s="673"/>
      <c r="L22" s="1143"/>
      <c r="M22" s="1134"/>
      <c r="N22" s="1134"/>
      <c r="O22" s="1142"/>
      <c r="P22" s="3298"/>
      <c r="Q22" s="1814"/>
      <c r="R22" s="774"/>
      <c r="S22" s="775"/>
      <c r="T22" s="774"/>
      <c r="U22" s="775"/>
      <c r="V22" s="774"/>
      <c r="W22" s="775"/>
      <c r="X22" s="1817"/>
      <c r="Y22" s="3298"/>
      <c r="Z22" s="1818"/>
      <c r="AA22" s="1815">
        <v>1</v>
      </c>
      <c r="AB22" s="1815">
        <v>1</v>
      </c>
      <c r="AC22" s="1815">
        <v>1</v>
      </c>
    </row>
    <row r="23" spans="1:29" s="117" customFormat="1" ht="15">
      <c r="A23" s="650"/>
      <c r="B23" s="634" t="s">
        <v>2648</v>
      </c>
      <c r="C23" s="2611">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98"/>
      <c r="Q23" s="1799" t="str">
        <f t="shared" si="8"/>
        <v>公共配套设施</v>
      </c>
      <c r="R23" s="770" t="s">
        <v>17</v>
      </c>
      <c r="S23" s="771">
        <f>F23</f>
        <v>100</v>
      </c>
      <c r="T23" s="770" t="s">
        <v>17</v>
      </c>
      <c r="U23" s="771">
        <f>H23</f>
        <v>100</v>
      </c>
      <c r="V23" s="770" t="s">
        <v>17</v>
      </c>
      <c r="W23" s="771">
        <f>J23</f>
        <v>100</v>
      </c>
      <c r="X23" s="772"/>
      <c r="Y23" s="3298"/>
      <c r="Z23" s="55" t="str">
        <f>Q23</f>
        <v>公共配套设施</v>
      </c>
      <c r="AA23" s="1815">
        <f>D23/F23</f>
        <v>1</v>
      </c>
      <c r="AB23" s="1815">
        <f>D23/H23</f>
        <v>1</v>
      </c>
      <c r="AC23" s="1815">
        <f>D23/J23</f>
        <v>1</v>
      </c>
    </row>
    <row r="24" spans="1:29" s="117" customFormat="1" ht="15">
      <c r="A24" s="650"/>
      <c r="B24" s="633"/>
      <c r="C24" s="2704"/>
      <c r="D24" s="449"/>
      <c r="E24" s="2615"/>
      <c r="F24" s="449"/>
      <c r="G24" s="2615"/>
      <c r="H24" s="449"/>
      <c r="I24" s="448"/>
      <c r="J24" s="449"/>
      <c r="K24" s="673"/>
      <c r="L24" s="1135"/>
      <c r="M24" s="1136"/>
      <c r="N24" s="1136"/>
      <c r="O24" s="1137"/>
      <c r="P24" s="3298"/>
      <c r="Q24" s="1799"/>
      <c r="R24" s="770"/>
      <c r="S24" s="771"/>
      <c r="T24" s="770"/>
      <c r="U24" s="771"/>
      <c r="V24" s="770"/>
      <c r="W24" s="771"/>
      <c r="X24" s="772"/>
      <c r="Y24" s="3298"/>
      <c r="Z24" s="55"/>
      <c r="AA24" s="773">
        <v>1</v>
      </c>
      <c r="AB24" s="773">
        <v>1</v>
      </c>
      <c r="AC24" s="773">
        <v>1</v>
      </c>
    </row>
    <row r="25" spans="1:29" s="117" customFormat="1" ht="15">
      <c r="A25" s="650"/>
      <c r="B25" s="634" t="s">
        <v>2649</v>
      </c>
      <c r="C25" s="2611">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98"/>
      <c r="Q25" s="1799" t="str">
        <f t="shared" ref="Q25" si="9">B25</f>
        <v>基础设施水平</v>
      </c>
      <c r="R25" s="770" t="s">
        <v>17</v>
      </c>
      <c r="S25" s="771">
        <f>F25</f>
        <v>100</v>
      </c>
      <c r="T25" s="770" t="s">
        <v>17</v>
      </c>
      <c r="U25" s="771">
        <f>H25</f>
        <v>100</v>
      </c>
      <c r="V25" s="770" t="s">
        <v>17</v>
      </c>
      <c r="W25" s="771">
        <f>J25</f>
        <v>100</v>
      </c>
      <c r="X25" s="772"/>
      <c r="Y25" s="3298"/>
      <c r="Z25" s="55" t="str">
        <f>Q25</f>
        <v>基础设施水平</v>
      </c>
      <c r="AA25" s="1815">
        <f>D25/F25</f>
        <v>1</v>
      </c>
      <c r="AB25" s="1815">
        <f>D25/H25</f>
        <v>1</v>
      </c>
      <c r="AC25" s="1815">
        <f>D25/J25</f>
        <v>1</v>
      </c>
    </row>
    <row r="26" spans="1:29" s="117" customFormat="1" ht="15">
      <c r="A26" s="650"/>
      <c r="B26" s="633"/>
      <c r="C26" s="2704"/>
      <c r="D26" s="449"/>
      <c r="E26" s="2705"/>
      <c r="F26" s="449"/>
      <c r="G26" s="2705"/>
      <c r="H26" s="449"/>
      <c r="I26" s="2705"/>
      <c r="J26" s="449"/>
      <c r="K26" s="673"/>
      <c r="L26" s="1135"/>
      <c r="M26" s="1136"/>
      <c r="N26" s="1136"/>
      <c r="O26" s="1137"/>
      <c r="P26" s="3298"/>
      <c r="Q26" s="1799"/>
      <c r="R26" s="770"/>
      <c r="S26" s="771"/>
      <c r="T26" s="770"/>
      <c r="U26" s="771"/>
      <c r="V26" s="770"/>
      <c r="W26" s="771"/>
      <c r="X26" s="772"/>
      <c r="Y26" s="3298"/>
      <c r="Z26" s="55"/>
      <c r="AA26" s="773">
        <v>1</v>
      </c>
      <c r="AB26" s="773">
        <v>1</v>
      </c>
      <c r="AC26" s="773">
        <v>1</v>
      </c>
    </row>
    <row r="27" spans="1:29" ht="15">
      <c r="A27" s="429"/>
      <c r="B27" s="633" t="s">
        <v>2650</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98"/>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98"/>
      <c r="Z27" s="1818" t="str">
        <f t="shared" ref="Z27:Z40" si="13">Q27</f>
        <v>临街状况</v>
      </c>
      <c r="AA27" s="1815">
        <f t="shared" si="3"/>
        <v>1</v>
      </c>
      <c r="AB27" s="1815">
        <f t="shared" si="4"/>
        <v>1</v>
      </c>
      <c r="AC27" s="1815">
        <f t="shared" si="5"/>
        <v>1</v>
      </c>
    </row>
    <row r="28" spans="1:29" ht="27">
      <c r="A28" s="429"/>
      <c r="B28" s="634" t="s">
        <v>2685</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98"/>
      <c r="Q28" s="1814" t="str">
        <f t="shared" si="8"/>
        <v>毗邻道路的类型与等级</v>
      </c>
      <c r="R28" s="774" t="s">
        <v>17</v>
      </c>
      <c r="S28" s="775">
        <f t="shared" si="10"/>
        <v>100</v>
      </c>
      <c r="T28" s="774" t="s">
        <v>17</v>
      </c>
      <c r="U28" s="775">
        <f t="shared" si="11"/>
        <v>100</v>
      </c>
      <c r="V28" s="774" t="s">
        <v>17</v>
      </c>
      <c r="W28" s="775">
        <f t="shared" si="12"/>
        <v>100</v>
      </c>
      <c r="X28" s="1817"/>
      <c r="Y28" s="3298"/>
      <c r="Z28" s="1818" t="str">
        <f t="shared" si="13"/>
        <v>毗邻道路的类型与等级</v>
      </c>
      <c r="AA28" s="1815">
        <f t="shared" si="3"/>
        <v>1</v>
      </c>
      <c r="AB28" s="1815">
        <f t="shared" si="4"/>
        <v>1</v>
      </c>
      <c r="AC28" s="1815">
        <f t="shared" si="5"/>
        <v>1</v>
      </c>
    </row>
    <row r="29" spans="1:29" ht="15">
      <c r="A29" s="429"/>
      <c r="B29" s="633"/>
      <c r="C29" s="448"/>
      <c r="D29" s="449"/>
      <c r="E29" s="2615"/>
      <c r="F29" s="449"/>
      <c r="G29" s="2615"/>
      <c r="H29" s="449"/>
      <c r="I29" s="2615"/>
      <c r="J29" s="449"/>
      <c r="K29" s="614"/>
      <c r="L29" s="1143"/>
      <c r="M29" s="1134"/>
      <c r="N29" s="1134"/>
      <c r="O29" s="1142"/>
      <c r="P29" s="3298"/>
      <c r="Q29" s="1814"/>
      <c r="R29" s="774"/>
      <c r="S29" s="775"/>
      <c r="T29" s="774"/>
      <c r="U29" s="775"/>
      <c r="V29" s="774"/>
      <c r="W29" s="775"/>
      <c r="X29" s="1817"/>
      <c r="Y29" s="3298"/>
      <c r="Z29" s="1818"/>
      <c r="AA29" s="1815">
        <v>1</v>
      </c>
      <c r="AB29" s="1815">
        <v>1</v>
      </c>
      <c r="AC29" s="1815">
        <v>1</v>
      </c>
    </row>
    <row r="30" spans="1:29" ht="15">
      <c r="A30" s="429"/>
      <c r="B30" s="655" t="s">
        <v>2744</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98"/>
      <c r="Q30" s="1814" t="str">
        <f t="shared" si="8"/>
        <v>土地级别</v>
      </c>
      <c r="R30" s="774" t="s">
        <v>17</v>
      </c>
      <c r="S30" s="775">
        <f t="shared" si="10"/>
        <v>100</v>
      </c>
      <c r="T30" s="774" t="s">
        <v>17</v>
      </c>
      <c r="U30" s="775">
        <f t="shared" si="11"/>
        <v>100</v>
      </c>
      <c r="V30" s="774" t="s">
        <v>17</v>
      </c>
      <c r="W30" s="775">
        <f t="shared" si="12"/>
        <v>100</v>
      </c>
      <c r="X30" s="1817"/>
      <c r="Y30" s="3298"/>
      <c r="Z30" s="1818" t="str">
        <f t="shared" si="13"/>
        <v>土地级别</v>
      </c>
      <c r="AA30" s="1815">
        <f t="shared" si="3"/>
        <v>1</v>
      </c>
      <c r="AB30" s="1815">
        <f t="shared" si="4"/>
        <v>1</v>
      </c>
      <c r="AC30" s="1815">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98"/>
      <c r="Q31" s="1814">
        <f t="shared" si="8"/>
        <v>111</v>
      </c>
      <c r="R31" s="774" t="s">
        <v>17</v>
      </c>
      <c r="S31" s="775">
        <f t="shared" si="10"/>
        <v>100</v>
      </c>
      <c r="T31" s="774" t="s">
        <v>17</v>
      </c>
      <c r="U31" s="775">
        <f t="shared" si="11"/>
        <v>100</v>
      </c>
      <c r="V31" s="774" t="s">
        <v>17</v>
      </c>
      <c r="W31" s="775">
        <f t="shared" si="12"/>
        <v>100</v>
      </c>
      <c r="X31" s="1817"/>
      <c r="Y31" s="3298"/>
      <c r="Z31" s="1818">
        <f t="shared" si="13"/>
        <v>111</v>
      </c>
      <c r="AA31" s="1815">
        <f t="shared" si="3"/>
        <v>1</v>
      </c>
      <c r="AB31" s="1815">
        <f t="shared" si="4"/>
        <v>1</v>
      </c>
      <c r="AC31" s="1815">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349" t="s">
        <v>2559</v>
      </c>
      <c r="Q32" s="1814">
        <f t="shared" si="8"/>
        <v>111</v>
      </c>
      <c r="R32" s="774" t="s">
        <v>17</v>
      </c>
      <c r="S32" s="775">
        <f t="shared" si="10"/>
        <v>100</v>
      </c>
      <c r="T32" s="774" t="s">
        <v>17</v>
      </c>
      <c r="U32" s="775">
        <f t="shared" si="11"/>
        <v>100</v>
      </c>
      <c r="V32" s="774" t="s">
        <v>17</v>
      </c>
      <c r="W32" s="775">
        <f t="shared" si="12"/>
        <v>100</v>
      </c>
      <c r="X32" s="1817"/>
      <c r="Y32" s="3302" t="s">
        <v>2559</v>
      </c>
      <c r="Z32" s="1818">
        <f t="shared" si="13"/>
        <v>111</v>
      </c>
      <c r="AA32" s="1815">
        <f t="shared" si="3"/>
        <v>1</v>
      </c>
      <c r="AB32" s="1815">
        <f t="shared" si="4"/>
        <v>1</v>
      </c>
      <c r="AC32" s="1815">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302"/>
      <c r="Q33" s="1814">
        <f t="shared" si="8"/>
        <v>111</v>
      </c>
      <c r="R33" s="777" t="s">
        <v>17</v>
      </c>
      <c r="S33" s="778">
        <f t="shared" si="10"/>
        <v>100</v>
      </c>
      <c r="T33" s="777" t="s">
        <v>17</v>
      </c>
      <c r="U33" s="778">
        <f t="shared" si="11"/>
        <v>100</v>
      </c>
      <c r="V33" s="777" t="s">
        <v>17</v>
      </c>
      <c r="W33" s="778">
        <f t="shared" si="12"/>
        <v>100</v>
      </c>
      <c r="X33" s="779"/>
      <c r="Y33" s="3302"/>
      <c r="Z33" s="780">
        <f t="shared" si="13"/>
        <v>111</v>
      </c>
      <c r="AA33" s="1815">
        <f t="shared" si="3"/>
        <v>1</v>
      </c>
      <c r="AB33" s="1815">
        <f t="shared" si="4"/>
        <v>1</v>
      </c>
      <c r="AC33" s="1815">
        <f t="shared" si="5"/>
        <v>1</v>
      </c>
    </row>
    <row r="34" spans="1:29" ht="15">
      <c r="A34" s="441" t="s">
        <v>2557</v>
      </c>
      <c r="B34" s="457" t="s">
        <v>2745</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302"/>
      <c r="Q34" s="1814" t="str">
        <f>B34</f>
        <v>宗地面积</v>
      </c>
      <c r="R34" s="774" t="s">
        <v>17</v>
      </c>
      <c r="S34" s="775" t="e">
        <f t="shared" si="10"/>
        <v>#N/A</v>
      </c>
      <c r="T34" s="774" t="s">
        <v>17</v>
      </c>
      <c r="U34" s="775" t="e">
        <f t="shared" si="11"/>
        <v>#N/A</v>
      </c>
      <c r="V34" s="774" t="s">
        <v>17</v>
      </c>
      <c r="W34" s="775" t="e">
        <f t="shared" si="12"/>
        <v>#N/A</v>
      </c>
      <c r="X34" s="1817"/>
      <c r="Y34" s="3302"/>
      <c r="Z34" s="1818" t="str">
        <f t="shared" si="13"/>
        <v>宗地面积</v>
      </c>
      <c r="AA34" s="1815" t="e">
        <f t="shared" si="3"/>
        <v>#N/A</v>
      </c>
      <c r="AB34" s="1815" t="e">
        <f t="shared" si="4"/>
        <v>#N/A</v>
      </c>
      <c r="AC34" s="1815" t="e">
        <f t="shared" si="5"/>
        <v>#N/A</v>
      </c>
    </row>
    <row r="35" spans="1:29" ht="15">
      <c r="A35" s="473"/>
      <c r="B35" s="423" t="s">
        <v>2746</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3"/>
      <c r="M35" s="1134"/>
      <c r="N35" s="1134"/>
      <c r="O35" s="1142"/>
      <c r="P35" s="3302"/>
      <c r="Q35" s="1814" t="str">
        <f t="shared" ref="Q35:Q40" si="14">B35</f>
        <v>宗地形状</v>
      </c>
      <c r="R35" s="774" t="s">
        <v>17</v>
      </c>
      <c r="S35" s="775">
        <f t="shared" si="10"/>
        <v>100</v>
      </c>
      <c r="T35" s="774" t="s">
        <v>17</v>
      </c>
      <c r="U35" s="775">
        <f t="shared" si="11"/>
        <v>100</v>
      </c>
      <c r="V35" s="774" t="s">
        <v>17</v>
      </c>
      <c r="W35" s="775">
        <f t="shared" si="12"/>
        <v>100</v>
      </c>
      <c r="X35" s="1817"/>
      <c r="Y35" s="3302"/>
      <c r="Z35" s="1818" t="str">
        <f t="shared" si="13"/>
        <v>宗地形状</v>
      </c>
      <c r="AA35" s="1815">
        <f t="shared" si="3"/>
        <v>1</v>
      </c>
      <c r="AB35" s="1815">
        <f t="shared" si="4"/>
        <v>1</v>
      </c>
      <c r="AC35" s="1815">
        <f t="shared" si="5"/>
        <v>1</v>
      </c>
    </row>
    <row r="36" spans="1:29" s="117" customFormat="1" ht="15">
      <c r="A36" s="474"/>
      <c r="B36" s="423" t="s">
        <v>2748</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5"/>
      <c r="M36" s="1136"/>
      <c r="N36" s="1136"/>
      <c r="O36" s="1137"/>
      <c r="P36" s="3302"/>
      <c r="Q36" s="1814" t="str">
        <f t="shared" si="14"/>
        <v>宗地开发程度</v>
      </c>
      <c r="R36" s="770" t="s">
        <v>17</v>
      </c>
      <c r="S36" s="771">
        <f t="shared" si="10"/>
        <v>100</v>
      </c>
      <c r="T36" s="770" t="s">
        <v>17</v>
      </c>
      <c r="U36" s="771">
        <f t="shared" si="11"/>
        <v>100</v>
      </c>
      <c r="V36" s="770" t="s">
        <v>17</v>
      </c>
      <c r="W36" s="771">
        <f t="shared" si="12"/>
        <v>100</v>
      </c>
      <c r="X36" s="772"/>
      <c r="Y36" s="3302"/>
      <c r="Z36" s="55" t="str">
        <f t="shared" si="13"/>
        <v>宗地开发程度</v>
      </c>
      <c r="AA36" s="773">
        <f t="shared" si="3"/>
        <v>1</v>
      </c>
      <c r="AB36" s="773">
        <f t="shared" si="4"/>
        <v>1</v>
      </c>
      <c r="AC36" s="773">
        <f t="shared" si="5"/>
        <v>1</v>
      </c>
    </row>
    <row r="37" spans="1:29" ht="15">
      <c r="A37" s="473"/>
      <c r="B37" s="423" t="s">
        <v>2749</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3"/>
      <c r="M37" s="1134"/>
      <c r="N37" s="1134"/>
      <c r="O37" s="1142"/>
      <c r="P37" s="3302" t="s">
        <v>2559</v>
      </c>
      <c r="Q37" s="1814" t="str">
        <f t="shared" si="14"/>
        <v>工程地质条件</v>
      </c>
      <c r="R37" s="774" t="s">
        <v>17</v>
      </c>
      <c r="S37" s="775">
        <f t="shared" si="10"/>
        <v>100</v>
      </c>
      <c r="T37" s="774" t="s">
        <v>17</v>
      </c>
      <c r="U37" s="775">
        <f t="shared" si="11"/>
        <v>100</v>
      </c>
      <c r="V37" s="774" t="s">
        <v>17</v>
      </c>
      <c r="W37" s="775">
        <f t="shared" si="12"/>
        <v>100</v>
      </c>
      <c r="X37" s="1817"/>
      <c r="Y37" s="3302" t="s">
        <v>2559</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302"/>
      <c r="Q38" s="1814">
        <f t="shared" si="14"/>
        <v>111</v>
      </c>
      <c r="R38" s="774" t="s">
        <v>17</v>
      </c>
      <c r="S38" s="775">
        <f t="shared" si="10"/>
        <v>100</v>
      </c>
      <c r="T38" s="774" t="s">
        <v>17</v>
      </c>
      <c r="U38" s="775">
        <f t="shared" si="11"/>
        <v>100</v>
      </c>
      <c r="V38" s="774" t="s">
        <v>17</v>
      </c>
      <c r="W38" s="775">
        <f t="shared" si="12"/>
        <v>100</v>
      </c>
      <c r="X38" s="1817"/>
      <c r="Y38" s="3302"/>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302"/>
      <c r="Q39" s="1814">
        <f t="shared" si="14"/>
        <v>111</v>
      </c>
      <c r="R39" s="774" t="s">
        <v>17</v>
      </c>
      <c r="S39" s="775">
        <f t="shared" si="10"/>
        <v>100</v>
      </c>
      <c r="T39" s="774" t="s">
        <v>17</v>
      </c>
      <c r="U39" s="775">
        <f t="shared" si="11"/>
        <v>100</v>
      </c>
      <c r="V39" s="774" t="s">
        <v>17</v>
      </c>
      <c r="W39" s="775">
        <f t="shared" si="12"/>
        <v>100</v>
      </c>
      <c r="X39" s="1817"/>
      <c r="Y39" s="3302"/>
      <c r="Z39" s="1818">
        <f t="shared" si="13"/>
        <v>111</v>
      </c>
      <c r="AA39" s="1815">
        <f t="shared" si="3"/>
        <v>1</v>
      </c>
      <c r="AB39" s="1815">
        <f t="shared" si="4"/>
        <v>1</v>
      </c>
      <c r="AC39" s="1815">
        <f t="shared" si="5"/>
        <v>1</v>
      </c>
    </row>
    <row r="40" spans="1:29" s="472" customFormat="1" ht="15.75" thickBot="1">
      <c r="A40" s="469"/>
      <c r="B40" s="1390">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302"/>
      <c r="Q40" s="1814">
        <f t="shared" si="14"/>
        <v>111</v>
      </c>
      <c r="R40" s="777" t="s">
        <v>17</v>
      </c>
      <c r="S40" s="778">
        <f t="shared" si="10"/>
        <v>100</v>
      </c>
      <c r="T40" s="777" t="s">
        <v>17</v>
      </c>
      <c r="U40" s="778">
        <f t="shared" si="11"/>
        <v>100</v>
      </c>
      <c r="V40" s="777" t="s">
        <v>17</v>
      </c>
      <c r="W40" s="778">
        <f t="shared" si="12"/>
        <v>100</v>
      </c>
      <c r="X40" s="779"/>
      <c r="Y40" s="3302"/>
      <c r="Z40" s="780">
        <f t="shared" si="13"/>
        <v>111</v>
      </c>
      <c r="AA40" s="1815">
        <f t="shared" si="3"/>
        <v>1</v>
      </c>
      <c r="AB40" s="1815">
        <f t="shared" si="4"/>
        <v>1</v>
      </c>
      <c r="AC40" s="1815">
        <f t="shared" si="5"/>
        <v>1</v>
      </c>
    </row>
    <row r="41" spans="1:29" ht="15">
      <c r="A41" s="480" t="s">
        <v>2714</v>
      </c>
      <c r="B41" s="2708" t="s">
        <v>2794</v>
      </c>
      <c r="C41" s="683" t="s">
        <v>1</v>
      </c>
      <c r="D41" s="482"/>
      <c r="E41" s="483"/>
      <c r="F41" s="484"/>
      <c r="G41" s="485"/>
      <c r="H41" s="486"/>
      <c r="I41" s="483"/>
      <c r="J41" s="486"/>
      <c r="K41" s="783"/>
      <c r="L41" s="1146"/>
      <c r="M41" s="1134"/>
      <c r="N41" s="1134"/>
      <c r="O41" s="1147"/>
      <c r="P41" s="3304" t="str">
        <f>A41</f>
        <v>成交单价</v>
      </c>
      <c r="Q41" s="3304"/>
      <c r="R41" s="3292">
        <f>E41</f>
        <v>0</v>
      </c>
      <c r="S41" s="3292"/>
      <c r="T41" s="3292">
        <f>G41</f>
        <v>0</v>
      </c>
      <c r="U41" s="3292"/>
      <c r="V41" s="3292">
        <f>I41</f>
        <v>0</v>
      </c>
      <c r="W41" s="3292"/>
      <c r="X41" s="759"/>
      <c r="Y41" s="781"/>
      <c r="Z41" s="759"/>
      <c r="AA41" s="759"/>
      <c r="AB41" s="759"/>
      <c r="AC41" s="759"/>
    </row>
    <row r="42" spans="1:29" ht="15.75" thickBot="1">
      <c r="A42" s="487" t="s">
        <v>2663</v>
      </c>
      <c r="B42" s="684"/>
      <c r="C42" s="491" t="e">
        <f>R43</f>
        <v>#DIV/0!</v>
      </c>
      <c r="D42" s="490"/>
      <c r="E42" s="491" t="e">
        <f>R42</f>
        <v>#DIV/0!</v>
      </c>
      <c r="F42" s="492"/>
      <c r="G42" s="489" t="e">
        <f>T42</f>
        <v>#DIV/0!</v>
      </c>
      <c r="H42" s="490"/>
      <c r="I42" s="491" t="e">
        <f>V42</f>
        <v>#DIV/0!</v>
      </c>
      <c r="J42" s="490"/>
      <c r="K42" s="784"/>
      <c r="L42" s="1146"/>
      <c r="M42" s="1134"/>
      <c r="N42" s="1134"/>
      <c r="O42" s="1147"/>
      <c r="P42" s="3304" t="str">
        <f>A42</f>
        <v>比较价值（元/平方米）</v>
      </c>
      <c r="Q42" s="3304"/>
      <c r="R42" s="3350" t="e">
        <f>ROUND(PRODUCT(R41,AA7:AA40),0)</f>
        <v>#DIV/0!</v>
      </c>
      <c r="S42" s="3350"/>
      <c r="T42" s="3350" t="e">
        <f>ROUND(PRODUCT(T41,AB7:AB40),0)</f>
        <v>#DIV/0!</v>
      </c>
      <c r="U42" s="3350"/>
      <c r="V42" s="3350" t="e">
        <f>ROUND(PRODUCT(V41,AC7:AC40),0)</f>
        <v>#DIV/0!</v>
      </c>
      <c r="W42" s="3350"/>
      <c r="X42" s="759"/>
      <c r="Y42" s="759"/>
      <c r="Z42" s="759"/>
      <c r="AA42" s="759"/>
      <c r="AB42" s="759"/>
      <c r="AC42" s="759"/>
    </row>
    <row r="43" spans="1:29" ht="15.75" thickBot="1">
      <c r="A43" s="493" t="s">
        <v>2664</v>
      </c>
      <c r="B43" s="494"/>
      <c r="C43" s="495" t="e">
        <f>R43</f>
        <v>#DIV/0!</v>
      </c>
      <c r="D43" s="495"/>
      <c r="E43" s="495"/>
      <c r="F43" s="495"/>
      <c r="G43" s="495"/>
      <c r="H43" s="495"/>
      <c r="I43" s="495"/>
      <c r="J43" s="495"/>
      <c r="K43" s="785"/>
      <c r="L43" s="1146"/>
      <c r="M43" s="1134"/>
      <c r="N43" s="1134"/>
      <c r="O43" s="1147"/>
      <c r="P43" s="3346" t="str">
        <f>A43</f>
        <v>估价对象XX用房的比较价值（楼面单价，元/平方米）</v>
      </c>
      <c r="Q43" s="3347"/>
      <c r="R43" s="3351" t="e">
        <f>ROUND(AVERAGE(R42:V42),0)</f>
        <v>#DIV/0!</v>
      </c>
      <c r="S43" s="3351"/>
      <c r="T43" s="3351"/>
      <c r="U43" s="3351"/>
      <c r="V43" s="3351"/>
      <c r="W43" s="33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2665</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2666</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2667</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2752</v>
      </c>
      <c r="B50" s="686" t="s">
        <v>2753</v>
      </c>
      <c r="C50" s="2709" t="s">
        <v>2754</v>
      </c>
      <c r="D50" s="2710" t="s">
        <v>2755</v>
      </c>
      <c r="E50" s="687" t="s">
        <v>2756</v>
      </c>
      <c r="F50" s="688" t="s">
        <v>2757</v>
      </c>
      <c r="G50" s="3279" t="s">
        <v>2758</v>
      </c>
      <c r="H50" s="3352"/>
      <c r="I50" s="1818" t="s">
        <v>2795</v>
      </c>
      <c r="J50" s="1818">
        <f>项目基本情况!F35</f>
        <v>0</v>
      </c>
      <c r="K50" s="2712" t="s">
        <v>2760</v>
      </c>
      <c r="L50" s="1109"/>
      <c r="M50" s="1147"/>
      <c r="N50" s="1147"/>
      <c r="O50" s="1147"/>
    </row>
    <row r="51" spans="1:17" s="693" customFormat="1">
      <c r="A51" s="689" t="s">
        <v>2761</v>
      </c>
      <c r="B51" s="690" t="e">
        <f>C43</f>
        <v>#DIV/0!</v>
      </c>
      <c r="C51" s="691">
        <v>1</v>
      </c>
      <c r="D51" s="1166">
        <v>1</v>
      </c>
      <c r="E51" s="691">
        <f>'数据-汇总表'!E8+'数据-汇总表'!E9</f>
        <v>6960.5900000000011</v>
      </c>
      <c r="F51" s="692" t="e">
        <f t="shared" ref="F51:F60" si="15">ROUND(B51*E51/10000,0)</f>
        <v>#DIV/0!</v>
      </c>
      <c r="G51" s="3275"/>
      <c r="H51" s="3304"/>
      <c r="I51" s="945">
        <v>1</v>
      </c>
      <c r="J51" s="945">
        <v>1</v>
      </c>
      <c r="K51" s="1148"/>
      <c r="L51" s="944"/>
      <c r="M51" s="944"/>
      <c r="N51" s="944"/>
      <c r="O51" s="944"/>
    </row>
    <row r="52" spans="1:17" s="693" customFormat="1">
      <c r="A52" s="694" t="s">
        <v>2762</v>
      </c>
      <c r="B52" s="263" t="e">
        <f>ROUND($C$43*C52*D52,0)</f>
        <v>#DIV/0!</v>
      </c>
      <c r="C52" s="201">
        <f t="shared" ref="C52:C60" si="16">IF($C$50="北京市系数",I52,J52)</f>
        <v>0</v>
      </c>
      <c r="D52" s="1167">
        <v>0.25</v>
      </c>
      <c r="E52" s="695"/>
      <c r="F52" s="692" t="e">
        <f t="shared" si="15"/>
        <v>#DIV/0!</v>
      </c>
      <c r="G52" s="3353" t="s">
        <v>2763</v>
      </c>
      <c r="H52" s="1107">
        <f>项目基本情况!B37</f>
        <v>0</v>
      </c>
      <c r="I52" s="945">
        <f>SUMIF(修正!A45:A56,H52,修正!B45:B56)</f>
        <v>0</v>
      </c>
      <c r="J52" s="946"/>
      <c r="K52" s="1147"/>
      <c r="L52" s="944"/>
      <c r="M52" s="944"/>
      <c r="N52" s="944"/>
      <c r="O52" s="944"/>
    </row>
    <row r="53" spans="1:17" s="693" customFormat="1">
      <c r="A53" s="694" t="s">
        <v>2764</v>
      </c>
      <c r="B53" s="263" t="e">
        <f t="shared" ref="B53:B60" si="17">ROUND($C$43*C53*D53,0)</f>
        <v>#DIV/0!</v>
      </c>
      <c r="C53" s="201">
        <f t="shared" si="16"/>
        <v>0</v>
      </c>
      <c r="D53" s="1167">
        <v>0.25</v>
      </c>
      <c r="E53" s="695"/>
      <c r="F53" s="692" t="e">
        <f t="shared" si="15"/>
        <v>#DIV/0!</v>
      </c>
      <c r="G53" s="3353"/>
      <c r="H53" s="1107">
        <f>项目基本情况!B37</f>
        <v>0</v>
      </c>
      <c r="I53" s="945">
        <f>SUMIF(修正!A45:A56,H53,修正!C45:C56)</f>
        <v>0</v>
      </c>
      <c r="J53" s="946"/>
      <c r="K53" s="1148"/>
      <c r="L53" s="944"/>
      <c r="M53" s="944"/>
      <c r="N53" s="944"/>
      <c r="O53" s="944"/>
    </row>
    <row r="54" spans="1:17" s="693" customFormat="1">
      <c r="A54" s="694" t="s">
        <v>2765</v>
      </c>
      <c r="B54" s="263" t="e">
        <f t="shared" si="17"/>
        <v>#DIV/0!</v>
      </c>
      <c r="C54" s="201">
        <f t="shared" si="16"/>
        <v>0</v>
      </c>
      <c r="D54" s="1167">
        <v>0.25</v>
      </c>
      <c r="E54" s="695"/>
      <c r="F54" s="692" t="e">
        <f t="shared" si="15"/>
        <v>#DIV/0!</v>
      </c>
      <c r="G54" s="3353"/>
      <c r="H54" s="1107">
        <f>项目基本情况!B37</f>
        <v>0</v>
      </c>
      <c r="I54" s="945">
        <f>SUMIF(修正!A45:A56,H54,修正!D45:D56)</f>
        <v>0</v>
      </c>
      <c r="J54" s="946"/>
      <c r="K54" s="1147"/>
      <c r="L54" s="944"/>
      <c r="M54" s="944"/>
      <c r="N54" s="944"/>
      <c r="O54" s="944"/>
    </row>
    <row r="55" spans="1:17" s="693" customFormat="1">
      <c r="A55" s="694" t="s">
        <v>2766</v>
      </c>
      <c r="B55" s="263" t="e">
        <f t="shared" si="17"/>
        <v>#DIV/0!</v>
      </c>
      <c r="C55" s="201">
        <f t="shared" si="16"/>
        <v>0</v>
      </c>
      <c r="D55" s="1167">
        <v>0.25</v>
      </c>
      <c r="E55" s="695"/>
      <c r="F55" s="692" t="e">
        <f t="shared" si="15"/>
        <v>#DIV/0!</v>
      </c>
      <c r="G55" s="3353"/>
      <c r="H55" s="1107">
        <f>项目基本情况!B37</f>
        <v>0</v>
      </c>
      <c r="I55" s="945">
        <f>SUMIF(修正!A45:A56,H55,修正!E45:E56)</f>
        <v>0</v>
      </c>
      <c r="J55" s="946"/>
      <c r="K55" s="1148"/>
      <c r="L55" s="944"/>
      <c r="M55" s="944"/>
      <c r="N55" s="944"/>
      <c r="O55" s="944"/>
    </row>
    <row r="56" spans="1:17" s="693" customFormat="1">
      <c r="A56" s="694" t="s">
        <v>2767</v>
      </c>
      <c r="B56" s="263" t="e">
        <f t="shared" si="17"/>
        <v>#DIV/0!</v>
      </c>
      <c r="C56" s="201">
        <f t="shared" si="16"/>
        <v>0</v>
      </c>
      <c r="D56" s="1167">
        <v>0.25</v>
      </c>
      <c r="E56" s="262">
        <f>'数据-汇总表'!E11</f>
        <v>0</v>
      </c>
      <c r="F56" s="692" t="e">
        <f t="shared" si="15"/>
        <v>#DIV/0!</v>
      </c>
      <c r="G56" s="2713" t="s">
        <v>2768</v>
      </c>
      <c r="H56" s="1107">
        <f>项目基本情况!C37</f>
        <v>0</v>
      </c>
      <c r="I56" s="945">
        <f>SUMIF(修正!A45:A56,H56,修正!F45:F56)</f>
        <v>0</v>
      </c>
      <c r="J56" s="946"/>
      <c r="K56" s="1147"/>
      <c r="L56" s="944"/>
      <c r="M56" s="944"/>
      <c r="N56" s="944"/>
      <c r="O56" s="944"/>
    </row>
    <row r="57" spans="1:17" s="693" customFormat="1">
      <c r="A57" s="694" t="s">
        <v>2769</v>
      </c>
      <c r="B57" s="263" t="e">
        <f t="shared" si="17"/>
        <v>#DIV/0!</v>
      </c>
      <c r="C57" s="201">
        <f t="shared" si="16"/>
        <v>0</v>
      </c>
      <c r="D57" s="1167">
        <v>0.25</v>
      </c>
      <c r="E57" s="262">
        <f>'数据-汇总表'!E12</f>
        <v>0</v>
      </c>
      <c r="F57" s="692"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2771</v>
      </c>
      <c r="B58" s="263" t="e">
        <f t="shared" si="17"/>
        <v>#DIV/0!</v>
      </c>
      <c r="C58" s="201">
        <f t="shared" si="16"/>
        <v>0</v>
      </c>
      <c r="D58" s="1167">
        <v>0.25</v>
      </c>
      <c r="E58" s="262">
        <f>'数据-汇总表'!E13</f>
        <v>0</v>
      </c>
      <c r="F58" s="692"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2773</v>
      </c>
      <c r="B59" s="263" t="e">
        <f t="shared" si="17"/>
        <v>#DIV/0!</v>
      </c>
      <c r="C59" s="201">
        <f t="shared" si="16"/>
        <v>0</v>
      </c>
      <c r="D59" s="1167">
        <v>0.25</v>
      </c>
      <c r="E59" s="262">
        <f>'数据-汇总表'!E14</f>
        <v>0</v>
      </c>
      <c r="F59" s="692" t="e">
        <f t="shared" si="15"/>
        <v>#DIV/0!</v>
      </c>
      <c r="G59" s="2713" t="s">
        <v>2763</v>
      </c>
      <c r="H59" s="1107">
        <f>项目基本情况!B37</f>
        <v>0</v>
      </c>
      <c r="I59" s="945">
        <f>SUMIF(修正!A45:A56,H59,修正!H45:H56)</f>
        <v>0</v>
      </c>
      <c r="J59" s="946"/>
      <c r="K59" s="1148"/>
      <c r="L59" s="944"/>
      <c r="M59" s="944"/>
      <c r="N59" s="944"/>
      <c r="O59" s="944"/>
    </row>
    <row r="60" spans="1:17" s="693" customFormat="1" ht="15" thickBot="1">
      <c r="A60" s="694" t="s">
        <v>2774</v>
      </c>
      <c r="B60" s="263" t="e">
        <f t="shared" si="17"/>
        <v>#DIV/0!</v>
      </c>
      <c r="C60" s="201">
        <f t="shared" si="16"/>
        <v>0</v>
      </c>
      <c r="D60" s="1167">
        <v>0.25</v>
      </c>
      <c r="E60" s="262">
        <f>'数据-汇总表'!E15</f>
        <v>0</v>
      </c>
      <c r="F60" s="692" t="e">
        <f t="shared" si="15"/>
        <v>#DIV/0!</v>
      </c>
      <c r="G60" s="2714" t="s">
        <v>2768</v>
      </c>
      <c r="H60" s="1117">
        <f>项目基本情况!C37</f>
        <v>0</v>
      </c>
      <c r="I60" s="945">
        <f>SUMIF(修正!A45:A56,H60,修正!H45:H56)</f>
        <v>0</v>
      </c>
      <c r="J60" s="946"/>
      <c r="K60" s="1147"/>
      <c r="L60" s="944"/>
      <c r="M60" s="944"/>
      <c r="N60" s="944"/>
      <c r="O60" s="944"/>
    </row>
    <row r="61" spans="1:17" s="693" customFormat="1" ht="15" thickBot="1">
      <c r="A61" s="696" t="s">
        <v>2775</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2668</v>
      </c>
      <c r="B64" s="759"/>
      <c r="C64" s="764"/>
      <c r="D64" s="764"/>
      <c r="E64" s="764"/>
      <c r="F64" s="765"/>
      <c r="G64" s="765"/>
      <c r="H64" s="764"/>
      <c r="I64" s="764"/>
      <c r="J64" s="764"/>
      <c r="K64" s="766"/>
      <c r="L64" s="767"/>
      <c r="M64" s="764"/>
      <c r="N64" s="764"/>
      <c r="O64" s="1162"/>
      <c r="P64" s="504"/>
      <c r="Q64" s="505"/>
    </row>
    <row r="65" spans="1:17" s="509" customFormat="1" ht="15">
      <c r="A65" s="2715" t="s">
        <v>2776</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0" t="s">
        <v>2796</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2579</v>
      </c>
      <c r="B67" s="517"/>
      <c r="C67" s="518"/>
      <c r="D67" s="519"/>
      <c r="E67" s="519"/>
      <c r="F67" s="519"/>
      <c r="G67" s="519"/>
      <c r="H67" s="519"/>
      <c r="I67" s="519"/>
      <c r="J67" s="519"/>
      <c r="K67" s="519"/>
      <c r="L67" s="519"/>
      <c r="M67" s="520"/>
      <c r="N67" s="520"/>
      <c r="O67" s="521"/>
      <c r="P67" s="505"/>
      <c r="Q67" s="505"/>
    </row>
    <row r="68" spans="1:17" s="117" customFormat="1" ht="15">
      <c r="A68" s="522" t="s">
        <v>2544</v>
      </c>
      <c r="B68" s="511"/>
      <c r="C68" s="523" t="s">
        <v>2646</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2582</v>
      </c>
      <c r="B70" s="529" t="s">
        <v>2548</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2551</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2552</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2553</v>
      </c>
      <c r="B83" s="529" t="s">
        <v>2699</v>
      </c>
      <c r="C83" s="574" t="s">
        <v>2591</v>
      </c>
      <c r="D83" s="574" t="s">
        <v>2592</v>
      </c>
      <c r="E83" s="574" t="s">
        <v>2593</v>
      </c>
      <c r="F83" s="574" t="s">
        <v>2594</v>
      </c>
      <c r="G83" s="574" t="s">
        <v>2595</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2596</v>
      </c>
      <c r="C85" s="579" t="s">
        <v>2591</v>
      </c>
      <c r="D85" s="579" t="s">
        <v>2592</v>
      </c>
      <c r="E85" s="579" t="s">
        <v>2593</v>
      </c>
      <c r="F85" s="579" t="s">
        <v>2594</v>
      </c>
      <c r="G85" s="579" t="s">
        <v>2595</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2779</v>
      </c>
      <c r="C87" s="574" t="s">
        <v>2591</v>
      </c>
      <c r="D87" s="574" t="s">
        <v>2592</v>
      </c>
      <c r="E87" s="574" t="s">
        <v>2593</v>
      </c>
      <c r="F87" s="574" t="s">
        <v>2594</v>
      </c>
      <c r="G87" s="574" t="s">
        <v>2595</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2780</v>
      </c>
      <c r="C89" s="574" t="s">
        <v>2591</v>
      </c>
      <c r="D89" s="574" t="s">
        <v>2592</v>
      </c>
      <c r="E89" s="574" t="s">
        <v>2593</v>
      </c>
      <c r="F89" s="574" t="s">
        <v>2594</v>
      </c>
      <c r="G89" s="574" t="s">
        <v>2595</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2648</v>
      </c>
      <c r="C91" s="574" t="s">
        <v>2591</v>
      </c>
      <c r="D91" s="574" t="s">
        <v>2592</v>
      </c>
      <c r="E91" s="574" t="s">
        <v>2593</v>
      </c>
      <c r="F91" s="574" t="s">
        <v>2594</v>
      </c>
      <c r="G91" s="574" t="s">
        <v>2595</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2797</v>
      </c>
      <c r="C93" s="661" t="s">
        <v>2669</v>
      </c>
      <c r="D93" s="661" t="s">
        <v>2670</v>
      </c>
      <c r="E93" s="661" t="s">
        <v>2671</v>
      </c>
      <c r="F93" s="661" t="s">
        <v>2672</v>
      </c>
      <c r="G93" s="661" t="s">
        <v>2673</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2781</v>
      </c>
      <c r="D95" s="540" t="s">
        <v>2782</v>
      </c>
      <c r="E95" s="540" t="s">
        <v>2783</v>
      </c>
      <c r="F95" s="540" t="s">
        <v>2784</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2685</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2744</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2557</v>
      </c>
      <c r="B107" s="529" t="s">
        <v>2785</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2786</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2788</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2789</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1" t="s">
        <v>2798</v>
      </c>
      <c r="B1" s="242"/>
      <c r="C1" s="246" t="s">
        <v>2799</v>
      </c>
      <c r="D1" s="389">
        <f>SUM(D29:D30,D33:D39)</f>
        <v>0</v>
      </c>
      <c r="E1" s="2721"/>
      <c r="F1" s="2721"/>
      <c r="G1" s="2721"/>
      <c r="H1" s="2721"/>
      <c r="I1" s="2721"/>
      <c r="J1" s="2721"/>
      <c r="K1" s="1373"/>
      <c r="L1" s="2722" t="s">
        <v>2800</v>
      </c>
      <c r="M1" s="1083">
        <f>SUMPRODUCT((区片价!B5:B9=I2)*(区片价!C3:F3=E2)*(区片价!C5:F9))</f>
        <v>0</v>
      </c>
      <c r="N1" s="1086">
        <f>SUMPRODUCT((因素修正幅度!B5:B9=I2)*(因素修正幅度!C3:F3=E2)*(因素修正幅度!C5:F9))</f>
        <v>0</v>
      </c>
      <c r="O1" s="2723"/>
      <c r="P1" s="2723"/>
      <c r="Q1" s="1373"/>
      <c r="R1" s="1606" t="s">
        <v>2801</v>
      </c>
      <c r="S1" s="1606" t="s">
        <v>2802</v>
      </c>
      <c r="T1" s="1606" t="s">
        <v>2803</v>
      </c>
      <c r="U1" s="1606" t="s">
        <v>2804</v>
      </c>
      <c r="V1" s="1606" t="s">
        <v>2805</v>
      </c>
      <c r="W1" s="1610"/>
      <c r="X1" s="1610"/>
      <c r="Y1" s="1610"/>
      <c r="Z1" s="1610"/>
      <c r="AA1" s="1610"/>
      <c r="AB1" s="1610"/>
      <c r="AC1" s="1611"/>
      <c r="AD1" s="1612"/>
      <c r="AE1" s="1612"/>
      <c r="AF1" s="1612"/>
      <c r="AG1" s="1612"/>
      <c r="AH1" s="1612"/>
      <c r="AI1" s="1612"/>
      <c r="AJ1" s="1613"/>
    </row>
    <row r="2" spans="1:36" ht="15.75">
      <c r="A2" s="246" t="s">
        <v>2806</v>
      </c>
      <c r="B2" s="249" t="e">
        <f>C26</f>
        <v>#DIV/0!</v>
      </c>
      <c r="C2" s="2725" t="s">
        <v>2807</v>
      </c>
      <c r="D2" s="2726" t="s">
        <v>2808</v>
      </c>
      <c r="E2" s="2727"/>
      <c r="F2" s="2726" t="s">
        <v>2809</v>
      </c>
      <c r="G2" s="2728">
        <f>IF(E2="商业",项目基本情况!B37,IF(E2="办公",项目基本情况!C37,IF(E2="住宅",项目基本情况!D37,项目基本情况!E37)))</f>
        <v>0</v>
      </c>
      <c r="H2" s="2726" t="s">
        <v>2810</v>
      </c>
      <c r="I2" s="2728">
        <f>IF(E2="商业",项目基本情况!B38,IF(E2="办公",项目基本情况!C38,IF(E2="住宅",项目基本情况!D38,项目基本情况!E38)))</f>
        <v>0</v>
      </c>
      <c r="J2" s="2729"/>
      <c r="K2" s="1373"/>
      <c r="L2" s="2730" t="s">
        <v>2811</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2812</v>
      </c>
      <c r="B3" s="249" t="e">
        <f>ROUND(B2*10000/D1,0)</f>
        <v>#DIV/0!</v>
      </c>
      <c r="C3" s="2725" t="s">
        <v>2813</v>
      </c>
      <c r="D3" s="2726" t="s">
        <v>2814</v>
      </c>
      <c r="E3" s="2731"/>
      <c r="F3" s="2732" t="s">
        <v>2815</v>
      </c>
      <c r="G3" s="916" t="e">
        <f>IF(F3="宗地容积率",'数据-汇总表'!I4,IF(F3="估价对象容积率",'数据-汇总表'!I6,'数据-汇总表'!I7))</f>
        <v>#DIV/0!</v>
      </c>
      <c r="H3" s="199" t="s">
        <v>2816</v>
      </c>
      <c r="I3" s="947"/>
      <c r="J3" s="2729" t="s">
        <v>2817</v>
      </c>
      <c r="K3" s="1373"/>
      <c r="L3" s="2730" t="s">
        <v>2818</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368"/>
      <c r="B4" s="3369"/>
      <c r="C4" s="3369"/>
      <c r="D4" s="3370"/>
      <c r="E4" s="3370"/>
      <c r="F4" s="3370"/>
      <c r="G4" s="3370"/>
      <c r="H4" s="3370"/>
      <c r="I4" s="3370"/>
      <c r="J4" s="3371"/>
      <c r="K4" s="1373"/>
      <c r="L4" s="2730" t="s">
        <v>2819</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2820</v>
      </c>
      <c r="C5" s="917" t="e">
        <f>ROUND(IF(E2="商业",IF(F16="增加",C6*C7+C16,C6*C7-C16),IF(E2="住宅",IF(F16="增加",C6*C12+C16,C6*C12-C16),IF(F16="增加",C6+C16,C6-C16))),0)</f>
        <v>#DIV/0!</v>
      </c>
      <c r="D5" s="1791">
        <f>ROUND(IF(E2="商业",IF(F16="增加",C6+C16,C6-C16)),0)</f>
        <v>0</v>
      </c>
      <c r="E5" s="2735"/>
      <c r="F5" s="2735"/>
      <c r="G5" s="2736"/>
      <c r="H5" s="2736"/>
      <c r="I5" s="2736"/>
      <c r="J5" s="2737"/>
      <c r="K5" s="2738"/>
      <c r="L5" s="2730" t="s">
        <v>2821</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9"/>
      <c r="AD5" s="2740"/>
      <c r="AE5" s="2740"/>
      <c r="AF5" s="2740"/>
      <c r="AG5" s="2740"/>
      <c r="AH5" s="2740"/>
      <c r="AI5" s="2740"/>
      <c r="AJ5" s="2741"/>
    </row>
    <row r="6" spans="1:36" ht="15.75" thickBot="1">
      <c r="A6" s="2743" t="s">
        <v>2822</v>
      </c>
      <c r="B6" s="2744" t="s">
        <v>2823</v>
      </c>
      <c r="C6" s="918">
        <f>SUMIF(L1:L12,G2,M1:M12)</f>
        <v>0</v>
      </c>
      <c r="D6" s="2745" t="s">
        <v>2824</v>
      </c>
      <c r="E6" s="2746"/>
      <c r="F6" s="2746"/>
      <c r="G6" s="2747"/>
      <c r="H6" s="2747"/>
      <c r="I6" s="2747"/>
      <c r="J6" s="2748"/>
      <c r="K6" s="1846"/>
      <c r="L6" s="2730" t="s">
        <v>2825</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9"/>
      <c r="AD6" s="2740"/>
      <c r="AE6" s="2740"/>
      <c r="AF6" s="2740"/>
      <c r="AG6" s="2740"/>
      <c r="AH6" s="2740"/>
      <c r="AI6" s="2740"/>
      <c r="AJ6" s="2741"/>
    </row>
    <row r="7" spans="1:36" ht="24">
      <c r="A7" s="3354" t="str">
        <f>IF(E2="商业",IF(C8="不临58条商业街","",2),"")</f>
        <v/>
      </c>
      <c r="B7" s="2749" t="s">
        <v>2826</v>
      </c>
      <c r="C7" s="919" t="e">
        <f>IF(C8="不临58条商业街",1,ROUND(1+(1.6*E8+1.2*E9+0.8*E10+0.4*E11)*C9,4))</f>
        <v>#DIV/0!</v>
      </c>
      <c r="D7" s="2750" t="s">
        <v>2827</v>
      </c>
      <c r="E7" s="948"/>
      <c r="F7" s="2751"/>
      <c r="G7" s="2752"/>
      <c r="H7" s="2752"/>
      <c r="I7" s="2752"/>
      <c r="J7" s="2753"/>
      <c r="K7" s="1846"/>
      <c r="L7" s="2730" t="s">
        <v>2828</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2829</v>
      </c>
      <c r="X7" s="1608">
        <f>G2</f>
        <v>0</v>
      </c>
      <c r="Y7" s="1608" t="s">
        <v>2830</v>
      </c>
      <c r="Z7" s="1609" t="e">
        <f>G3</f>
        <v>#DIV/0!</v>
      </c>
      <c r="AA7" s="1610"/>
      <c r="AB7" s="1610"/>
      <c r="AC7" s="1611"/>
      <c r="AD7" s="1612"/>
      <c r="AE7" s="1612"/>
      <c r="AF7" s="1612"/>
      <c r="AG7" s="1612"/>
      <c r="AH7" s="1612"/>
      <c r="AI7" s="1612"/>
      <c r="AJ7" s="1613"/>
    </row>
    <row r="8" spans="1:36" ht="15">
      <c r="A8" s="3355"/>
      <c r="B8" s="199" t="s">
        <v>2831</v>
      </c>
      <c r="C8" s="2754"/>
      <c r="D8" s="920" t="s">
        <v>139</v>
      </c>
      <c r="E8" s="921" t="e">
        <f>ROUND(C11/E7,4)</f>
        <v>#DIV/0!</v>
      </c>
      <c r="F8" s="2755" t="s">
        <v>2832</v>
      </c>
      <c r="G8" s="2756"/>
      <c r="H8" s="2756"/>
      <c r="I8" s="2756"/>
      <c r="J8" s="2757"/>
      <c r="K8" s="1373"/>
      <c r="L8" s="2730" t="s">
        <v>2833</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365" t="s">
        <v>2834</v>
      </c>
      <c r="X8" s="3366"/>
      <c r="Y8" s="1614" t="s">
        <v>2835</v>
      </c>
      <c r="Z8" s="1614" t="s">
        <v>2836</v>
      </c>
      <c r="AA8" s="1614" t="s">
        <v>2837</v>
      </c>
      <c r="AB8" s="1614" t="s">
        <v>2838</v>
      </c>
      <c r="AC8" s="1614" t="s">
        <v>2839</v>
      </c>
      <c r="AD8" s="1614" t="s">
        <v>2840</v>
      </c>
      <c r="AE8" s="1614" t="s">
        <v>2841</v>
      </c>
      <c r="AF8" s="1614" t="s">
        <v>2842</v>
      </c>
      <c r="AG8" s="1614" t="s">
        <v>2843</v>
      </c>
      <c r="AH8" s="1614" t="s">
        <v>2844</v>
      </c>
      <c r="AI8" s="1614" t="s">
        <v>2845</v>
      </c>
      <c r="AJ8" s="1614" t="s">
        <v>2846</v>
      </c>
    </row>
    <row r="9" spans="1:36" ht="15">
      <c r="A9" s="3355"/>
      <c r="B9" s="199" t="s">
        <v>2847</v>
      </c>
      <c r="C9" s="922">
        <f>SUMIF(修正!C59:C119,C8,修正!E59:E119)</f>
        <v>0</v>
      </c>
      <c r="D9" s="201" t="s">
        <v>140</v>
      </c>
      <c r="E9" s="201" t="e">
        <f>ROUND(C11/E7,4)</f>
        <v>#DIV/0!</v>
      </c>
      <c r="F9" s="2755" t="s">
        <v>2848</v>
      </c>
      <c r="G9" s="2756"/>
      <c r="H9" s="2756"/>
      <c r="I9" s="2756"/>
      <c r="J9" s="2757"/>
      <c r="K9" s="1373"/>
      <c r="L9" s="2730" t="s">
        <v>2849</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367" t="s">
        <v>2850</v>
      </c>
      <c r="X9" s="1615" t="s">
        <v>2851</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55"/>
      <c r="B10" s="199" t="s">
        <v>2852</v>
      </c>
      <c r="C10" s="201">
        <f>SUMIF(修正!C59:C119,C8,修正!F59:F119)</f>
        <v>0</v>
      </c>
      <c r="D10" s="201" t="s">
        <v>141</v>
      </c>
      <c r="E10" s="201" t="e">
        <f>ROUND(C11/E7,4)</f>
        <v>#DIV/0!</v>
      </c>
      <c r="F10" s="2755" t="s">
        <v>2853</v>
      </c>
      <c r="G10" s="2756"/>
      <c r="H10" s="2756"/>
      <c r="I10" s="2756"/>
      <c r="J10" s="2757"/>
      <c r="K10" s="1373"/>
      <c r="L10" s="2730" t="s">
        <v>2854</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36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55"/>
      <c r="B11" s="2758" t="s">
        <v>2855</v>
      </c>
      <c r="C11" s="923">
        <f>C10/4</f>
        <v>0</v>
      </c>
      <c r="D11" s="923" t="s">
        <v>142</v>
      </c>
      <c r="E11" s="923" t="e">
        <f>ROUND(C11/E7,4)</f>
        <v>#DIV/0!</v>
      </c>
      <c r="F11" s="2759" t="s">
        <v>2856</v>
      </c>
      <c r="G11" s="2760"/>
      <c r="H11" s="2760"/>
      <c r="I11" s="2760"/>
      <c r="J11" s="2761"/>
      <c r="K11" s="1373"/>
      <c r="L11" s="2730" t="s">
        <v>2857</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367" t="s">
        <v>2858</v>
      </c>
      <c r="X11" s="1618" t="s">
        <v>2859</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354" t="s">
        <v>2860</v>
      </c>
      <c r="B12" s="2762" t="s">
        <v>2861</v>
      </c>
      <c r="C12" s="919">
        <f>ROUND(C15*D15*E15*F15*G15*H15*I15*J15,4)</f>
        <v>1</v>
      </c>
      <c r="D12" s="2763" t="s">
        <v>2862</v>
      </c>
      <c r="E12" s="2764"/>
      <c r="F12" s="2764"/>
      <c r="G12" s="2765"/>
      <c r="H12" s="2765"/>
      <c r="I12" s="2765"/>
      <c r="J12" s="2766"/>
      <c r="K12" s="1373"/>
      <c r="L12" s="2767" t="s">
        <v>2863</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367"/>
      <c r="X12" s="1620" t="s">
        <v>2864</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72"/>
      <c r="B13" s="2768" t="s">
        <v>2865</v>
      </c>
      <c r="C13" s="2769" t="s">
        <v>2866</v>
      </c>
      <c r="D13" s="1812" t="s">
        <v>2867</v>
      </c>
      <c r="E13" s="1812" t="s">
        <v>2868</v>
      </c>
      <c r="F13" s="30" t="s">
        <v>2869</v>
      </c>
      <c r="G13" s="2770" t="s">
        <v>2870</v>
      </c>
      <c r="H13" s="2770" t="s">
        <v>2870</v>
      </c>
      <c r="I13" s="2770" t="s">
        <v>2870</v>
      </c>
      <c r="J13" s="2771" t="s">
        <v>2870</v>
      </c>
      <c r="K13" s="1373"/>
      <c r="L13" s="1373"/>
      <c r="M13" s="1373"/>
      <c r="N13" s="1373"/>
      <c r="O13" s="1373"/>
      <c r="P13" s="1373"/>
      <c r="Q13" s="1373"/>
      <c r="R13" s="1606">
        <v>12</v>
      </c>
      <c r="S13" s="1607"/>
      <c r="T13" s="1606" t="e">
        <f t="shared" si="0"/>
        <v>#DIV/0!</v>
      </c>
      <c r="U13" s="1607"/>
      <c r="V13" s="1606" t="e">
        <f t="shared" si="1"/>
        <v>#DIV/0!</v>
      </c>
      <c r="W13" s="3367"/>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372"/>
      <c r="B14" s="2772"/>
      <c r="C14" s="2773"/>
      <c r="D14" s="2774"/>
      <c r="E14" s="2774"/>
      <c r="F14" s="2775"/>
      <c r="G14" s="2776" t="s">
        <v>2871</v>
      </c>
      <c r="H14" s="2777"/>
      <c r="I14" s="2778"/>
      <c r="J14" s="2779"/>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373"/>
      <c r="B15" s="2780" t="s">
        <v>2872</v>
      </c>
      <c r="C15" s="230">
        <f>IF(C14="有",1.1,1)</f>
        <v>1</v>
      </c>
      <c r="D15" s="230">
        <f>IF(D14="有",1.1,1)</f>
        <v>1</v>
      </c>
      <c r="E15" s="230">
        <f>IF(E14="有",1.1,1)</f>
        <v>1</v>
      </c>
      <c r="F15" s="230">
        <f>IF(F14="500米范围内",1.2,IF(F14="500-1000米",1.1,1))</f>
        <v>1</v>
      </c>
      <c r="G15" s="949">
        <v>1</v>
      </c>
      <c r="H15" s="949">
        <v>1</v>
      </c>
      <c r="I15" s="949">
        <v>1</v>
      </c>
      <c r="J15" s="950">
        <v>1</v>
      </c>
      <c r="K15" s="1373"/>
      <c r="L15" s="2781" t="s">
        <v>2808</v>
      </c>
      <c r="M15" s="920" t="s">
        <v>2873</v>
      </c>
      <c r="N15" s="920" t="s">
        <v>2874</v>
      </c>
      <c r="O15" s="920" t="s">
        <v>2875</v>
      </c>
      <c r="P15" s="2782" t="s">
        <v>2876</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354" t="s">
        <v>2877</v>
      </c>
      <c r="B16" s="2749" t="s">
        <v>2878</v>
      </c>
      <c r="C16" s="1805" t="e">
        <f>ROUND(SUM(G17:J17)/C17,0)</f>
        <v>#DIV/0!</v>
      </c>
      <c r="D16" s="2783" t="s">
        <v>2879</v>
      </c>
      <c r="E16" s="2784"/>
      <c r="F16" s="2785"/>
      <c r="G16" s="2786"/>
      <c r="H16" s="2786"/>
      <c r="I16" s="2786"/>
      <c r="J16" s="2787"/>
      <c r="K16" s="1373"/>
      <c r="L16" s="2788" t="s">
        <v>2880</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355"/>
      <c r="B17" s="2789" t="s">
        <v>2881</v>
      </c>
      <c r="C17" s="924">
        <f>SUMPRODUCT((修正!A2:A5=E2)*(修正!B1:M1=G2)*(修正!B2:M5))</f>
        <v>0</v>
      </c>
      <c r="D17" s="2790"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2884</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2885</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2886</v>
      </c>
      <c r="C19" s="927" t="e">
        <f>ROUND(IF(H19="按公示增长率计算",SUMPRODUCT((地价!A3:A20=YEAR(G19)&amp;"-"&amp;ROUNDUP(MONTH(G19)/3,0))*(地价!X2:AB2=E2)*(地价!X3:AB20)),IF(H19="地价指数",M20/M19,(1+I19)^O19)),4)</f>
        <v>#DIV/0!</v>
      </c>
      <c r="D19" s="2801" t="s">
        <v>2887</v>
      </c>
      <c r="E19" s="928">
        <v>41640</v>
      </c>
      <c r="F19" s="2801" t="s">
        <v>2888</v>
      </c>
      <c r="G19" s="929">
        <f>'数据-取费表'!B2</f>
        <v>43047</v>
      </c>
      <c r="H19" s="2802" t="s">
        <v>2889</v>
      </c>
      <c r="I19" s="930" t="str">
        <f>IF(H19="季度增幅（自定义）",SUMIF(N21:N24,E2,O21:O24),"")</f>
        <v/>
      </c>
      <c r="J19" s="2799"/>
      <c r="K19" s="1380"/>
      <c r="L19" s="2803" t="s">
        <v>2890</v>
      </c>
      <c r="M19" s="1738">
        <f>ROUND(SUMIF(地价!B2:F2,E2,地价!B20:F20),0)</f>
        <v>0</v>
      </c>
      <c r="N19" s="2804" t="s">
        <v>2891</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2892</v>
      </c>
      <c r="C20" s="932" t="e">
        <f>ROUND(POWER(1+G20,J20-I20)*(POWER(1+G20,I20)-1)/(POWER(1+G20,J20)-1),4)</f>
        <v>#DIV/0!</v>
      </c>
      <c r="D20" s="2810" t="s">
        <v>2893</v>
      </c>
      <c r="E20" s="1772">
        <f ca="1">存贷款利率!D4/100</f>
        <v>4.3499999999999997E-2</v>
      </c>
      <c r="F20" s="2810" t="s">
        <v>2884</v>
      </c>
      <c r="G20" s="937">
        <f>SUMIF(M15:P15,E2,M17:P17)</f>
        <v>0</v>
      </c>
      <c r="H20" s="2810" t="s">
        <v>2894</v>
      </c>
      <c r="I20" s="938" t="e">
        <f>SUMIF('数据-取费表'!C6:C15,E2,'数据-取费表'!F6:F15)/COUNTIF('数据-取费表'!C6:C15,E2)</f>
        <v>#DIV/0!</v>
      </c>
      <c r="J20" s="939">
        <f>IF(E2="住宅",70,IF(E2="商业",40,50))</f>
        <v>50</v>
      </c>
      <c r="K20" s="1380"/>
      <c r="L20" s="2811" t="s">
        <v>2895</v>
      </c>
      <c r="M20" s="1739">
        <f>ROUND(SUMPRODUCT((地价!A5:A20=YEAR(G19)&amp;"-"&amp;ROUNDUP(MONTH(G19)/3,0))*(地价!B2:F2=E2)*(地价!B5:F20)),0)</f>
        <v>0</v>
      </c>
      <c r="N20" s="2812" t="s">
        <v>2896</v>
      </c>
      <c r="O20" s="2813" t="s">
        <v>2897</v>
      </c>
      <c r="P20" s="2814" t="s">
        <v>2898</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2899</v>
      </c>
      <c r="C21" s="940" t="e">
        <f>IF(B21="容积率修正",IF(G3&lt;=10,D22,J22),C23)</f>
        <v>#DIV/0!</v>
      </c>
      <c r="D21" s="2817"/>
      <c r="E21" s="2817"/>
      <c r="F21" s="2817"/>
      <c r="G21" s="2817"/>
      <c r="H21" s="2817"/>
      <c r="I21" s="2817"/>
      <c r="J21" s="2818"/>
      <c r="K21" s="1380"/>
      <c r="N21" s="2819" t="s">
        <v>2900</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2901</v>
      </c>
      <c r="B22" s="2820" t="s">
        <v>2902</v>
      </c>
      <c r="C22" s="1814" t="s">
        <v>2903</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19" t="s">
        <v>2904</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2905</v>
      </c>
      <c r="B23" s="2821" t="s">
        <v>2906</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2907</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2908</v>
      </c>
      <c r="C24" s="927">
        <f>SUMIF(A45:A88,E2,B45:B88)</f>
        <v>0</v>
      </c>
      <c r="D24" s="2797"/>
      <c r="E24" s="2827"/>
      <c r="F24" s="2827"/>
      <c r="G24" s="2827"/>
      <c r="H24" s="2827"/>
      <c r="I24" s="2827"/>
      <c r="J24" s="2828"/>
      <c r="K24" s="1380"/>
      <c r="N24" s="2829" t="s">
        <v>2909</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2910</v>
      </c>
      <c r="C25" s="933"/>
      <c r="D25" s="2752"/>
      <c r="E25" s="2752"/>
      <c r="F25" s="2831"/>
      <c r="G25" s="2752"/>
      <c r="H25" s="2752"/>
      <c r="I25" s="2752"/>
      <c r="J25" s="2753"/>
      <c r="K25" s="1373"/>
      <c r="N25" s="2832" t="s">
        <v>2911</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2912</v>
      </c>
      <c r="C26" s="207"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2913</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2914</v>
      </c>
      <c r="C28" s="2844" t="s">
        <v>2915</v>
      </c>
      <c r="D28" s="2844" t="s">
        <v>2916</v>
      </c>
      <c r="E28" s="2845" t="s">
        <v>2917</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2918</v>
      </c>
      <c r="C29" s="207" t="e">
        <f>ROUND(C5*C18*C19*C20*C21*C24,0)</f>
        <v>#DIV/0!</v>
      </c>
      <c r="D29" s="2849"/>
      <c r="E29" s="945" t="e">
        <f>ROUND(C29*D29/10000,0)</f>
        <v>#DIV/0!</v>
      </c>
      <c r="F29" s="2850" t="s">
        <v>2919</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2920</v>
      </c>
      <c r="C30" s="230" t="e">
        <f>ROUND(IF(E2="工业",C29*M39,C29*M38),0)</f>
        <v>#DIV/0!</v>
      </c>
      <c r="D30" s="2855"/>
      <c r="E30" s="945" t="e">
        <f>ROUND(C30*D30/10000,0)</f>
        <v>#DIV/0!</v>
      </c>
      <c r="F30" s="2856" t="s">
        <v>2921</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2922</v>
      </c>
      <c r="C31" s="2861" t="s">
        <v>2923</v>
      </c>
      <c r="D31" s="2765"/>
      <c r="E31" s="2861"/>
      <c r="F31" s="2861"/>
      <c r="G31" s="2763" t="s">
        <v>2924</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2" t="s">
        <v>2915</v>
      </c>
      <c r="D32" s="499" t="s">
        <v>2916</v>
      </c>
      <c r="E32" s="499" t="s">
        <v>2917</v>
      </c>
      <c r="F32" s="389" t="s">
        <v>2925</v>
      </c>
      <c r="G32" s="2864" t="s">
        <v>2915</v>
      </c>
      <c r="H32" s="2864" t="s">
        <v>2916</v>
      </c>
      <c r="I32" s="2864" t="s">
        <v>2917</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62" t="s">
        <v>2926</v>
      </c>
      <c r="B33" s="2865" t="s">
        <v>2927</v>
      </c>
      <c r="C33" s="207" t="e">
        <f>ROUND(D5*C19*C20*C24*F33,0)</f>
        <v>#DIV/0!</v>
      </c>
      <c r="D33" s="2849"/>
      <c r="E33" s="201" t="e">
        <f>ROUND(C33*D33/10000,0)</f>
        <v>#DIV/0!</v>
      </c>
      <c r="F33" s="201">
        <f>SUMIF(修正!A45:A56,G2,修正!B45:B56)</f>
        <v>0</v>
      </c>
      <c r="G33" s="201" t="e">
        <f t="shared" ref="G33:G39" si="6">ROUND(IF(E2="工业",C33*$M$39,C33*$M$38),0)</f>
        <v>#DIV/0!</v>
      </c>
      <c r="H33" s="201">
        <f>D33</f>
        <v>0</v>
      </c>
      <c r="I33" s="201"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63"/>
      <c r="B34" s="2769" t="s">
        <v>2928</v>
      </c>
      <c r="C34" s="207" t="e">
        <f>ROUND(D5*C19*C20*C24*F34,0)</f>
        <v>#DIV/0!</v>
      </c>
      <c r="D34" s="2849"/>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3"/>
      <c r="B35" s="2769" t="s">
        <v>2929</v>
      </c>
      <c r="C35" s="207" t="e">
        <f>ROUND(D5*C19*C20*C24*F35,0)</f>
        <v>#DIV/0!</v>
      </c>
      <c r="D35" s="2849"/>
      <c r="E35" s="201" t="e">
        <f t="shared" si="7"/>
        <v>#DIV/0!</v>
      </c>
      <c r="F35" s="201">
        <f>SUMIF(修正!A45:A56,G2,修正!D45:D56)</f>
        <v>0</v>
      </c>
      <c r="G35" s="201" t="e">
        <f t="shared" si="6"/>
        <v>#DIV/0!</v>
      </c>
      <c r="H35" s="201">
        <f t="shared" si="8"/>
        <v>0</v>
      </c>
      <c r="I35" s="201"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64"/>
      <c r="B36" s="2769" t="s">
        <v>2930</v>
      </c>
      <c r="C36" s="207" t="e">
        <f>ROUND(D5*C19*C20*C24*F36,0)</f>
        <v>#DIV/0!</v>
      </c>
      <c r="D36" s="2849"/>
      <c r="E36" s="201" t="e">
        <f t="shared" si="7"/>
        <v>#DIV/0!</v>
      </c>
      <c r="F36" s="201">
        <f>SUMIF(修正!A45:A56,G2,修正!E45:E56)</f>
        <v>0</v>
      </c>
      <c r="G36" s="201" t="e">
        <f t="shared" si="6"/>
        <v>#DIV/0!</v>
      </c>
      <c r="H36" s="201">
        <f t="shared" si="8"/>
        <v>0</v>
      </c>
      <c r="I36" s="201"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2931</v>
      </c>
      <c r="C37" s="201" t="e">
        <f>ROUND(C5*C19*C20*C24*F37,0)</f>
        <v>#DIV/0!</v>
      </c>
      <c r="D37" s="2849"/>
      <c r="E37" s="201" t="e">
        <f t="shared" si="7"/>
        <v>#DIV/0!</v>
      </c>
      <c r="F37" s="207">
        <f>SUMIF(修正!A45:A56,G2,修正!F45:F56)</f>
        <v>0</v>
      </c>
      <c r="G37" s="201" t="e">
        <f t="shared" si="6"/>
        <v>#DIV/0!</v>
      </c>
      <c r="H37" s="201">
        <f t="shared" si="8"/>
        <v>0</v>
      </c>
      <c r="I37" s="201" t="e">
        <f t="shared" si="9"/>
        <v>#DIV/0!</v>
      </c>
      <c r="J37" s="2866"/>
      <c r="K37" s="1373"/>
      <c r="L37" s="2868" t="s">
        <v>2932</v>
      </c>
      <c r="M37" s="2869"/>
      <c r="N37" s="1373"/>
      <c r="O37" s="1373"/>
      <c r="P37" s="1373"/>
      <c r="Q37" s="1373"/>
      <c r="R37" s="1373"/>
      <c r="S37" s="1373"/>
      <c r="T37" s="1373"/>
      <c r="U37" s="1373"/>
      <c r="V37" s="1373"/>
      <c r="W37" s="1373"/>
      <c r="X37" s="1373"/>
      <c r="Y37" s="1373"/>
      <c r="Z37" s="1374"/>
    </row>
    <row r="38" spans="1:37">
      <c r="A38" s="2867"/>
      <c r="B38" s="2769" t="s">
        <v>2933</v>
      </c>
      <c r="C38" s="201" t="e">
        <f>ROUND(C5*C19*C20*C24*F38,0)</f>
        <v>#DIV/0!</v>
      </c>
      <c r="D38" s="2849"/>
      <c r="E38" s="201" t="e">
        <f t="shared" si="7"/>
        <v>#DIV/0!</v>
      </c>
      <c r="F38" s="207">
        <f>SUMIF(修正!A45:A56,G2,修正!G45:G56)</f>
        <v>0</v>
      </c>
      <c r="G38" s="201" t="e">
        <f t="shared" si="6"/>
        <v>#DIV/0!</v>
      </c>
      <c r="H38" s="201">
        <f t="shared" si="8"/>
        <v>0</v>
      </c>
      <c r="I38" s="201" t="e">
        <f t="shared" si="9"/>
        <v>#DIV/0!</v>
      </c>
      <c r="J38" s="2866"/>
      <c r="K38" s="1373"/>
      <c r="L38" s="1891" t="s">
        <v>2934</v>
      </c>
      <c r="M38" s="2870">
        <v>0.25</v>
      </c>
      <c r="N38" s="1373"/>
      <c r="O38" s="1373"/>
      <c r="P38" s="1373"/>
      <c r="Q38" s="1373"/>
      <c r="R38" s="1373"/>
      <c r="S38" s="1373"/>
      <c r="T38" s="1373"/>
      <c r="U38" s="1373"/>
      <c r="V38" s="1373"/>
      <c r="W38" s="1373"/>
      <c r="X38" s="1373"/>
      <c r="Y38" s="1373"/>
      <c r="Z38" s="1374"/>
    </row>
    <row r="39" spans="1:37" ht="13.5" thickBot="1">
      <c r="A39" s="2853"/>
      <c r="B39" s="2871" t="s">
        <v>2935</v>
      </c>
      <c r="C39" s="230" t="e">
        <f>ROUND(C5*C19*C20*C24*F39,0)</f>
        <v>#DIV/0!</v>
      </c>
      <c r="D39" s="2855"/>
      <c r="E39" s="230" t="e">
        <f t="shared" si="7"/>
        <v>#DIV/0!</v>
      </c>
      <c r="F39" s="935">
        <f>SUMIF(修正!A45:A56,G2,修正!H45:H56)</f>
        <v>0</v>
      </c>
      <c r="G39" s="230" t="e">
        <f t="shared" si="6"/>
        <v>#DIV/0!</v>
      </c>
      <c r="H39" s="230">
        <f t="shared" si="8"/>
        <v>0</v>
      </c>
      <c r="I39" s="230" t="e">
        <f t="shared" si="9"/>
        <v>#DIV/0!</v>
      </c>
      <c r="J39" s="2872"/>
      <c r="K39" s="1373"/>
      <c r="L39" s="2873" t="s">
        <v>2876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2936</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2937</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2938</v>
      </c>
      <c r="B47" s="1813" t="s">
        <v>2939</v>
      </c>
      <c r="C47" s="1813" t="s">
        <v>2940</v>
      </c>
      <c r="D47" s="1813" t="s">
        <v>2941</v>
      </c>
      <c r="E47" s="819" t="s">
        <v>2942</v>
      </c>
      <c r="F47" s="2883" t="s">
        <v>2943</v>
      </c>
      <c r="G47" s="1813" t="s">
        <v>754</v>
      </c>
      <c r="H47" s="2884" t="s">
        <v>2944</v>
      </c>
      <c r="I47" s="1813" t="s">
        <v>2945</v>
      </c>
      <c r="J47" s="604" t="s">
        <v>2591</v>
      </c>
      <c r="K47" s="604" t="s">
        <v>2592</v>
      </c>
      <c r="L47" s="604" t="s">
        <v>2593</v>
      </c>
      <c r="M47" s="604" t="s">
        <v>2594</v>
      </c>
      <c r="N47" s="604" t="s">
        <v>2595</v>
      </c>
      <c r="AA47" s="1374"/>
      <c r="AB47" s="1374"/>
      <c r="AC47" s="1374"/>
      <c r="AD47" s="1374"/>
      <c r="AE47" s="1374"/>
      <c r="AF47" s="1374"/>
      <c r="AG47" s="1374"/>
      <c r="AH47" s="1374"/>
      <c r="AI47" s="1374"/>
      <c r="AJ47" s="1374"/>
      <c r="AK47" s="1374"/>
    </row>
    <row r="48" spans="1:37" s="1373" customFormat="1" ht="24.75">
      <c r="A48" s="2882" t="s">
        <v>2946</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2" t="s">
        <v>2947</v>
      </c>
      <c r="B49" s="2886" t="str">
        <f>估价对象房地状况!C18</f>
        <v>估价对象周边2公里范围内路网密集、有57、72、300路等多辆公交车经过，有1号线、7号线、10号线经过，周边停车便捷，综合评价交通便捷度好。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2948</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2949</v>
      </c>
      <c r="B51" s="2887" t="s">
        <v>2950</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2951</v>
      </c>
      <c r="B52" s="2886" t="str">
        <f>估价对象房地状况!C24</f>
        <v>城市支路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2952</v>
      </c>
      <c r="B53" s="2888" t="s">
        <v>2953</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2954</v>
      </c>
      <c r="B54" s="1729" t="str">
        <f>估价对象房地状况!C21</f>
        <v>估价对象所在区域公共配套设施齐备</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2955</v>
      </c>
      <c r="B55" s="2886" t="str">
        <f>估价对象房地状况!C22</f>
        <v>估价对象所在区域基础设施水平可达红线外“七通”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0" t="s">
        <v>2956</v>
      </c>
      <c r="B56" s="2891" t="str">
        <f>估价对象房地状况!C20</f>
        <v>区域有一定数量大型绿化，自然环境一般：周边有一定数量图书馆，歌剧院等，无高等院校等，人文环境一般；综合评价环境状况一般。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2957</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2938</v>
      </c>
      <c r="B58" s="1813"/>
      <c r="C58" s="1813" t="s">
        <v>2940</v>
      </c>
      <c r="D58" s="1813" t="s">
        <v>2941</v>
      </c>
      <c r="E58" s="819" t="s">
        <v>2942</v>
      </c>
      <c r="F58" s="2883" t="s">
        <v>2958</v>
      </c>
      <c r="G58" s="1813" t="s">
        <v>754</v>
      </c>
      <c r="H58" s="2884" t="s">
        <v>2944</v>
      </c>
      <c r="I58" s="1813" t="s">
        <v>2945</v>
      </c>
      <c r="J58" s="604" t="s">
        <v>2591</v>
      </c>
      <c r="K58" s="604" t="s">
        <v>2592</v>
      </c>
      <c r="L58" s="604" t="s">
        <v>2593</v>
      </c>
      <c r="M58" s="604" t="s">
        <v>2594</v>
      </c>
      <c r="N58" s="604" t="s">
        <v>2595</v>
      </c>
      <c r="AA58" s="1374"/>
      <c r="AB58" s="1374"/>
      <c r="AC58" s="1374"/>
      <c r="AD58" s="1374"/>
      <c r="AE58" s="1374"/>
      <c r="AF58" s="1374"/>
      <c r="AG58" s="1374"/>
      <c r="AH58" s="1374"/>
      <c r="AI58" s="1374"/>
      <c r="AJ58" s="1374"/>
      <c r="AK58" s="1374"/>
    </row>
    <row r="59" spans="1:37" s="1373" customFormat="1" ht="63.75">
      <c r="A59" s="2882" t="s">
        <v>2959</v>
      </c>
      <c r="B59" s="2885" t="str">
        <f>估价对象房地状况!C17</f>
        <v>估价对象位于国贸商圈，周边办公楼项目较多，有富力中心，乐成中心、佳龙大厦等，入驻率较高，办公集聚程度较好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2" t="s">
        <v>2947</v>
      </c>
      <c r="B60" s="2886" t="str">
        <f>估价对象房地状况!C18</f>
        <v>估价对象周边2公里范围内路网密集、有57、72、300路等多辆公交车经过，有1号线、7号线、10号线经过，周边停车便捷，综合评价交通便捷度好。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2948</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2949</v>
      </c>
      <c r="B62" s="2887" t="s">
        <v>2950</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2951</v>
      </c>
      <c r="B63" s="2886" t="str">
        <f>估价对象房地状况!C24</f>
        <v>城市支路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2952</v>
      </c>
      <c r="B64" s="2888" t="s">
        <v>2953</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2954</v>
      </c>
      <c r="B65" s="1729" t="str">
        <f>估价对象房地状况!C21</f>
        <v>估价对象所在区域公共配套设施齐备</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2955</v>
      </c>
      <c r="B66" s="1729" t="str">
        <f>估价对象房地状况!C22</f>
        <v>估价对象所在区域基础设施水平可达红线外“七通”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0" t="s">
        <v>2956</v>
      </c>
      <c r="B67" s="2892" t="str">
        <f>估价对象房地状况!C20</f>
        <v>区域有一定数量大型绿化，自然环境一般：周边有一定数量图书馆，歌剧院等，无高等院校等，人文环境一般；综合评价环境状况一般。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2960</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2938</v>
      </c>
      <c r="B69" s="1813"/>
      <c r="C69" s="1813" t="s">
        <v>2940</v>
      </c>
      <c r="D69" s="1813" t="s">
        <v>2941</v>
      </c>
      <c r="E69" s="819" t="s">
        <v>2942</v>
      </c>
      <c r="F69" s="2883" t="s">
        <v>2958</v>
      </c>
      <c r="G69" s="1813" t="s">
        <v>754</v>
      </c>
      <c r="H69" s="2884" t="s">
        <v>2944</v>
      </c>
      <c r="I69" s="1813" t="s">
        <v>2945</v>
      </c>
      <c r="J69" s="604" t="s">
        <v>2591</v>
      </c>
      <c r="K69" s="604" t="s">
        <v>2592</v>
      </c>
      <c r="L69" s="604" t="s">
        <v>2593</v>
      </c>
      <c r="M69" s="604" t="s">
        <v>2594</v>
      </c>
      <c r="N69" s="604" t="s">
        <v>2595</v>
      </c>
      <c r="AA69" s="1374"/>
      <c r="AB69" s="1374"/>
      <c r="AC69" s="1374"/>
      <c r="AD69" s="1374"/>
      <c r="AE69" s="1374"/>
      <c r="AF69" s="1374"/>
      <c r="AG69" s="1374"/>
      <c r="AH69" s="1374"/>
      <c r="AI69" s="1374"/>
      <c r="AJ69" s="1374"/>
      <c r="AK69" s="1374"/>
    </row>
    <row r="70" spans="1:37" s="1373" customFormat="1" ht="24">
      <c r="A70" s="2882" t="s">
        <v>2961</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2" t="s">
        <v>2947</v>
      </c>
      <c r="B71" s="2886" t="str">
        <f>估价对象房地状况!C18</f>
        <v>估价对象周边2公里范围内路网密集、有57、72、300路等多辆公交车经过，有1号线、7号线、10号线经过，周边停车便捷，综合评价交通便捷度好。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2948</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2962</v>
      </c>
      <c r="B73" s="2886" t="str">
        <f>估价对象房地状况!C24</f>
        <v>城市支路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2954</v>
      </c>
      <c r="B74" s="1729" t="str">
        <f>估价对象房地状况!C21</f>
        <v>估价对象所在区域公共配套设施齐备</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2955</v>
      </c>
      <c r="B75" s="1729" t="str">
        <f>估价对象房地状况!C22</f>
        <v>估价对象所在区域基础设施水平可达红线外“七通”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2952</v>
      </c>
      <c r="B76" s="2888" t="s">
        <v>2953</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76.5">
      <c r="A77" s="2882" t="s">
        <v>2956</v>
      </c>
      <c r="B77" s="2885" t="str">
        <f>估价对象房地状况!C20</f>
        <v>区域有一定数量大型绿化，自然环境一般：周边有一定数量图书馆，歌剧院等，无高等院校等，人文环境一般；综合评价环境状况一般。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2963</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2964</v>
      </c>
      <c r="B79" s="2879">
        <f>1+E81</f>
        <v>1</v>
      </c>
      <c r="C79" s="814"/>
      <c r="D79" s="814"/>
      <c r="E79" s="815"/>
      <c r="F79" s="2881"/>
      <c r="G79" s="6"/>
      <c r="H79" s="6"/>
      <c r="I79" s="6"/>
      <c r="J79" s="7"/>
      <c r="K79" s="7"/>
      <c r="L79" s="7"/>
      <c r="M79" s="7"/>
      <c r="N79" s="7"/>
      <c r="Z79" s="2724"/>
      <c r="AA79" s="2800"/>
      <c r="AG79" s="1375"/>
      <c r="AK79" s="2800"/>
    </row>
    <row r="80" spans="1:37" ht="24.75">
      <c r="A80" s="2882" t="s">
        <v>2938</v>
      </c>
      <c r="B80" s="1813"/>
      <c r="C80" s="1813" t="s">
        <v>2940</v>
      </c>
      <c r="D80" s="1813" t="s">
        <v>2941</v>
      </c>
      <c r="E80" s="819" t="s">
        <v>2942</v>
      </c>
      <c r="F80" s="2883" t="s">
        <v>2958</v>
      </c>
      <c r="G80" s="1813" t="s">
        <v>754</v>
      </c>
      <c r="H80" s="2884" t="s">
        <v>2944</v>
      </c>
      <c r="I80" s="1813" t="s">
        <v>2945</v>
      </c>
      <c r="J80" s="604" t="s">
        <v>2591</v>
      </c>
      <c r="K80" s="604" t="s">
        <v>2592</v>
      </c>
      <c r="L80" s="604" t="s">
        <v>2593</v>
      </c>
      <c r="M80" s="604" t="s">
        <v>2594</v>
      </c>
      <c r="N80" s="604" t="s">
        <v>2595</v>
      </c>
      <c r="Z80" s="2724"/>
      <c r="AA80" s="2800"/>
      <c r="AG80" s="1375"/>
      <c r="AK80" s="2800"/>
    </row>
    <row r="81" spans="1:37" ht="24">
      <c r="A81" s="2882" t="s">
        <v>2965</v>
      </c>
      <c r="B81" s="2886">
        <f>估价对象房地状况!G15</f>
        <v>0</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14.25">
      <c r="A82" s="2882" t="s">
        <v>2947</v>
      </c>
      <c r="B82" s="2886">
        <f>估价对象房地状况!G16</f>
        <v>0</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2948</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2962</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4">
      <c r="A85" s="2882" t="s">
        <v>2954</v>
      </c>
      <c r="B85" s="1729">
        <f>估价对象房地状况!G19</f>
        <v>0</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4">
      <c r="A86" s="2882" t="s">
        <v>2955</v>
      </c>
      <c r="B86" s="1729">
        <f>估价对象房地状况!G20</f>
        <v>0</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2952</v>
      </c>
      <c r="B87" s="2888" t="s">
        <v>2966</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15" thickBot="1">
      <c r="A88" s="2890" t="s">
        <v>2967</v>
      </c>
      <c r="B88" s="2895">
        <f>估价对象房地状况!G18</f>
        <v>0</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56" t="s">
        <v>2968</v>
      </c>
      <c r="B90" s="3356"/>
      <c r="C90" s="3356"/>
      <c r="D90" s="3356"/>
      <c r="E90" s="3356"/>
      <c r="F90" s="3356"/>
      <c r="G90" s="3356"/>
      <c r="H90" s="3356"/>
      <c r="I90" s="3356"/>
      <c r="J90" s="3356"/>
      <c r="K90" s="2896"/>
      <c r="L90" s="2896"/>
      <c r="M90" s="2896"/>
      <c r="N90" s="2896"/>
    </row>
    <row r="91" spans="1:37">
      <c r="A91" s="3358" t="s">
        <v>2969</v>
      </c>
      <c r="B91" s="3358" t="s">
        <v>2970</v>
      </c>
      <c r="C91" s="2850" t="s">
        <v>2971</v>
      </c>
      <c r="D91" s="2851"/>
      <c r="E91" s="2851"/>
      <c r="F91" s="2851"/>
      <c r="G91" s="2851"/>
      <c r="H91" s="2851"/>
      <c r="I91" s="2851"/>
      <c r="J91" s="2897"/>
      <c r="K91" s="2898"/>
      <c r="L91" s="2898"/>
      <c r="M91" s="2898"/>
      <c r="N91" s="2898"/>
    </row>
    <row r="92" spans="1:37">
      <c r="A92" s="3358"/>
      <c r="B92" s="3358"/>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359" t="s">
        <v>2972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6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6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6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6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6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60"/>
      <c r="B99" s="2899" t="s">
        <v>2851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6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59" t="s">
        <v>2973</v>
      </c>
      <c r="B101" s="2903" t="s">
        <v>2974</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60"/>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60"/>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60"/>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60"/>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60"/>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60"/>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60"/>
      <c r="B108" s="3184" t="s">
        <v>2975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61"/>
      <c r="B109" s="3185"/>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57" t="s">
        <v>2976</v>
      </c>
      <c r="B110" s="3357"/>
      <c r="C110" s="3357"/>
      <c r="D110" s="3357"/>
      <c r="E110" s="3357"/>
      <c r="F110" s="3357"/>
      <c r="G110" s="3357"/>
      <c r="H110" s="3357"/>
      <c r="I110" s="3357"/>
      <c r="J110" s="3357"/>
      <c r="K110" s="2905"/>
      <c r="L110" s="2905"/>
      <c r="M110" s="2905"/>
      <c r="N110" s="2905"/>
    </row>
    <row r="112" spans="1:14" ht="13.5" thickBot="1"/>
    <row r="113" spans="1:13" ht="25.5" thickBot="1">
      <c r="A113" s="903" t="s">
        <v>2977</v>
      </c>
      <c r="B113" s="1290" t="e">
        <f>G3</f>
        <v>#DIV/0!</v>
      </c>
      <c r="C113" s="904" t="s">
        <v>2978</v>
      </c>
      <c r="D113" s="905" t="e">
        <f>SUMPRODUCT((A115:A118=F113)*(B114:M114=H113)*B115:M118)</f>
        <v>#DIV/0!</v>
      </c>
      <c r="E113" s="2728" t="s">
        <v>2808</v>
      </c>
      <c r="F113" s="2907">
        <f>E2</f>
        <v>0</v>
      </c>
      <c r="G113" s="2728" t="s">
        <v>2809</v>
      </c>
      <c r="H113" s="2907">
        <f>G2</f>
        <v>0</v>
      </c>
      <c r="I113" s="2728"/>
      <c r="J113" s="2908"/>
      <c r="K113" s="2908"/>
      <c r="L113" s="2908"/>
      <c r="M113" s="2908"/>
    </row>
    <row r="114" spans="1:13">
      <c r="A114" s="908"/>
      <c r="B114" s="2909" t="s">
        <v>2979</v>
      </c>
      <c r="C114" s="2909" t="s">
        <v>2980</v>
      </c>
      <c r="D114" s="2909" t="s">
        <v>2981</v>
      </c>
      <c r="E114" s="2910" t="s">
        <v>2982</v>
      </c>
      <c r="F114" s="2910" t="s">
        <v>2983</v>
      </c>
      <c r="G114" s="2910" t="s">
        <v>2984</v>
      </c>
      <c r="H114" s="2911" t="s">
        <v>2985</v>
      </c>
      <c r="I114" s="2911" t="s">
        <v>2986</v>
      </c>
      <c r="J114" s="2912" t="s">
        <v>2987</v>
      </c>
      <c r="K114" s="2912" t="s">
        <v>2988</v>
      </c>
      <c r="L114" s="2912" t="s">
        <v>2989</v>
      </c>
      <c r="M114" s="2913" t="s">
        <v>2990</v>
      </c>
    </row>
    <row r="115" spans="1:13">
      <c r="A115" s="909" t="s">
        <v>2873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4" t="s">
        <v>183</v>
      </c>
      <c r="B18" s="882" t="s">
        <v>560</v>
      </c>
      <c r="C18" s="883" t="s">
        <v>561</v>
      </c>
      <c r="D18" s="884"/>
      <c r="E18" s="882">
        <v>1</v>
      </c>
      <c r="F18" s="885" t="s">
        <v>562</v>
      </c>
      <c r="G18" s="886"/>
      <c r="H18" s="878"/>
      <c r="I18" s="878"/>
    </row>
    <row r="19" spans="1:9" s="887" customFormat="1" ht="19.5" customHeight="1">
      <c r="A19" s="3374"/>
      <c r="B19" s="3374" t="s">
        <v>563</v>
      </c>
      <c r="C19" s="883" t="s">
        <v>564</v>
      </c>
      <c r="D19" s="884"/>
      <c r="E19" s="882">
        <v>0.9</v>
      </c>
      <c r="F19" s="885" t="s">
        <v>565</v>
      </c>
      <c r="G19" s="886"/>
      <c r="H19" s="878"/>
      <c r="I19" s="878"/>
    </row>
    <row r="20" spans="1:9" s="887" customFormat="1" ht="19.5" customHeight="1">
      <c r="A20" s="3374"/>
      <c r="B20" s="3374"/>
      <c r="C20" s="883" t="s">
        <v>566</v>
      </c>
      <c r="D20" s="884"/>
      <c r="E20" s="882">
        <v>1.1000000000000001</v>
      </c>
      <c r="F20" s="885" t="s">
        <v>567</v>
      </c>
      <c r="G20" s="886"/>
      <c r="H20" s="878"/>
      <c r="I20" s="878"/>
    </row>
    <row r="21" spans="1:9" s="887" customFormat="1" ht="19.5" customHeight="1">
      <c r="A21" s="3374"/>
      <c r="B21" s="3374"/>
      <c r="C21" s="883" t="s">
        <v>568</v>
      </c>
      <c r="D21" s="884"/>
      <c r="E21" s="882">
        <v>0.8</v>
      </c>
      <c r="F21" s="885" t="s">
        <v>569</v>
      </c>
      <c r="G21" s="886"/>
      <c r="H21" s="878"/>
      <c r="I21" s="878"/>
    </row>
    <row r="22" spans="1:9" s="887" customFormat="1" ht="19.5" customHeight="1">
      <c r="A22" s="3374"/>
      <c r="B22" s="3374"/>
      <c r="C22" s="883" t="s">
        <v>570</v>
      </c>
      <c r="D22" s="884"/>
      <c r="E22" s="882">
        <v>0.5</v>
      </c>
      <c r="F22" s="885"/>
      <c r="G22" s="886"/>
      <c r="H22" s="878"/>
      <c r="I22" s="878"/>
    </row>
    <row r="23" spans="1:9" s="887" customFormat="1" ht="19.5" customHeight="1">
      <c r="A23" s="3374" t="s">
        <v>184</v>
      </c>
      <c r="B23" s="882" t="s">
        <v>560</v>
      </c>
      <c r="C23" s="883" t="s">
        <v>571</v>
      </c>
      <c r="D23" s="884"/>
      <c r="E23" s="882">
        <v>1</v>
      </c>
      <c r="F23" s="885" t="s">
        <v>572</v>
      </c>
      <c r="G23" s="886"/>
      <c r="H23" s="878"/>
      <c r="I23" s="878"/>
    </row>
    <row r="24" spans="1:9" s="887" customFormat="1" ht="19.5" customHeight="1">
      <c r="A24" s="3374"/>
      <c r="B24" s="3374" t="s">
        <v>563</v>
      </c>
      <c r="C24" s="883" t="s">
        <v>573</v>
      </c>
      <c r="D24" s="884"/>
      <c r="E24" s="882">
        <v>0.5</v>
      </c>
      <c r="F24" s="885"/>
      <c r="G24" s="886"/>
      <c r="H24" s="878"/>
      <c r="I24" s="878"/>
    </row>
    <row r="25" spans="1:9" s="887" customFormat="1" ht="19.5" customHeight="1">
      <c r="A25" s="3374"/>
      <c r="B25" s="3374"/>
      <c r="C25" s="883" t="s">
        <v>574</v>
      </c>
      <c r="D25" s="884"/>
      <c r="E25" s="882">
        <v>1.1000000000000001</v>
      </c>
      <c r="F25" s="885"/>
      <c r="G25" s="886"/>
      <c r="H25" s="878"/>
      <c r="I25" s="878"/>
    </row>
    <row r="26" spans="1:9" s="887" customFormat="1" ht="19.5" customHeight="1">
      <c r="A26" s="3374"/>
      <c r="B26" s="3374"/>
      <c r="C26" s="883" t="s">
        <v>575</v>
      </c>
      <c r="D26" s="884"/>
      <c r="E26" s="882">
        <v>1.1000000000000001</v>
      </c>
      <c r="F26" s="885"/>
      <c r="G26" s="886"/>
      <c r="H26" s="878"/>
      <c r="I26" s="878"/>
    </row>
    <row r="27" spans="1:9" s="887" customFormat="1" ht="19.5" customHeight="1">
      <c r="A27" s="3374"/>
      <c r="B27" s="3374"/>
      <c r="C27" s="883" t="s">
        <v>576</v>
      </c>
      <c r="D27" s="884"/>
      <c r="E27" s="882">
        <v>0.9</v>
      </c>
      <c r="F27" s="885" t="s">
        <v>577</v>
      </c>
      <c r="G27" s="886"/>
      <c r="H27" s="878"/>
      <c r="I27" s="878"/>
    </row>
    <row r="28" spans="1:9" s="887" customFormat="1" ht="19.5" customHeight="1">
      <c r="A28" s="3374"/>
      <c r="B28" s="3374"/>
      <c r="C28" s="883" t="s">
        <v>578</v>
      </c>
      <c r="D28" s="884"/>
      <c r="E28" s="882">
        <v>0.9</v>
      </c>
      <c r="F28" s="885" t="s">
        <v>579</v>
      </c>
      <c r="G28" s="886"/>
      <c r="H28" s="878"/>
      <c r="I28" s="878"/>
    </row>
    <row r="29" spans="1:9" s="887" customFormat="1" ht="19.5" customHeight="1">
      <c r="A29" s="3374"/>
      <c r="B29" s="3374"/>
      <c r="C29" s="883" t="s">
        <v>580</v>
      </c>
      <c r="D29" s="884"/>
      <c r="E29" s="882">
        <v>0.9</v>
      </c>
      <c r="F29" s="885" t="s">
        <v>581</v>
      </c>
      <c r="G29" s="886"/>
      <c r="H29" s="878"/>
      <c r="I29" s="878"/>
    </row>
    <row r="30" spans="1:9" s="887" customFormat="1" ht="19.5" customHeight="1">
      <c r="A30" s="3374"/>
      <c r="B30" s="3374"/>
      <c r="C30" s="883" t="s">
        <v>582</v>
      </c>
      <c r="D30" s="884"/>
      <c r="E30" s="882">
        <v>0.9</v>
      </c>
      <c r="F30" s="885" t="s">
        <v>583</v>
      </c>
      <c r="G30" s="886"/>
      <c r="H30" s="878"/>
      <c r="I30" s="878"/>
    </row>
    <row r="31" spans="1:9" s="887" customFormat="1" ht="19.5" customHeight="1">
      <c r="A31" s="3374"/>
      <c r="B31" s="3374"/>
      <c r="C31" s="883" t="s">
        <v>584</v>
      </c>
      <c r="D31" s="884"/>
      <c r="E31" s="882">
        <v>0.8</v>
      </c>
      <c r="F31" s="885" t="s">
        <v>585</v>
      </c>
      <c r="G31" s="886"/>
      <c r="H31" s="878"/>
      <c r="I31" s="878"/>
    </row>
    <row r="32" spans="1:9" s="887" customFormat="1" ht="19.5" customHeight="1">
      <c r="A32" s="3374"/>
      <c r="B32" s="3374"/>
      <c r="C32" s="883" t="s">
        <v>586</v>
      </c>
      <c r="D32" s="884"/>
      <c r="E32" s="882">
        <v>0.8</v>
      </c>
      <c r="F32" s="885" t="s">
        <v>587</v>
      </c>
      <c r="G32" s="886"/>
      <c r="H32" s="878"/>
      <c r="I32" s="878"/>
    </row>
    <row r="33" spans="1:9" s="887" customFormat="1" ht="19.5" customHeight="1">
      <c r="A33" s="3374" t="s">
        <v>185</v>
      </c>
      <c r="B33" s="882" t="s">
        <v>560</v>
      </c>
      <c r="C33" s="883" t="s">
        <v>588</v>
      </c>
      <c r="D33" s="884"/>
      <c r="E33" s="882">
        <v>1</v>
      </c>
      <c r="F33" s="885" t="s">
        <v>589</v>
      </c>
      <c r="G33" s="886"/>
      <c r="H33" s="878"/>
      <c r="I33" s="878"/>
    </row>
    <row r="34" spans="1:9" s="887" customFormat="1" ht="19.5" customHeight="1">
      <c r="A34" s="3374"/>
      <c r="B34" s="882" t="s">
        <v>563</v>
      </c>
      <c r="C34" s="883" t="s">
        <v>590</v>
      </c>
      <c r="D34" s="884"/>
      <c r="E34" s="882">
        <v>1.5</v>
      </c>
      <c r="F34" s="885" t="s">
        <v>591</v>
      </c>
      <c r="G34" s="886"/>
      <c r="H34" s="878"/>
      <c r="I34" s="878"/>
    </row>
    <row r="35" spans="1:9" s="887" customFormat="1" ht="19.5" customHeight="1">
      <c r="A35" s="3374" t="s">
        <v>186</v>
      </c>
      <c r="B35" s="882" t="s">
        <v>560</v>
      </c>
      <c r="C35" s="883" t="s">
        <v>592</v>
      </c>
      <c r="D35" s="884"/>
      <c r="E35" s="882">
        <v>1</v>
      </c>
      <c r="F35" s="885" t="s">
        <v>593</v>
      </c>
      <c r="G35" s="886"/>
      <c r="H35" s="878"/>
      <c r="I35" s="878"/>
    </row>
    <row r="36" spans="1:9" s="887" customFormat="1" ht="19.5" customHeight="1">
      <c r="A36" s="3374"/>
      <c r="B36" s="3374" t="s">
        <v>563</v>
      </c>
      <c r="C36" s="883" t="s">
        <v>594</v>
      </c>
      <c r="D36" s="884"/>
      <c r="E36" s="882">
        <v>1</v>
      </c>
      <c r="F36" s="885" t="s">
        <v>595</v>
      </c>
      <c r="G36" s="886"/>
      <c r="H36" s="878"/>
      <c r="I36" s="878"/>
    </row>
    <row r="37" spans="1:9" s="887" customFormat="1" ht="19.5" customHeight="1">
      <c r="A37" s="3374"/>
      <c r="B37" s="3374"/>
      <c r="C37" s="883" t="s">
        <v>596</v>
      </c>
      <c r="D37" s="884"/>
      <c r="E37" s="882">
        <v>1.5</v>
      </c>
      <c r="F37" s="885" t="s">
        <v>597</v>
      </c>
      <c r="G37" s="886"/>
      <c r="H37" s="878"/>
      <c r="I37" s="878"/>
    </row>
    <row r="38" spans="1:9" s="887" customFormat="1" ht="19.5" customHeight="1">
      <c r="A38" s="3374"/>
      <c r="B38" s="3374"/>
      <c r="C38" s="883" t="s">
        <v>598</v>
      </c>
      <c r="D38" s="884"/>
      <c r="E38" s="882">
        <v>1</v>
      </c>
      <c r="F38" s="885" t="s">
        <v>599</v>
      </c>
      <c r="G38" s="886"/>
      <c r="H38" s="878"/>
      <c r="I38" s="878"/>
    </row>
    <row r="39" spans="1:9" s="887" customFormat="1" ht="19.5" customHeight="1">
      <c r="A39" s="3374"/>
      <c r="B39" s="33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4" t="s">
        <v>614</v>
      </c>
      <c r="C61" s="818" t="s">
        <v>615</v>
      </c>
      <c r="D61" s="818" t="s">
        <v>616</v>
      </c>
      <c r="E61" s="895">
        <v>0.5</v>
      </c>
      <c r="F61" s="882">
        <v>80</v>
      </c>
    </row>
    <row r="62" spans="1:8" s="878" customFormat="1" ht="24">
      <c r="A62" s="882">
        <v>2</v>
      </c>
      <c r="B62" s="3374"/>
      <c r="C62" s="818" t="s">
        <v>617</v>
      </c>
      <c r="D62" s="818" t="s">
        <v>618</v>
      </c>
      <c r="E62" s="895">
        <v>0.5</v>
      </c>
      <c r="F62" s="882">
        <v>80</v>
      </c>
    </row>
    <row r="63" spans="1:8" s="878" customFormat="1" ht="36">
      <c r="A63" s="882">
        <v>3</v>
      </c>
      <c r="B63" s="3374"/>
      <c r="C63" s="818" t="s">
        <v>619</v>
      </c>
      <c r="D63" s="818" t="s">
        <v>620</v>
      </c>
      <c r="E63" s="895">
        <v>0.5</v>
      </c>
      <c r="F63" s="882">
        <v>80</v>
      </c>
    </row>
    <row r="64" spans="1:8" s="878" customFormat="1" ht="36">
      <c r="A64" s="882">
        <v>4</v>
      </c>
      <c r="B64" s="3374"/>
      <c r="C64" s="818" t="s">
        <v>621</v>
      </c>
      <c r="D64" s="818" t="s">
        <v>622</v>
      </c>
      <c r="E64" s="895">
        <v>0.4</v>
      </c>
      <c r="F64" s="882">
        <v>60</v>
      </c>
    </row>
    <row r="65" spans="1:6" s="878" customFormat="1" ht="36">
      <c r="A65" s="882">
        <v>5</v>
      </c>
      <c r="B65" s="3374"/>
      <c r="C65" s="818" t="s">
        <v>623</v>
      </c>
      <c r="D65" s="818" t="s">
        <v>624</v>
      </c>
      <c r="E65" s="895">
        <v>0.2</v>
      </c>
      <c r="F65" s="882">
        <v>30</v>
      </c>
    </row>
    <row r="66" spans="1:6" s="878" customFormat="1" ht="36">
      <c r="A66" s="882">
        <v>6</v>
      </c>
      <c r="B66" s="3374"/>
      <c r="C66" s="818" t="s">
        <v>625</v>
      </c>
      <c r="D66" s="818" t="s">
        <v>626</v>
      </c>
      <c r="E66" s="895">
        <v>0.3</v>
      </c>
      <c r="F66" s="882">
        <v>50</v>
      </c>
    </row>
    <row r="67" spans="1:6" s="878" customFormat="1" ht="36">
      <c r="A67" s="882">
        <v>7</v>
      </c>
      <c r="B67" s="3374"/>
      <c r="C67" s="818" t="s">
        <v>627</v>
      </c>
      <c r="D67" s="818" t="s">
        <v>628</v>
      </c>
      <c r="E67" s="895">
        <v>0.2</v>
      </c>
      <c r="F67" s="882">
        <v>30</v>
      </c>
    </row>
    <row r="68" spans="1:6" s="878" customFormat="1" ht="36">
      <c r="A68" s="882">
        <v>8</v>
      </c>
      <c r="B68" s="3374"/>
      <c r="C68" s="818" t="s">
        <v>629</v>
      </c>
      <c r="D68" s="818" t="s">
        <v>630</v>
      </c>
      <c r="E68" s="895">
        <v>0.2</v>
      </c>
      <c r="F68" s="882">
        <v>30</v>
      </c>
    </row>
    <row r="69" spans="1:6" s="878" customFormat="1" ht="36">
      <c r="A69" s="882">
        <v>9</v>
      </c>
      <c r="B69" s="3374"/>
      <c r="C69" s="818" t="s">
        <v>631</v>
      </c>
      <c r="D69" s="818" t="s">
        <v>632</v>
      </c>
      <c r="E69" s="895">
        <v>0.2</v>
      </c>
      <c r="F69" s="882">
        <v>30</v>
      </c>
    </row>
    <row r="70" spans="1:6" s="878" customFormat="1" ht="48">
      <c r="A70" s="882">
        <v>10</v>
      </c>
      <c r="B70" s="3374"/>
      <c r="C70" s="818" t="s">
        <v>633</v>
      </c>
      <c r="D70" s="818" t="s">
        <v>634</v>
      </c>
      <c r="E70" s="895">
        <v>0.2</v>
      </c>
      <c r="F70" s="882">
        <v>30</v>
      </c>
    </row>
    <row r="71" spans="1:6" s="878" customFormat="1" ht="48">
      <c r="A71" s="882">
        <v>11</v>
      </c>
      <c r="B71" s="3374"/>
      <c r="C71" s="818" t="s">
        <v>635</v>
      </c>
      <c r="D71" s="818" t="s">
        <v>636</v>
      </c>
      <c r="E71" s="895">
        <v>0.2</v>
      </c>
      <c r="F71" s="882">
        <v>30</v>
      </c>
    </row>
    <row r="72" spans="1:6" s="878" customFormat="1" ht="36">
      <c r="A72" s="882">
        <v>12</v>
      </c>
      <c r="B72" s="3374"/>
      <c r="C72" s="818" t="s">
        <v>637</v>
      </c>
      <c r="D72" s="818" t="s">
        <v>638</v>
      </c>
      <c r="E72" s="895">
        <v>0.5</v>
      </c>
      <c r="F72" s="882">
        <v>80</v>
      </c>
    </row>
    <row r="73" spans="1:6" s="878" customFormat="1" ht="24">
      <c r="A73" s="882">
        <v>13</v>
      </c>
      <c r="B73" s="3374"/>
      <c r="C73" s="818" t="s">
        <v>639</v>
      </c>
      <c r="D73" s="818" t="s">
        <v>640</v>
      </c>
      <c r="E73" s="895">
        <v>0.4</v>
      </c>
      <c r="F73" s="882">
        <v>60</v>
      </c>
    </row>
    <row r="74" spans="1:6" s="878" customFormat="1" ht="24">
      <c r="A74" s="882">
        <v>14</v>
      </c>
      <c r="B74" s="3374"/>
      <c r="C74" s="818" t="s">
        <v>641</v>
      </c>
      <c r="D74" s="818" t="s">
        <v>642</v>
      </c>
      <c r="E74" s="895">
        <v>0.2</v>
      </c>
      <c r="F74" s="882">
        <v>30</v>
      </c>
    </row>
    <row r="75" spans="1:6" s="878" customFormat="1" ht="24">
      <c r="A75" s="882">
        <v>15</v>
      </c>
      <c r="B75" s="3374"/>
      <c r="C75" s="818" t="s">
        <v>643</v>
      </c>
      <c r="D75" s="818" t="s">
        <v>644</v>
      </c>
      <c r="E75" s="895">
        <v>0.2</v>
      </c>
      <c r="F75" s="882">
        <v>30</v>
      </c>
    </row>
    <row r="76" spans="1:6" s="878" customFormat="1" ht="24">
      <c r="A76" s="882">
        <v>16</v>
      </c>
      <c r="B76" s="3374" t="s">
        <v>645</v>
      </c>
      <c r="C76" s="818" t="s">
        <v>646</v>
      </c>
      <c r="D76" s="818" t="s">
        <v>647</v>
      </c>
      <c r="E76" s="895">
        <v>0.5</v>
      </c>
      <c r="F76" s="882">
        <v>80</v>
      </c>
    </row>
    <row r="77" spans="1:6" s="878" customFormat="1" ht="24">
      <c r="A77" s="882">
        <v>17</v>
      </c>
      <c r="B77" s="3374"/>
      <c r="C77" s="818" t="s">
        <v>648</v>
      </c>
      <c r="D77" s="818" t="s">
        <v>649</v>
      </c>
      <c r="E77" s="895">
        <v>0.5</v>
      </c>
      <c r="F77" s="882">
        <v>80</v>
      </c>
    </row>
    <row r="78" spans="1:6" s="878" customFormat="1" ht="24">
      <c r="A78" s="882">
        <v>18</v>
      </c>
      <c r="B78" s="3374"/>
      <c r="C78" s="818" t="s">
        <v>650</v>
      </c>
      <c r="D78" s="818" t="s">
        <v>651</v>
      </c>
      <c r="E78" s="895">
        <v>0.2</v>
      </c>
      <c r="F78" s="882">
        <v>30</v>
      </c>
    </row>
    <row r="79" spans="1:6" s="878" customFormat="1" ht="24">
      <c r="A79" s="882">
        <v>19</v>
      </c>
      <c r="B79" s="3374"/>
      <c r="C79" s="818" t="s">
        <v>652</v>
      </c>
      <c r="D79" s="818" t="s">
        <v>653</v>
      </c>
      <c r="E79" s="895">
        <v>0.5</v>
      </c>
      <c r="F79" s="882">
        <v>80</v>
      </c>
    </row>
    <row r="80" spans="1:6" s="878" customFormat="1" ht="36">
      <c r="A80" s="882">
        <v>20</v>
      </c>
      <c r="B80" s="3374"/>
      <c r="C80" s="818" t="s">
        <v>654</v>
      </c>
      <c r="D80" s="818" t="s">
        <v>655</v>
      </c>
      <c r="E80" s="895">
        <v>0.2</v>
      </c>
      <c r="F80" s="882">
        <v>30</v>
      </c>
    </row>
    <row r="81" spans="1:6" s="878" customFormat="1" ht="36">
      <c r="A81" s="882">
        <v>21</v>
      </c>
      <c r="B81" s="3374"/>
      <c r="C81" s="818" t="s">
        <v>656</v>
      </c>
      <c r="D81" s="818" t="s">
        <v>657</v>
      </c>
      <c r="E81" s="895">
        <v>0.2</v>
      </c>
      <c r="F81" s="882">
        <v>30</v>
      </c>
    </row>
    <row r="82" spans="1:6" s="878" customFormat="1" ht="48">
      <c r="A82" s="882">
        <v>22</v>
      </c>
      <c r="B82" s="3374"/>
      <c r="C82" s="818" t="s">
        <v>658</v>
      </c>
      <c r="D82" s="818" t="s">
        <v>659</v>
      </c>
      <c r="E82" s="895">
        <v>0.2</v>
      </c>
      <c r="F82" s="882">
        <v>30</v>
      </c>
    </row>
    <row r="83" spans="1:6" s="878" customFormat="1" ht="48">
      <c r="A83" s="882">
        <v>23</v>
      </c>
      <c r="B83" s="3374"/>
      <c r="C83" s="818" t="s">
        <v>660</v>
      </c>
      <c r="D83" s="818" t="s">
        <v>661</v>
      </c>
      <c r="E83" s="895">
        <v>0.2</v>
      </c>
      <c r="F83" s="882">
        <v>30</v>
      </c>
    </row>
    <row r="84" spans="1:6" s="878" customFormat="1" ht="36">
      <c r="A84" s="882">
        <v>24</v>
      </c>
      <c r="B84" s="3374"/>
      <c r="C84" s="818" t="s">
        <v>662</v>
      </c>
      <c r="D84" s="818" t="s">
        <v>663</v>
      </c>
      <c r="E84" s="895">
        <v>0.2</v>
      </c>
      <c r="F84" s="882">
        <v>30</v>
      </c>
    </row>
    <row r="85" spans="1:6" s="878" customFormat="1" ht="36">
      <c r="A85" s="882">
        <v>25</v>
      </c>
      <c r="B85" s="3374"/>
      <c r="C85" s="818" t="s">
        <v>664</v>
      </c>
      <c r="D85" s="818" t="s">
        <v>665</v>
      </c>
      <c r="E85" s="895">
        <v>0.5</v>
      </c>
      <c r="F85" s="882">
        <v>80</v>
      </c>
    </row>
    <row r="86" spans="1:6" s="878" customFormat="1" ht="36">
      <c r="A86" s="882">
        <v>26</v>
      </c>
      <c r="B86" s="3374"/>
      <c r="C86" s="818" t="s">
        <v>666</v>
      </c>
      <c r="D86" s="818" t="s">
        <v>667</v>
      </c>
      <c r="E86" s="895">
        <v>0.2</v>
      </c>
      <c r="F86" s="882">
        <v>30</v>
      </c>
    </row>
    <row r="87" spans="1:6" s="878" customFormat="1" ht="36">
      <c r="A87" s="882">
        <v>27</v>
      </c>
      <c r="B87" s="3374"/>
      <c r="C87" s="818" t="s">
        <v>668</v>
      </c>
      <c r="D87" s="818" t="s">
        <v>669</v>
      </c>
      <c r="E87" s="895">
        <v>0.2</v>
      </c>
      <c r="F87" s="882">
        <v>30</v>
      </c>
    </row>
    <row r="88" spans="1:6" s="878" customFormat="1" ht="36">
      <c r="A88" s="882">
        <v>28</v>
      </c>
      <c r="B88" s="3374"/>
      <c r="C88" s="818" t="s">
        <v>670</v>
      </c>
      <c r="D88" s="818" t="s">
        <v>671</v>
      </c>
      <c r="E88" s="895">
        <v>0.2</v>
      </c>
      <c r="F88" s="882">
        <v>30</v>
      </c>
    </row>
    <row r="89" spans="1:6" s="878" customFormat="1" ht="24">
      <c r="A89" s="882">
        <v>29</v>
      </c>
      <c r="B89" s="3374"/>
      <c r="C89" s="818" t="s">
        <v>672</v>
      </c>
      <c r="D89" s="818" t="s">
        <v>673</v>
      </c>
      <c r="E89" s="895">
        <v>0.2</v>
      </c>
      <c r="F89" s="882">
        <v>30</v>
      </c>
    </row>
    <row r="90" spans="1:6" s="878" customFormat="1" ht="24">
      <c r="A90" s="882">
        <v>30</v>
      </c>
      <c r="B90" s="3374"/>
      <c r="C90" s="818" t="s">
        <v>674</v>
      </c>
      <c r="D90" s="818" t="s">
        <v>675</v>
      </c>
      <c r="E90" s="895">
        <v>0.2</v>
      </c>
      <c r="F90" s="882">
        <v>30</v>
      </c>
    </row>
    <row r="91" spans="1:6" s="878" customFormat="1" ht="36">
      <c r="A91" s="882">
        <v>31</v>
      </c>
      <c r="B91" s="3374"/>
      <c r="C91" s="818" t="s">
        <v>676</v>
      </c>
      <c r="D91" s="818" t="s">
        <v>677</v>
      </c>
      <c r="E91" s="895">
        <v>0.2</v>
      </c>
      <c r="F91" s="882">
        <v>30</v>
      </c>
    </row>
    <row r="92" spans="1:6" s="878" customFormat="1" ht="24">
      <c r="A92" s="882">
        <v>32</v>
      </c>
      <c r="B92" s="3374" t="s">
        <v>678</v>
      </c>
      <c r="C92" s="882" t="s">
        <v>679</v>
      </c>
      <c r="D92" s="818" t="s">
        <v>680</v>
      </c>
      <c r="E92" s="895">
        <v>0.2</v>
      </c>
      <c r="F92" s="882">
        <v>30</v>
      </c>
    </row>
    <row r="93" spans="1:6" s="878" customFormat="1" ht="36">
      <c r="A93" s="882">
        <v>33</v>
      </c>
      <c r="B93" s="3374"/>
      <c r="C93" s="882" t="s">
        <v>681</v>
      </c>
      <c r="D93" s="818" t="s">
        <v>682</v>
      </c>
      <c r="E93" s="895">
        <v>0.2</v>
      </c>
      <c r="F93" s="882">
        <v>30</v>
      </c>
    </row>
    <row r="94" spans="1:6" s="878" customFormat="1" ht="48">
      <c r="A94" s="882">
        <v>34</v>
      </c>
      <c r="B94" s="3374"/>
      <c r="C94" s="882" t="s">
        <v>683</v>
      </c>
      <c r="D94" s="818" t="s">
        <v>684</v>
      </c>
      <c r="E94" s="895">
        <v>0.2</v>
      </c>
      <c r="F94" s="882">
        <v>30</v>
      </c>
    </row>
    <row r="95" spans="1:6" s="878" customFormat="1" ht="36">
      <c r="A95" s="882">
        <v>35</v>
      </c>
      <c r="B95" s="3374"/>
      <c r="C95" s="882" t="s">
        <v>685</v>
      </c>
      <c r="D95" s="818" t="s">
        <v>686</v>
      </c>
      <c r="E95" s="895">
        <v>0.2</v>
      </c>
      <c r="F95" s="882">
        <v>30</v>
      </c>
    </row>
    <row r="96" spans="1:6" s="878" customFormat="1" ht="48">
      <c r="A96" s="882">
        <v>36</v>
      </c>
      <c r="B96" s="3374"/>
      <c r="C96" s="818" t="s">
        <v>687</v>
      </c>
      <c r="D96" s="818" t="s">
        <v>688</v>
      </c>
      <c r="E96" s="895">
        <v>0.2</v>
      </c>
      <c r="F96" s="882">
        <v>30</v>
      </c>
    </row>
    <row r="97" spans="1:6" s="878" customFormat="1" ht="36">
      <c r="A97" s="882">
        <v>37</v>
      </c>
      <c r="B97" s="3374"/>
      <c r="C97" s="882" t="s">
        <v>689</v>
      </c>
      <c r="D97" s="818" t="s">
        <v>690</v>
      </c>
      <c r="E97" s="895">
        <v>0.2</v>
      </c>
      <c r="F97" s="882">
        <v>30</v>
      </c>
    </row>
    <row r="98" spans="1:6" s="878" customFormat="1" ht="36">
      <c r="A98" s="882">
        <v>38</v>
      </c>
      <c r="B98" s="3374"/>
      <c r="C98" s="882" t="s">
        <v>691</v>
      </c>
      <c r="D98" s="818" t="s">
        <v>692</v>
      </c>
      <c r="E98" s="895">
        <v>0.2</v>
      </c>
      <c r="F98" s="882">
        <v>30</v>
      </c>
    </row>
    <row r="99" spans="1:6" s="878" customFormat="1" ht="36">
      <c r="A99" s="882">
        <v>39</v>
      </c>
      <c r="B99" s="3374" t="s">
        <v>693</v>
      </c>
      <c r="C99" s="882" t="s">
        <v>694</v>
      </c>
      <c r="D99" s="818" t="s">
        <v>695</v>
      </c>
      <c r="E99" s="895">
        <v>0.3</v>
      </c>
      <c r="F99" s="882">
        <v>50</v>
      </c>
    </row>
    <row r="100" spans="1:6" s="878" customFormat="1" ht="24">
      <c r="A100" s="882">
        <v>40</v>
      </c>
      <c r="B100" s="3374"/>
      <c r="C100" s="882" t="s">
        <v>696</v>
      </c>
      <c r="D100" s="818" t="s">
        <v>697</v>
      </c>
      <c r="E100" s="895">
        <v>0.2</v>
      </c>
      <c r="F100" s="882">
        <v>30</v>
      </c>
    </row>
    <row r="101" spans="1:6" s="878" customFormat="1" ht="36">
      <c r="A101" s="882">
        <v>41</v>
      </c>
      <c r="B101" s="33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4" t="s">
        <v>708</v>
      </c>
      <c r="C105" s="882" t="s">
        <v>709</v>
      </c>
      <c r="D105" s="818" t="s">
        <v>710</v>
      </c>
      <c r="E105" s="895">
        <v>0.2</v>
      </c>
      <c r="F105" s="882">
        <v>30</v>
      </c>
    </row>
    <row r="106" spans="1:6" s="878" customFormat="1" ht="36">
      <c r="A106" s="882">
        <v>46</v>
      </c>
      <c r="B106" s="3374"/>
      <c r="C106" s="882" t="s">
        <v>711</v>
      </c>
      <c r="D106" s="818" t="s">
        <v>712</v>
      </c>
      <c r="E106" s="895">
        <v>0.2</v>
      </c>
      <c r="F106" s="882">
        <v>30</v>
      </c>
    </row>
    <row r="107" spans="1:6" s="878" customFormat="1" ht="36">
      <c r="A107" s="882">
        <v>47</v>
      </c>
      <c r="B107" s="3374" t="s">
        <v>713</v>
      </c>
      <c r="C107" s="882" t="s">
        <v>714</v>
      </c>
      <c r="D107" s="818" t="s">
        <v>715</v>
      </c>
      <c r="E107" s="895">
        <v>0.3</v>
      </c>
      <c r="F107" s="882">
        <v>50</v>
      </c>
    </row>
    <row r="108" spans="1:6" s="878" customFormat="1" ht="36">
      <c r="A108" s="882">
        <v>48</v>
      </c>
      <c r="B108" s="33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4" t="s">
        <v>724</v>
      </c>
      <c r="C111" s="882" t="s">
        <v>725</v>
      </c>
      <c r="D111" s="818" t="s">
        <v>726</v>
      </c>
      <c r="E111" s="895">
        <v>0.2</v>
      </c>
      <c r="F111" s="882">
        <v>30</v>
      </c>
    </row>
    <row r="112" spans="1:6" s="878" customFormat="1" ht="24">
      <c r="A112" s="882">
        <v>52</v>
      </c>
      <c r="B112" s="3374"/>
      <c r="C112" s="882" t="s">
        <v>727</v>
      </c>
      <c r="D112" s="818" t="s">
        <v>728</v>
      </c>
      <c r="E112" s="895">
        <v>0.2</v>
      </c>
      <c r="F112" s="882">
        <v>30</v>
      </c>
    </row>
    <row r="113" spans="1:6" s="878" customFormat="1" ht="24">
      <c r="A113" s="882">
        <v>53</v>
      </c>
      <c r="B113" s="33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4" t="s">
        <v>737</v>
      </c>
      <c r="C116" s="882" t="s">
        <v>738</v>
      </c>
      <c r="D116" s="818" t="s">
        <v>739</v>
      </c>
      <c r="E116" s="895">
        <v>0.2</v>
      </c>
      <c r="F116" s="882">
        <v>30</v>
      </c>
    </row>
    <row r="117" spans="1:6" ht="36">
      <c r="A117" s="882">
        <v>57</v>
      </c>
      <c r="B117" s="33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2999</v>
      </c>
    </row>
    <row r="2" spans="1:5" ht="15.75">
      <c r="A2" s="2914" t="s">
        <v>2991</v>
      </c>
      <c r="B2" s="2915" t="e">
        <f ca="1">SUMIF(B6:B13,"&lt;&gt;#ref!",B6:B13)</f>
        <v>#DIV/0!</v>
      </c>
      <c r="C2" s="2914" t="s">
        <v>2992</v>
      </c>
      <c r="D2" s="2914" t="s">
        <v>2993</v>
      </c>
      <c r="E2" s="2915" t="e">
        <f ca="1">SUM(E6:E13)</f>
        <v>#REF!</v>
      </c>
    </row>
    <row r="3" spans="1:5" ht="15.75">
      <c r="A3" s="2914" t="s">
        <v>2994</v>
      </c>
      <c r="B3" s="2915" t="e">
        <f ca="1">ROUND(B2*10000/E2,0)</f>
        <v>#DIV/0!</v>
      </c>
      <c r="C3" s="2914" t="s">
        <v>3000</v>
      </c>
      <c r="D3" s="2916"/>
      <c r="E3" s="2916"/>
    </row>
    <row r="4" spans="1:5" ht="15.75">
      <c r="A4" s="2917"/>
      <c r="B4" s="2916"/>
      <c r="C4" s="2916"/>
      <c r="D4" s="2916"/>
      <c r="E4" s="2916"/>
    </row>
    <row r="5" spans="1:5" ht="28.5">
      <c r="A5" s="2918" t="s">
        <v>2995</v>
      </c>
      <c r="B5" s="2914" t="s">
        <v>2996</v>
      </c>
      <c r="C5" s="2915"/>
      <c r="D5" s="2916"/>
      <c r="E5" s="2914" t="s">
        <v>2997</v>
      </c>
    </row>
    <row r="6" spans="1:5" ht="15.75">
      <c r="A6" s="2919" t="s">
        <v>2998</v>
      </c>
      <c r="B6" s="2915" t="e">
        <f ca="1">SUMIF(INDIRECT("'"&amp;A6&amp;"'"&amp;"!A:A"),"总价",INDIRECT("'"&amp;A6&amp;"'"&amp;"!B:B"))</f>
        <v>#DIV/0!</v>
      </c>
      <c r="C6" s="2914" t="s">
        <v>2992</v>
      </c>
      <c r="D6" s="2916"/>
      <c r="E6" s="2579">
        <f ca="1">SUMIF(INDIRECT("'"&amp;A6&amp;"'"&amp;"!C:C"),"建筑面积",INDIRECT("'"&amp;A6&amp;"'"&amp;"!D:D"))</f>
        <v>0</v>
      </c>
    </row>
    <row r="7" spans="1:5" ht="15.75">
      <c r="A7" s="2919"/>
      <c r="B7" s="2915" t="e">
        <f ca="1">SUMIF(INDIRECT("'"&amp;A7&amp;"'"&amp;"!A:A"),"总价",INDIRECT("'"&amp;A7&amp;"'"&amp;"!B:B"))</f>
        <v>#REF!</v>
      </c>
      <c r="C7" s="2914" t="s">
        <v>2992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2992</v>
      </c>
      <c r="D8" s="2916"/>
      <c r="E8" s="2579" t="e">
        <f t="shared" ca="1" si="0"/>
        <v>#REF!</v>
      </c>
    </row>
    <row r="9" spans="1:5" ht="15.75">
      <c r="A9" s="2919"/>
      <c r="B9" s="2915" t="e">
        <f t="shared" ca="1" si="1"/>
        <v>#REF!</v>
      </c>
      <c r="C9" s="2914" t="s">
        <v>2992</v>
      </c>
      <c r="D9" s="2916"/>
      <c r="E9" s="2579" t="e">
        <f t="shared" ca="1" si="0"/>
        <v>#REF!</v>
      </c>
    </row>
    <row r="10" spans="1:5" ht="15.75">
      <c r="A10" s="2919"/>
      <c r="B10" s="2915" t="e">
        <f t="shared" ca="1" si="1"/>
        <v>#REF!</v>
      </c>
      <c r="C10" s="2914" t="s">
        <v>2992</v>
      </c>
      <c r="D10" s="2916"/>
      <c r="E10" s="2579" t="e">
        <f t="shared" ca="1" si="0"/>
        <v>#REF!</v>
      </c>
    </row>
    <row r="11" spans="1:5" ht="15.75">
      <c r="A11" s="2919"/>
      <c r="B11" s="2915" t="e">
        <f t="shared" ca="1" si="1"/>
        <v>#REF!</v>
      </c>
      <c r="C11" s="2914" t="s">
        <v>2992</v>
      </c>
      <c r="D11" s="2916"/>
      <c r="E11" s="2579" t="e">
        <f t="shared" ca="1" si="0"/>
        <v>#REF!</v>
      </c>
    </row>
    <row r="12" spans="1:5" ht="15.75">
      <c r="A12" s="2919"/>
      <c r="B12" s="2915" t="e">
        <f t="shared" ca="1" si="1"/>
        <v>#REF!</v>
      </c>
      <c r="C12" s="2914" t="s">
        <v>2992</v>
      </c>
      <c r="D12" s="2916"/>
      <c r="E12" s="2579" t="e">
        <f t="shared" ca="1" si="0"/>
        <v>#REF!</v>
      </c>
    </row>
    <row r="13" spans="1:5" ht="15.75">
      <c r="A13" s="2919"/>
      <c r="B13" s="2915" t="e">
        <f t="shared" ca="1" si="1"/>
        <v>#REF!</v>
      </c>
      <c r="C13" s="2914" t="s">
        <v>2992</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80" t="s">
        <v>1150</v>
      </c>
      <c r="C1" s="3380"/>
      <c r="D1" s="3380"/>
      <c r="E1" s="3380"/>
      <c r="F1" s="3380"/>
      <c r="G1" s="3376" t="s">
        <v>1151</v>
      </c>
      <c r="H1" s="3376"/>
      <c r="I1" s="3376"/>
      <c r="J1" s="3376"/>
      <c r="K1" s="3376"/>
      <c r="L1" s="3376"/>
      <c r="N1" s="3376" t="s">
        <v>1152</v>
      </c>
      <c r="O1" s="3376"/>
      <c r="P1" s="3376"/>
      <c r="Q1" s="3376"/>
      <c r="R1" s="1449"/>
      <c r="S1" s="3376" t="s">
        <v>1153</v>
      </c>
      <c r="T1" s="3376"/>
      <c r="U1" s="3376"/>
      <c r="V1" s="3376"/>
      <c r="X1" s="3375" t="s">
        <v>1154</v>
      </c>
      <c r="Y1" s="3376"/>
      <c r="Z1" s="3376"/>
      <c r="AA1" s="3376"/>
      <c r="AB1" s="3376"/>
      <c r="AD1" s="3375" t="s">
        <v>1155</v>
      </c>
      <c r="AE1" s="3376"/>
      <c r="AF1" s="3376"/>
      <c r="AG1" s="3376"/>
      <c r="AH1" s="337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8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8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估价结果一览表（市场价值不需“结果表-1”）</v>
      </c>
      <c r="B3" s="3070"/>
      <c r="C3" s="3070"/>
      <c r="D3" s="3070"/>
      <c r="E3" s="3070"/>
    </row>
    <row r="4" spans="1:5" ht="19.5" thickBot="1">
      <c r="A4" s="1965"/>
      <c r="B4" s="3068" t="s">
        <v>1632</v>
      </c>
      <c r="C4" s="3068"/>
      <c r="D4" s="3068"/>
      <c r="E4" s="1965"/>
    </row>
    <row r="5" spans="1:5" ht="16.5" thickTop="1">
      <c r="A5" s="1963"/>
      <c r="B5" s="3066" t="s">
        <v>1624</v>
      </c>
      <c r="C5" s="1966" t="s">
        <v>1625</v>
      </c>
      <c r="D5" s="1043">
        <f ca="1">结果表!H101</f>
        <v>26907</v>
      </c>
      <c r="E5" s="1963"/>
    </row>
    <row r="6" spans="1:5" ht="15.75">
      <c r="A6" s="1963"/>
      <c r="B6" s="3066"/>
      <c r="C6" s="1966" t="s">
        <v>1626</v>
      </c>
      <c r="D6" s="1043" t="str">
        <f ca="1">NUMBERSTRING(INT(D5*10000),2)&amp;"元整"</f>
        <v>贰亿陆仟玖佰零柒万元整</v>
      </c>
      <c r="E6" s="1963"/>
    </row>
    <row r="7" spans="1:5" ht="15.75">
      <c r="A7" s="1963"/>
      <c r="B7" s="3071"/>
      <c r="C7" s="1967" t="s">
        <v>1627</v>
      </c>
      <c r="D7" s="1044">
        <f ca="1">结果表!H102</f>
        <v>38656</v>
      </c>
      <c r="E7" s="1963"/>
    </row>
    <row r="8" spans="1:5" ht="15.75">
      <c r="A8" s="1963"/>
      <c r="B8" s="3072" t="str">
        <f>结果表!E103</f>
        <v>2.估价师知悉的法定优先受偿款</v>
      </c>
      <c r="C8" s="1968" t="s">
        <v>1628</v>
      </c>
      <c r="D8" s="1044">
        <f>结果表!H103</f>
        <v>0</v>
      </c>
      <c r="E8" s="1963"/>
    </row>
    <row r="9" spans="1:5" ht="15.75">
      <c r="A9" s="1963"/>
      <c r="B9" s="3074"/>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3065" t="str">
        <f>结果表!E107</f>
        <v>3.房地产抵押价值</v>
      </c>
      <c r="C13" s="1971" t="s">
        <v>1625</v>
      </c>
      <c r="D13" s="1046">
        <f ca="1">结果表!H107</f>
        <v>26907</v>
      </c>
      <c r="E13" s="1963"/>
    </row>
    <row r="14" spans="1:5" ht="15.75">
      <c r="A14" s="1963"/>
      <c r="B14" s="3066"/>
      <c r="C14" s="1966" t="s">
        <v>1626</v>
      </c>
      <c r="D14" s="1043" t="str">
        <f ca="1">NUMBERSTRING(INT(D13*10000),2)&amp;"元整"</f>
        <v>贰亿陆仟玖佰零柒万元整</v>
      </c>
      <c r="E14" s="1963"/>
    </row>
    <row r="15" spans="1:5" ht="15">
      <c r="A15" s="1963"/>
      <c r="B15" s="3071"/>
      <c r="C15" s="1967" t="s">
        <v>1636</v>
      </c>
      <c r="D15" s="1055">
        <f ca="1">结果表!H108</f>
        <v>38656</v>
      </c>
      <c r="E15" s="1963"/>
    </row>
    <row r="16" spans="1:5" ht="15">
      <c r="A16" s="1963"/>
      <c r="B16" s="3072" t="str">
        <f>结果表!E109</f>
        <v>——</v>
      </c>
      <c r="C16" s="1971" t="s">
        <v>1637</v>
      </c>
      <c r="D16" s="1972" t="str">
        <f>结果表!H109</f>
        <v>——</v>
      </c>
      <c r="E16" s="1963"/>
    </row>
    <row r="17" spans="1:5" ht="15.75">
      <c r="A17" s="1963"/>
      <c r="B17" s="3073"/>
      <c r="C17" s="1966" t="s">
        <v>1638</v>
      </c>
      <c r="D17" s="1043" t="e">
        <f>NUMBERSTRING(INT(D16*10000),2)&amp;"元整"</f>
        <v>#VALUE!</v>
      </c>
      <c r="E17" s="1963"/>
    </row>
    <row r="18" spans="1:5" ht="15">
      <c r="A18" s="1963"/>
      <c r="B18" s="3074"/>
      <c r="C18" s="1967" t="s">
        <v>1627</v>
      </c>
      <c r="D18" s="1055" t="str">
        <f>结果表!H110</f>
        <v>——</v>
      </c>
      <c r="E18" s="1963"/>
    </row>
    <row r="19" spans="1:5" ht="15.75">
      <c r="A19" s="1963"/>
      <c r="B19" s="3065" t="str">
        <f>结果表!E111</f>
        <v>——</v>
      </c>
      <c r="C19" s="1971" t="s">
        <v>1625</v>
      </c>
      <c r="D19" s="1044" t="str">
        <f>结果表!H111</f>
        <v>——</v>
      </c>
      <c r="E19" s="1963"/>
    </row>
    <row r="20" spans="1:5" ht="15.75">
      <c r="A20" s="1963"/>
      <c r="B20" s="3066"/>
      <c r="C20" s="1966" t="s">
        <v>1638</v>
      </c>
      <c r="D20" s="1043" t="e">
        <f>NUMBERSTRING(INT(D19*10000),2)&amp;"元整"</f>
        <v>#VALUE!</v>
      </c>
      <c r="E20" s="1963"/>
    </row>
    <row r="21" spans="1:5" ht="15.75" thickBot="1">
      <c r="A21" s="1963"/>
      <c r="B21" s="3067"/>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5" zoomScaleNormal="90" zoomScaleSheetLayoutView="85" workbookViewId="0">
      <pane ySplit="24" topLeftCell="A25" activePane="bottomLeft" state="frozen"/>
      <selection activeCell="C50" sqref="C50"/>
      <selection pane="bottomLeft" activeCell="C22" sqref="C22:Q22"/>
    </sheetView>
  </sheetViews>
  <sheetFormatPr defaultRowHeight="12.75"/>
  <cols>
    <col min="1" max="1" width="4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3001</v>
      </c>
      <c r="C1" s="3386" t="s">
        <v>3002</v>
      </c>
      <c r="D1" s="3387"/>
      <c r="E1" s="3387"/>
      <c r="F1" s="3387"/>
      <c r="G1" s="3387"/>
      <c r="H1" s="3387"/>
      <c r="I1" s="3387"/>
      <c r="J1" s="3387"/>
      <c r="K1" s="3387"/>
      <c r="L1" s="3387"/>
      <c r="M1" s="3387"/>
      <c r="N1" s="3387"/>
      <c r="O1" s="3387"/>
      <c r="P1" s="3387"/>
      <c r="Q1" s="3387"/>
      <c r="R1" s="3387"/>
      <c r="S1" s="3388"/>
      <c r="T1" s="1207" t="s">
        <v>3003</v>
      </c>
    </row>
    <row r="2" spans="1:45" s="708" customFormat="1" ht="38.25">
      <c r="A2" s="1208"/>
      <c r="B2" s="704" t="s">
        <v>3004</v>
      </c>
      <c r="C2" s="705" t="str">
        <f t="shared" ref="C2:L2" si="0">C3&amp;"(含)"&amp;"-"&amp;D3</f>
        <v>0(含)-200</v>
      </c>
      <c r="D2" s="706" t="str">
        <f t="shared" si="0"/>
        <v>200(含)-400</v>
      </c>
      <c r="E2" s="706" t="str">
        <f t="shared" si="0"/>
        <v>400(含)-600</v>
      </c>
      <c r="F2" s="706" t="str">
        <f t="shared" si="0"/>
        <v>600(含)-800</v>
      </c>
      <c r="G2" s="706" t="str">
        <f t="shared" si="0"/>
        <v>800(含)-1000</v>
      </c>
      <c r="H2" s="706" t="str">
        <f t="shared" si="0"/>
        <v>1000(含)-1200</v>
      </c>
      <c r="I2" s="706" t="str">
        <f t="shared" si="0"/>
        <v>1200(含)-1400</v>
      </c>
      <c r="J2" s="706" t="str">
        <f t="shared" si="0"/>
        <v>1400(含)-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200</v>
      </c>
      <c r="E3" s="710">
        <f>'比较法-办公'!E104</f>
        <v>400</v>
      </c>
      <c r="F3" s="710">
        <f>'比较法-办公'!F104</f>
        <v>600</v>
      </c>
      <c r="G3" s="710">
        <f>'比较法-办公'!G104</f>
        <v>800</v>
      </c>
      <c r="H3" s="710">
        <f>'比较法-办公'!H104</f>
        <v>1000</v>
      </c>
      <c r="I3" s="710">
        <f>'比较法-办公'!I104</f>
        <v>1200</v>
      </c>
      <c r="J3" s="710">
        <f>'比较法-办公'!J104</f>
        <v>1400</v>
      </c>
      <c r="K3" s="710"/>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'比较法-办公'!C105</f>
        <v>96</v>
      </c>
      <c r="D4" s="1213">
        <f>'比较法-办公'!D105</f>
        <v>98</v>
      </c>
      <c r="E4" s="1213">
        <f>'比较法-办公'!E105</f>
        <v>100</v>
      </c>
      <c r="F4" s="1213">
        <f>'比较法-办公'!F105</f>
        <v>98</v>
      </c>
      <c r="G4" s="1213">
        <f>'比较法-办公'!G105</f>
        <v>96</v>
      </c>
      <c r="H4" s="1213">
        <f>'比较法-办公'!H105</f>
        <v>94</v>
      </c>
      <c r="I4" s="1213">
        <f>'比较法-办公'!I105</f>
        <v>92</v>
      </c>
      <c r="J4" s="1213">
        <f>'比较法-办公'!J105</f>
        <v>90</v>
      </c>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0" t="s">
        <v>3011</v>
      </c>
      <c r="B17" s="2921" t="s">
        <v>3012</v>
      </c>
      <c r="C17" s="1234" t="str">
        <f>'比较法-办公'!C89</f>
        <v>高区</v>
      </c>
      <c r="D17" s="1234" t="str">
        <f>'比较法-办公'!D89</f>
        <v>中区</v>
      </c>
      <c r="E17" s="1234" t="str">
        <f>'比较法-办公'!E89</f>
        <v>低区</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f>'比较法-办公'!C90</f>
        <v>100</v>
      </c>
      <c r="D18" s="1246">
        <f>'比较法-办公'!D90</f>
        <v>95</v>
      </c>
      <c r="E18" s="1246">
        <f>'比较法-办公'!E90</f>
        <v>90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2" t="s">
        <v>3013</v>
      </c>
      <c r="E19" s="1796"/>
      <c r="F19" s="1796"/>
      <c r="G19" s="1796"/>
      <c r="H19" s="1283"/>
      <c r="I19" s="169"/>
      <c r="J19" s="169"/>
      <c r="K19" s="169"/>
      <c r="L19" s="169"/>
      <c r="M19" s="169"/>
      <c r="N19" s="169"/>
      <c r="O19" s="169"/>
      <c r="P19" s="169"/>
      <c r="Q19" s="169"/>
      <c r="R19" s="788"/>
      <c r="S19" s="138"/>
    </row>
    <row r="20" spans="1:45" ht="16.5" thickBot="1">
      <c r="A20" s="715" t="s">
        <v>3014</v>
      </c>
      <c r="B20" s="339">
        <f>IF(D20="——",S22,S22-F20)</f>
        <v>27443</v>
      </c>
      <c r="C20" s="169"/>
      <c r="D20" s="2923" t="s">
        <v>70</v>
      </c>
      <c r="E20" s="1797"/>
      <c r="F20" s="1207" t="e">
        <f ca="1">SUMIF(INDIRECT("'"&amp;H20&amp;"'"&amp;"!A:A"),"承租人权益价值",INDIRECT("'"&amp;H20&amp;"'"&amp;"!c:c"))</f>
        <v>#REF!</v>
      </c>
      <c r="G20" s="1207" t="s">
        <v>3015</v>
      </c>
      <c r="H20" s="2924"/>
      <c r="I20" s="169"/>
      <c r="J20" s="169"/>
      <c r="K20" s="169"/>
      <c r="L20" s="169"/>
      <c r="M20" s="169"/>
      <c r="N20" s="169"/>
      <c r="O20" s="169"/>
      <c r="P20" s="169"/>
      <c r="Q20" s="169"/>
      <c r="R20" s="788"/>
      <c r="S20" s="138"/>
    </row>
    <row r="21" spans="1:45" ht="15.75">
      <c r="A21" s="715" t="s">
        <v>3016</v>
      </c>
      <c r="B21" s="339">
        <f>R22</f>
        <v>39426</v>
      </c>
      <c r="C21" s="169"/>
      <c r="D21" s="169"/>
      <c r="E21" s="169"/>
      <c r="F21" s="169"/>
      <c r="G21" s="169"/>
      <c r="H21" s="169"/>
      <c r="I21" s="169"/>
      <c r="J21" s="169"/>
      <c r="K21" s="169"/>
      <c r="L21" s="169"/>
      <c r="M21" s="169"/>
      <c r="N21" s="169"/>
      <c r="O21" s="169"/>
      <c r="P21" s="169"/>
      <c r="Q21" s="169"/>
      <c r="R21" s="788"/>
      <c r="S21" s="138"/>
    </row>
    <row r="22" spans="1:45">
      <c r="A22" s="362" t="s">
        <v>3017</v>
      </c>
      <c r="B22" s="24">
        <f>SUM(B24:B10000)</f>
        <v>6960.5900000000011</v>
      </c>
      <c r="C22" s="3165" t="s">
        <v>33</v>
      </c>
      <c r="D22" s="3166"/>
      <c r="E22" s="3166"/>
      <c r="F22" s="3166"/>
      <c r="G22" s="3166"/>
      <c r="H22" s="3166"/>
      <c r="I22" s="3166"/>
      <c r="J22" s="3166"/>
      <c r="K22" s="3166"/>
      <c r="L22" s="3166"/>
      <c r="M22" s="3166"/>
      <c r="N22" s="3166"/>
      <c r="O22" s="3166"/>
      <c r="P22" s="3166"/>
      <c r="Q22" s="3385"/>
      <c r="R22" s="716">
        <f>ROUND(S22*10000/B22,0)</f>
        <v>39426</v>
      </c>
      <c r="S22" s="24">
        <f>SUM(S24:S10000)</f>
        <v>27443</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45" t="str">
        <f>清单及结果!C2</f>
        <v>北京市朝阳区东三环中路59号楼501号办公用房房地产</v>
      </c>
      <c r="B24" s="3045">
        <f>清单及结果!D2</f>
        <v>337.41</v>
      </c>
      <c r="C24" s="719">
        <v>1</v>
      </c>
      <c r="D24" s="720"/>
      <c r="E24" s="719">
        <v>1</v>
      </c>
      <c r="F24" s="720"/>
      <c r="G24" s="719">
        <v>1</v>
      </c>
      <c r="H24" s="720"/>
      <c r="I24" s="719">
        <v>1</v>
      </c>
      <c r="J24" s="720"/>
      <c r="K24" s="719">
        <v>1</v>
      </c>
      <c r="L24" s="720"/>
      <c r="M24" s="719">
        <v>1</v>
      </c>
      <c r="N24" s="720"/>
      <c r="O24" s="719">
        <v>1</v>
      </c>
      <c r="P24" s="720" t="s">
        <v>3334</v>
      </c>
      <c r="Q24" s="719">
        <v>1</v>
      </c>
      <c r="R24" s="721">
        <f>'比较法-办公'!C49</f>
        <v>37806</v>
      </c>
      <c r="S24" s="719">
        <f t="shared" ref="S24:S54" si="11">ROUND(R24*B24/10000,0)</f>
        <v>1276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45" t="str">
        <f>清单及结果!C3</f>
        <v>北京市朝阳区东三环中路59号楼505号办公用房房地产</v>
      </c>
      <c r="B25" s="3045">
        <f>清单及结果!D3</f>
        <v>183.38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3334</v>
      </c>
      <c r="Q25" s="24">
        <f>(SUMIF($17:$17,P25,$18:$18)-SUMIF($17:$17,$P$24,$18:$18)+100)/100</f>
        <v>1</v>
      </c>
      <c r="R25" s="716">
        <f>IF(B25="",0,ROUND($R$24*C25*E25*G25*I25*K25*M25*O25*Q25,0))</f>
        <v>37050</v>
      </c>
      <c r="S25" s="362">
        <f t="shared" si="11"/>
        <v>679</v>
      </c>
    </row>
    <row r="26" spans="1:45">
      <c r="A26" s="3045" t="str">
        <f>清单及结果!C4</f>
        <v>北京市朝阳区东三环中路59号楼506号办公用房房地产</v>
      </c>
      <c r="B26" s="3045">
        <f>清单及结果!D4</f>
        <v>272.11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3334</v>
      </c>
      <c r="Q26" s="24">
        <f t="shared" ref="Q26:Q89" si="19">(SUMIF($17:$17,P26,$18:$18)-SUMIF($17:$17,$P$24,$18:$18)+100)/100</f>
        <v>1</v>
      </c>
      <c r="R26" s="716">
        <f t="shared" ref="R26:R89" si="20">IF(B26="",0,ROUND($R$24*C26*E26*G26*I26*K26*M26*O26*Q26,0))</f>
        <v>37806</v>
      </c>
      <c r="S26" s="362">
        <f t="shared" si="11"/>
        <v>1029</v>
      </c>
    </row>
    <row r="27" spans="1:45">
      <c r="A27" s="3045" t="str">
        <f>清单及结果!C5</f>
        <v>北京市朝阳区东三环中路59号楼601号办公用房房地产</v>
      </c>
      <c r="B27" s="3045">
        <f>清单及结果!D5</f>
        <v>417.48</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3334</v>
      </c>
      <c r="Q27" s="24">
        <f t="shared" si="19"/>
        <v>1</v>
      </c>
      <c r="R27" s="716">
        <f t="shared" si="20"/>
        <v>38562</v>
      </c>
      <c r="S27" s="362">
        <f t="shared" si="11"/>
        <v>1610</v>
      </c>
    </row>
    <row r="28" spans="1:45">
      <c r="A28" s="3045" t="str">
        <f>清单及结果!C6</f>
        <v>北京市朝阳区东三环中路59号楼603号办公用房房地产</v>
      </c>
      <c r="B28" s="3045">
        <f>清单及结果!D6</f>
        <v>345.76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3334</v>
      </c>
      <c r="Q28" s="24">
        <f t="shared" si="19"/>
        <v>1</v>
      </c>
      <c r="R28" s="716">
        <f t="shared" si="20"/>
        <v>37806</v>
      </c>
      <c r="S28" s="362">
        <f t="shared" si="11"/>
        <v>1307</v>
      </c>
    </row>
    <row r="29" spans="1:45">
      <c r="A29" s="3045" t="str">
        <f>清单及结果!C7</f>
        <v>北京市朝阳区东三环中路59号楼605号办公用房房地产</v>
      </c>
      <c r="B29" s="3045">
        <f>清单及结果!D7</f>
        <v>317.57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3334</v>
      </c>
      <c r="Q29" s="24">
        <f t="shared" si="19"/>
        <v>1</v>
      </c>
      <c r="R29" s="716">
        <f t="shared" si="20"/>
        <v>37806</v>
      </c>
      <c r="S29" s="362">
        <f t="shared" si="11"/>
        <v>1201</v>
      </c>
    </row>
    <row r="30" spans="1:45">
      <c r="A30" s="3045" t="str">
        <f>清单及结果!C8</f>
        <v>北京市朝阳区东三环中路59号楼703号办公用房房地产</v>
      </c>
      <c r="B30" s="3045">
        <f>清单及结果!D8</f>
        <v>453.8</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3334</v>
      </c>
      <c r="Q30" s="24">
        <f t="shared" si="19"/>
        <v>1</v>
      </c>
      <c r="R30" s="716">
        <f t="shared" si="20"/>
        <v>38562</v>
      </c>
      <c r="S30" s="362">
        <f t="shared" si="11"/>
        <v>1750</v>
      </c>
    </row>
    <row r="31" spans="1:45">
      <c r="A31" s="3045" t="str">
        <f>清单及结果!C9</f>
        <v>北京市朝阳区东三环中路59号楼705号办公用房房地产</v>
      </c>
      <c r="B31" s="3045">
        <f>清单及结果!D9</f>
        <v>224.55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3334</v>
      </c>
      <c r="Q31" s="24">
        <f t="shared" si="19"/>
        <v>1</v>
      </c>
      <c r="R31" s="716">
        <f t="shared" si="20"/>
        <v>37806</v>
      </c>
      <c r="S31" s="362">
        <f t="shared" si="11"/>
        <v>849</v>
      </c>
    </row>
    <row r="32" spans="1:45">
      <c r="A32" s="3045" t="str">
        <f>清单及结果!C10</f>
        <v>北京市朝阳区东三环中路59号楼801号办公用房房地产</v>
      </c>
      <c r="B32" s="3045">
        <f>清单及结果!D10</f>
        <v>414.92</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3332</v>
      </c>
      <c r="Q32" s="24">
        <f t="shared" si="19"/>
        <v>1.05</v>
      </c>
      <c r="R32" s="716">
        <f t="shared" si="20"/>
        <v>40490</v>
      </c>
      <c r="S32" s="362">
        <f t="shared" si="11"/>
        <v>1680</v>
      </c>
    </row>
    <row r="33" spans="1:19">
      <c r="A33" s="3045" t="str">
        <f>清单及结果!C11</f>
        <v>北京市朝阳区东三环中路59号楼903号办公用房房地产</v>
      </c>
      <c r="B33" s="3045">
        <f>清单及结果!D11</f>
        <v>424.8</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3332</v>
      </c>
      <c r="Q33" s="24">
        <f t="shared" si="19"/>
        <v>1.05</v>
      </c>
      <c r="R33" s="716">
        <f t="shared" si="20"/>
        <v>40490</v>
      </c>
      <c r="S33" s="362">
        <f t="shared" si="11"/>
        <v>1720</v>
      </c>
    </row>
    <row r="34" spans="1:19">
      <c r="A34" s="3045" t="str">
        <f>清单及结果!C12</f>
        <v>北京市朝阳区东三环中路59号楼906号办公用房房地产</v>
      </c>
      <c r="B34" s="3045">
        <f>清单及结果!D12</f>
        <v>260.64999999999998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3332</v>
      </c>
      <c r="Q34" s="24">
        <f t="shared" si="19"/>
        <v>1.05</v>
      </c>
      <c r="R34" s="716">
        <f t="shared" si="20"/>
        <v>39696</v>
      </c>
      <c r="S34" s="362">
        <f t="shared" si="11"/>
        <v>1035</v>
      </c>
    </row>
    <row r="35" spans="1:19">
      <c r="A35" s="3045" t="str">
        <f>清单及结果!C13</f>
        <v>北京市朝阳区东三环中路59号楼1101号办公用房房地产</v>
      </c>
      <c r="B35" s="3045">
        <f>清单及结果!D13</f>
        <v>322.54000000000002</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3332</v>
      </c>
      <c r="Q35" s="24">
        <f t="shared" si="19"/>
        <v>1.05</v>
      </c>
      <c r="R35" s="716">
        <f t="shared" si="20"/>
        <v>39696</v>
      </c>
      <c r="S35" s="362">
        <f t="shared" si="11"/>
        <v>1280</v>
      </c>
    </row>
    <row r="36" spans="1:19">
      <c r="A36" s="3045" t="str">
        <f>清单及结果!C14</f>
        <v>北京市朝阳区东三环中路59号楼1102号办公用房房地产</v>
      </c>
      <c r="B36" s="3045">
        <f>清单及结果!D14</f>
        <v>224.33</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3332</v>
      </c>
      <c r="Q36" s="24">
        <f t="shared" si="19"/>
        <v>1.05</v>
      </c>
      <c r="R36" s="716">
        <f t="shared" si="20"/>
        <v>39696</v>
      </c>
      <c r="S36" s="362">
        <f t="shared" si="11"/>
        <v>891</v>
      </c>
    </row>
    <row r="37" spans="1:19">
      <c r="A37" s="3045" t="str">
        <f>清单及结果!C15</f>
        <v>北京市朝阳区东三环中路59号楼1103号办公用房房地产</v>
      </c>
      <c r="B37" s="3045">
        <f>清单及结果!D15</f>
        <v>424.8</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3332</v>
      </c>
      <c r="Q37" s="24">
        <f t="shared" si="19"/>
        <v>1.05</v>
      </c>
      <c r="R37" s="716">
        <f t="shared" si="20"/>
        <v>40490</v>
      </c>
      <c r="S37" s="362">
        <f t="shared" si="11"/>
        <v>1720</v>
      </c>
    </row>
    <row r="38" spans="1:19">
      <c r="A38" s="3045" t="str">
        <f>清单及结果!C16</f>
        <v>北京市朝阳区东三环中路59号楼1105号办公用房房地产</v>
      </c>
      <c r="B38" s="3045">
        <f>清单及结果!D16</f>
        <v>224.67</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3332</v>
      </c>
      <c r="Q38" s="24">
        <f t="shared" si="19"/>
        <v>1.05</v>
      </c>
      <c r="R38" s="716">
        <f t="shared" si="20"/>
        <v>39696</v>
      </c>
      <c r="S38" s="362">
        <f t="shared" si="11"/>
        <v>892</v>
      </c>
    </row>
    <row r="39" spans="1:19">
      <c r="A39" s="3045" t="str">
        <f>清单及结果!C17</f>
        <v>北京市朝阳区东三环中路59号楼1106号办公用房房地产</v>
      </c>
      <c r="B39" s="3045">
        <f>清单及结果!D17</f>
        <v>260.64999999999998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3332</v>
      </c>
      <c r="Q39" s="24">
        <f t="shared" si="19"/>
        <v>1.05</v>
      </c>
      <c r="R39" s="716">
        <f t="shared" si="20"/>
        <v>39696</v>
      </c>
      <c r="S39" s="362">
        <f t="shared" si="11"/>
        <v>1035</v>
      </c>
    </row>
    <row r="40" spans="1:19">
      <c r="A40" s="3045" t="str">
        <f>清单及结果!C18</f>
        <v>北京市朝阳区东三环中路59号楼1201号办公用房房地产</v>
      </c>
      <c r="B40" s="3045">
        <f>清单及结果!D18</f>
        <v>414.92</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3332</v>
      </c>
      <c r="Q40" s="24">
        <f t="shared" si="19"/>
        <v>1.05</v>
      </c>
      <c r="R40" s="716">
        <f t="shared" si="20"/>
        <v>40490</v>
      </c>
      <c r="S40" s="362">
        <f t="shared" si="11"/>
        <v>1680</v>
      </c>
    </row>
    <row r="41" spans="1:19">
      <c r="A41" s="3045" t="str">
        <f>清单及结果!C19</f>
        <v>北京市朝阳区东三环中路59号楼1202号办公用房房地产</v>
      </c>
      <c r="B41" s="3045">
        <f>清单及结果!D19</f>
        <v>303.77999999999997</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3332</v>
      </c>
      <c r="Q41" s="24">
        <f t="shared" si="19"/>
        <v>1.05</v>
      </c>
      <c r="R41" s="716">
        <f t="shared" si="20"/>
        <v>39696</v>
      </c>
      <c r="S41" s="362">
        <f t="shared" si="11"/>
        <v>1206</v>
      </c>
    </row>
    <row r="42" spans="1:19">
      <c r="A42" s="3045" t="str">
        <f>清单及结果!C20</f>
        <v>北京市朝阳区东三环中路59号楼1203号办公用房房地产</v>
      </c>
      <c r="B42" s="3045">
        <f>清单及结果!D20</f>
        <v>424.8</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3332</v>
      </c>
      <c r="Q42" s="24">
        <f t="shared" si="19"/>
        <v>1.05</v>
      </c>
      <c r="R42" s="716">
        <f t="shared" si="20"/>
        <v>40490</v>
      </c>
      <c r="S42" s="362">
        <f t="shared" si="11"/>
        <v>1720</v>
      </c>
    </row>
    <row r="43" spans="1:19">
      <c r="A43" s="3045" t="str">
        <f>清单及结果!C21</f>
        <v>北京市朝阳区东三环中路59号楼1205号办公用房房地产</v>
      </c>
      <c r="B43" s="3045">
        <f>清单及结果!D21</f>
        <v>313.49</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3332</v>
      </c>
      <c r="Q43" s="24">
        <f t="shared" si="19"/>
        <v>1.05</v>
      </c>
      <c r="R43" s="716">
        <f t="shared" si="20"/>
        <v>39696</v>
      </c>
      <c r="S43" s="362">
        <f t="shared" si="11"/>
        <v>1244</v>
      </c>
    </row>
    <row r="44" spans="1:19">
      <c r="A44" s="3045" t="str">
        <f>清单及结果!C22</f>
        <v>北京市朝阳区东三环中路59号楼2303号办公用房房地产</v>
      </c>
      <c r="B44" s="3045">
        <f>清单及结果!D22</f>
        <v>394.18</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3330</v>
      </c>
      <c r="Q44" s="24">
        <f t="shared" si="19"/>
        <v>1.1000000000000001</v>
      </c>
      <c r="R44" s="716">
        <f t="shared" si="20"/>
        <v>41587</v>
      </c>
      <c r="S44" s="362">
        <f t="shared" si="11"/>
        <v>1639</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0.1</v>
      </c>
      <c r="R73" s="716">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0.1</v>
      </c>
      <c r="R524" s="716">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52"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6"/>
  <sheetViews>
    <sheetView zoomScaleNormal="100" workbookViewId="0">
      <selection activeCell="H36" sqref="H36"/>
    </sheetView>
  </sheetViews>
  <sheetFormatPr defaultRowHeight="13.5"/>
  <cols>
    <col min="1" max="1" width="5" customWidth="1"/>
    <col min="2" max="2" width="24.75" customWidth="1"/>
    <col min="3" max="3" width="48" customWidth="1"/>
  </cols>
  <sheetData>
    <row r="2" spans="1:11">
      <c r="A2" s="2930" t="s">
        <v>3035</v>
      </c>
      <c r="B2" s="2930" t="s">
        <v>3040</v>
      </c>
      <c r="C2" s="2930" t="s">
        <v>1370</v>
      </c>
      <c r="D2" s="2930" t="s">
        <v>3036</v>
      </c>
      <c r="E2" s="2930" t="s">
        <v>3037</v>
      </c>
      <c r="F2" s="2930" t="s">
        <v>3038</v>
      </c>
    </row>
    <row r="3" spans="1:11">
      <c r="A3" s="3010">
        <v>1</v>
      </c>
      <c r="B3" s="3009" t="s">
        <v>3041</v>
      </c>
      <c r="C3" s="3009" t="s">
        <v>3039</v>
      </c>
      <c r="D3" s="2931">
        <v>224.55</v>
      </c>
      <c r="E3" s="2931">
        <v>6</v>
      </c>
      <c r="F3" s="2931"/>
      <c r="H3" s="3006">
        <v>501</v>
      </c>
      <c r="I3">
        <f>D10</f>
        <v>337.41</v>
      </c>
      <c r="K3">
        <v>337.41</v>
      </c>
    </row>
    <row r="4" spans="1:11">
      <c r="A4" s="2931">
        <v>2</v>
      </c>
      <c r="B4" s="2930" t="s">
        <v>3042</v>
      </c>
      <c r="C4" s="2930" t="s">
        <v>3043</v>
      </c>
      <c r="D4" s="2931">
        <v>414.92</v>
      </c>
      <c r="E4" s="2931">
        <v>13</v>
      </c>
      <c r="F4" s="2931"/>
      <c r="H4" s="3006" t="s">
        <v>3275</v>
      </c>
      <c r="I4">
        <f>D9+D8</f>
        <v>455.49</v>
      </c>
      <c r="K4">
        <v>455.49</v>
      </c>
    </row>
    <row r="5" spans="1:11">
      <c r="A5" s="3010">
        <v>3</v>
      </c>
      <c r="B5" s="3009" t="s">
        <v>3044</v>
      </c>
      <c r="C5" s="3009" t="s">
        <v>3045</v>
      </c>
      <c r="D5" s="2931">
        <v>453.8</v>
      </c>
      <c r="E5" s="2931">
        <v>6</v>
      </c>
      <c r="F5" s="2931"/>
      <c r="H5" s="3006" t="s">
        <v>3276</v>
      </c>
      <c r="I5">
        <f>D18</f>
        <v>417.48</v>
      </c>
      <c r="K5">
        <v>150</v>
      </c>
    </row>
    <row r="6" spans="1:11">
      <c r="A6" s="3010">
        <v>4</v>
      </c>
      <c r="B6" s="3009" t="s">
        <v>3046</v>
      </c>
      <c r="C6" s="3009" t="s">
        <v>3047</v>
      </c>
      <c r="D6" s="2931">
        <v>317.57</v>
      </c>
      <c r="E6" s="2931">
        <v>5</v>
      </c>
      <c r="F6" s="2931"/>
      <c r="H6" s="3006" t="s">
        <v>3277</v>
      </c>
      <c r="K6">
        <v>267.48</v>
      </c>
    </row>
    <row r="7" spans="1:11">
      <c r="A7" s="3010">
        <v>5</v>
      </c>
      <c r="B7" s="3009" t="s">
        <v>3048</v>
      </c>
      <c r="C7" s="3009" t="s">
        <v>3049</v>
      </c>
      <c r="D7" s="2931">
        <v>345.76</v>
      </c>
      <c r="E7" s="2931">
        <v>5</v>
      </c>
      <c r="F7" s="2931"/>
      <c r="H7" s="3006">
        <v>603</v>
      </c>
      <c r="I7">
        <f>D7</f>
        <v>345.76</v>
      </c>
      <c r="K7">
        <v>198.76</v>
      </c>
    </row>
    <row r="8" spans="1:11">
      <c r="A8" s="3010">
        <v>6</v>
      </c>
      <c r="B8" s="3009" t="s">
        <v>3050</v>
      </c>
      <c r="C8" s="3009" t="s">
        <v>3051</v>
      </c>
      <c r="D8" s="2931">
        <v>272.11</v>
      </c>
      <c r="E8" s="2931">
        <v>4</v>
      </c>
      <c r="F8" s="2931"/>
      <c r="H8" s="3006" t="s">
        <v>3278</v>
      </c>
      <c r="K8">
        <v>147</v>
      </c>
    </row>
    <row r="9" spans="1:11">
      <c r="A9" s="3010">
        <v>7</v>
      </c>
      <c r="B9" s="3009" t="s">
        <v>3052</v>
      </c>
      <c r="C9" s="3009" t="s">
        <v>3053</v>
      </c>
      <c r="D9" s="2931">
        <v>183.38</v>
      </c>
      <c r="E9" s="2931">
        <v>4</v>
      </c>
      <c r="F9" s="2931"/>
      <c r="H9" s="3006">
        <v>605</v>
      </c>
      <c r="I9">
        <f>D6</f>
        <v>317.57</v>
      </c>
      <c r="K9">
        <v>317.57</v>
      </c>
    </row>
    <row r="10" spans="1:11">
      <c r="A10" s="3010">
        <v>8</v>
      </c>
      <c r="B10" s="3009" t="s">
        <v>3054</v>
      </c>
      <c r="C10" s="3009" t="s">
        <v>3055</v>
      </c>
      <c r="D10" s="2931">
        <v>337.41</v>
      </c>
      <c r="E10" s="2931">
        <v>4</v>
      </c>
      <c r="F10" s="2931"/>
      <c r="H10" s="3006">
        <v>703</v>
      </c>
      <c r="I10">
        <f>D5</f>
        <v>453.8</v>
      </c>
      <c r="K10">
        <v>453.8</v>
      </c>
    </row>
    <row r="11" spans="1:11">
      <c r="A11" s="3010">
        <v>9</v>
      </c>
      <c r="B11" s="3009" t="s">
        <v>3056</v>
      </c>
      <c r="C11" s="3009" t="s">
        <v>3057</v>
      </c>
      <c r="D11" s="2931">
        <v>394.18</v>
      </c>
      <c r="E11" s="2931">
        <v>20</v>
      </c>
      <c r="F11" s="2931"/>
      <c r="H11" s="3006">
        <v>705</v>
      </c>
      <c r="I11">
        <f>D3</f>
        <v>224.55</v>
      </c>
      <c r="K11">
        <v>224.55</v>
      </c>
    </row>
    <row r="12" spans="1:11">
      <c r="A12" s="2931">
        <v>10</v>
      </c>
      <c r="B12" s="2930" t="s">
        <v>3058</v>
      </c>
      <c r="C12" s="2930" t="s">
        <v>3059</v>
      </c>
      <c r="D12" s="2931">
        <v>324.39</v>
      </c>
      <c r="E12" s="2931">
        <v>20</v>
      </c>
      <c r="F12" s="2931"/>
      <c r="H12" s="3006">
        <v>801</v>
      </c>
      <c r="I12">
        <f>D42</f>
        <v>414.92</v>
      </c>
      <c r="K12">
        <v>414.92</v>
      </c>
    </row>
    <row r="13" spans="1:11">
      <c r="A13" s="2931">
        <v>11</v>
      </c>
      <c r="B13" s="2930" t="s">
        <v>3060</v>
      </c>
      <c r="C13" s="2930" t="s">
        <v>3061</v>
      </c>
      <c r="D13" s="2931">
        <v>224.67</v>
      </c>
      <c r="E13" s="2931">
        <v>16</v>
      </c>
      <c r="F13" s="2931"/>
      <c r="H13" s="3006">
        <v>903</v>
      </c>
      <c r="I13">
        <f>D40</f>
        <v>424.8</v>
      </c>
      <c r="K13">
        <v>424.8</v>
      </c>
    </row>
    <row r="14" spans="1:11">
      <c r="A14" s="2931">
        <v>12</v>
      </c>
      <c r="B14" s="2930" t="s">
        <v>3062</v>
      </c>
      <c r="C14" s="2930" t="s">
        <v>3063</v>
      </c>
      <c r="D14" s="2931">
        <v>424.8</v>
      </c>
      <c r="E14" s="2931">
        <v>16</v>
      </c>
      <c r="F14" s="2931"/>
      <c r="H14" s="3006">
        <v>906</v>
      </c>
      <c r="I14">
        <f>D39</f>
        <v>260.64999999999998</v>
      </c>
      <c r="K14">
        <v>260.64999999999998</v>
      </c>
    </row>
    <row r="15" spans="1:11">
      <c r="A15" s="2931">
        <v>13</v>
      </c>
      <c r="B15" s="2930" t="s">
        <v>3064</v>
      </c>
      <c r="C15" s="2930" t="s">
        <v>3065</v>
      </c>
      <c r="D15" s="2931">
        <v>224.33</v>
      </c>
      <c r="E15" s="2931">
        <v>16</v>
      </c>
      <c r="F15" s="2931"/>
      <c r="H15" s="3006" t="s">
        <v>3279</v>
      </c>
      <c r="I15">
        <f>D38+D26+D25</f>
        <v>807.86</v>
      </c>
      <c r="K15">
        <v>807.86</v>
      </c>
    </row>
    <row r="16" spans="1:11">
      <c r="A16" s="2931">
        <v>14</v>
      </c>
      <c r="B16" s="2930" t="s">
        <v>3066</v>
      </c>
      <c r="C16" s="2930" t="s">
        <v>3067</v>
      </c>
      <c r="D16" s="2931">
        <v>322.54000000000002</v>
      </c>
      <c r="E16" s="2931">
        <v>16</v>
      </c>
      <c r="F16" s="2931"/>
      <c r="H16" s="3006" t="s">
        <v>3280</v>
      </c>
      <c r="I16">
        <f>D29+D27</f>
        <v>649.13</v>
      </c>
      <c r="K16">
        <v>629.13</v>
      </c>
    </row>
    <row r="17" spans="1:11">
      <c r="A17" s="2931">
        <v>15</v>
      </c>
      <c r="B17" s="2930" t="s">
        <v>3068</v>
      </c>
      <c r="C17" s="2930" t="s">
        <v>3069</v>
      </c>
      <c r="D17" s="2931">
        <v>313.49</v>
      </c>
      <c r="E17" s="2931">
        <v>15</v>
      </c>
      <c r="F17" s="2931"/>
      <c r="H17" s="3006" t="s">
        <v>3281</v>
      </c>
      <c r="K17">
        <v>20</v>
      </c>
    </row>
    <row r="18" spans="1:11">
      <c r="A18" s="3010">
        <v>16</v>
      </c>
      <c r="B18" s="3009" t="s">
        <v>3070</v>
      </c>
      <c r="C18" s="3009" t="s">
        <v>3071</v>
      </c>
      <c r="D18" s="2931">
        <v>417.48</v>
      </c>
      <c r="E18" s="2931">
        <v>5</v>
      </c>
      <c r="F18" s="2931"/>
      <c r="H18" s="3006" t="s">
        <v>3282</v>
      </c>
      <c r="I18">
        <f>D22+D23+D24+D28</f>
        <v>1456.99</v>
      </c>
      <c r="K18">
        <v>1456.99</v>
      </c>
    </row>
    <row r="19" spans="1:11">
      <c r="A19" s="2931">
        <v>17</v>
      </c>
      <c r="B19" s="2930" t="s">
        <v>3072</v>
      </c>
      <c r="C19" s="2930" t="s">
        <v>3073</v>
      </c>
      <c r="D19" s="2931">
        <v>424.8</v>
      </c>
      <c r="E19" s="2931">
        <v>15</v>
      </c>
      <c r="F19" s="2931"/>
      <c r="H19" s="3006">
        <v>2303</v>
      </c>
      <c r="I19">
        <f>D11</f>
        <v>394.18</v>
      </c>
      <c r="K19">
        <v>394.18</v>
      </c>
    </row>
    <row r="20" spans="1:11">
      <c r="A20" s="2931">
        <v>18</v>
      </c>
      <c r="B20" s="2930" t="s">
        <v>3074</v>
      </c>
      <c r="C20" s="2930" t="s">
        <v>3075</v>
      </c>
      <c r="D20" s="2931">
        <v>303.77999999999997</v>
      </c>
      <c r="E20" s="2931">
        <v>15</v>
      </c>
      <c r="F20" s="2931"/>
      <c r="I20">
        <f>SUM(I3:I19)</f>
        <v>6960.5900000000011</v>
      </c>
    </row>
    <row r="21" spans="1:11">
      <c r="A21" s="2931">
        <v>19</v>
      </c>
      <c r="B21" s="2930" t="s">
        <v>3076</v>
      </c>
      <c r="C21" s="2930" t="s">
        <v>3077</v>
      </c>
      <c r="D21" s="2931">
        <v>414.92</v>
      </c>
      <c r="E21" s="2931">
        <v>15</v>
      </c>
      <c r="F21" s="2931"/>
    </row>
    <row r="22" spans="1:11">
      <c r="A22" s="3010">
        <v>20</v>
      </c>
      <c r="B22" s="3009" t="s">
        <v>3078</v>
      </c>
      <c r="C22" s="3009" t="s">
        <v>3079</v>
      </c>
      <c r="D22" s="3010">
        <v>313.49</v>
      </c>
      <c r="E22" s="3010">
        <v>11</v>
      </c>
      <c r="F22" s="2931"/>
    </row>
    <row r="23" spans="1:11">
      <c r="A23" s="3010">
        <v>21</v>
      </c>
      <c r="B23" s="3009" t="s">
        <v>3080</v>
      </c>
      <c r="C23" s="3009" t="s">
        <v>3081</v>
      </c>
      <c r="D23" s="3010">
        <v>424.8</v>
      </c>
      <c r="E23" s="3010">
        <v>11</v>
      </c>
      <c r="F23" s="2931"/>
    </row>
    <row r="24" spans="1:11">
      <c r="A24" s="3010">
        <v>22</v>
      </c>
      <c r="B24" s="3009" t="s">
        <v>3082</v>
      </c>
      <c r="C24" s="3009" t="s">
        <v>3083</v>
      </c>
      <c r="D24" s="3010">
        <v>414.92</v>
      </c>
      <c r="E24" s="3010">
        <v>11</v>
      </c>
      <c r="F24" s="2931"/>
    </row>
    <row r="25" spans="1:11">
      <c r="A25" s="3010">
        <v>23</v>
      </c>
      <c r="B25" s="3009" t="s">
        <v>3084</v>
      </c>
      <c r="C25" s="3009" t="s">
        <v>3085</v>
      </c>
      <c r="D25" s="3010">
        <v>260.64999999999998</v>
      </c>
      <c r="E25" s="3010">
        <v>10</v>
      </c>
      <c r="F25" s="2931"/>
      <c r="K25">
        <f>I25-6960</f>
        <v>-6960</v>
      </c>
    </row>
    <row r="26" spans="1:11">
      <c r="A26" s="3010">
        <v>24</v>
      </c>
      <c r="B26" s="3009" t="s">
        <v>3086</v>
      </c>
      <c r="C26" s="3009" t="s">
        <v>3087</v>
      </c>
      <c r="D26" s="3010">
        <v>224.67</v>
      </c>
      <c r="E26" s="3010">
        <v>10</v>
      </c>
      <c r="F26" s="2931"/>
    </row>
    <row r="27" spans="1:11">
      <c r="A27" s="3010">
        <v>25</v>
      </c>
      <c r="B27" s="3009" t="s">
        <v>3088</v>
      </c>
      <c r="C27" s="3009" t="s">
        <v>3089</v>
      </c>
      <c r="D27" s="3010">
        <v>424.8</v>
      </c>
      <c r="E27" s="3010">
        <v>10</v>
      </c>
      <c r="F27" s="2931"/>
    </row>
    <row r="28" spans="1:11">
      <c r="A28" s="3010">
        <v>26</v>
      </c>
      <c r="B28" s="3009" t="s">
        <v>3090</v>
      </c>
      <c r="C28" s="3009" t="s">
        <v>3091</v>
      </c>
      <c r="D28" s="3010">
        <v>303.77999999999997</v>
      </c>
      <c r="E28" s="3010">
        <v>11</v>
      </c>
      <c r="F28" s="2931"/>
    </row>
    <row r="29" spans="1:11">
      <c r="A29" s="3010">
        <v>27</v>
      </c>
      <c r="B29" s="3009" t="s">
        <v>3092</v>
      </c>
      <c r="C29" s="3009" t="s">
        <v>3093</v>
      </c>
      <c r="D29" s="3010">
        <v>224.33</v>
      </c>
      <c r="E29" s="3010">
        <v>10</v>
      </c>
      <c r="F29" s="2931"/>
    </row>
    <row r="30" spans="1:11">
      <c r="A30" s="2931">
        <v>28</v>
      </c>
      <c r="B30" s="2930" t="s">
        <v>3094</v>
      </c>
      <c r="C30" s="2930" t="s">
        <v>3095</v>
      </c>
      <c r="D30" s="2931">
        <v>260.55</v>
      </c>
      <c r="E30" s="2931">
        <v>14</v>
      </c>
      <c r="F30" s="2931"/>
    </row>
    <row r="31" spans="1:11">
      <c r="A31" s="2931">
        <v>29</v>
      </c>
      <c r="B31" s="2930" t="s">
        <v>3096</v>
      </c>
      <c r="C31" s="2930" t="s">
        <v>3097</v>
      </c>
      <c r="D31" s="2931">
        <v>224.67</v>
      </c>
      <c r="E31" s="2931">
        <v>14</v>
      </c>
      <c r="F31" s="2931"/>
    </row>
    <row r="32" spans="1:11">
      <c r="A32" s="2931">
        <v>30</v>
      </c>
      <c r="B32" s="2930" t="s">
        <v>3098</v>
      </c>
      <c r="C32" s="2930" t="s">
        <v>3099</v>
      </c>
      <c r="D32" s="2931">
        <v>424.8</v>
      </c>
      <c r="E32" s="2931">
        <v>14</v>
      </c>
      <c r="F32" s="2931"/>
    </row>
    <row r="33" spans="1:6">
      <c r="A33" s="2931">
        <v>31</v>
      </c>
      <c r="B33" s="2930" t="s">
        <v>3100</v>
      </c>
      <c r="C33" s="2930" t="s">
        <v>3101</v>
      </c>
      <c r="D33" s="2931">
        <v>224.33</v>
      </c>
      <c r="E33" s="2931">
        <v>14</v>
      </c>
      <c r="F33" s="2931"/>
    </row>
    <row r="34" spans="1:6">
      <c r="A34" s="2931">
        <v>32</v>
      </c>
      <c r="B34" s="2930" t="s">
        <v>3102</v>
      </c>
      <c r="C34" s="2930" t="s">
        <v>3103</v>
      </c>
      <c r="D34" s="2931">
        <v>322.54000000000002</v>
      </c>
      <c r="E34" s="2931">
        <v>14</v>
      </c>
      <c r="F34" s="2931"/>
    </row>
    <row r="35" spans="1:6">
      <c r="A35" s="2931">
        <v>33</v>
      </c>
      <c r="B35" s="2930" t="s">
        <v>3104</v>
      </c>
      <c r="C35" s="2930" t="s">
        <v>3105</v>
      </c>
      <c r="D35" s="2931">
        <v>247.24</v>
      </c>
      <c r="E35" s="2931">
        <v>20</v>
      </c>
      <c r="F35" s="2931"/>
    </row>
    <row r="36" spans="1:6">
      <c r="A36" s="2931">
        <v>34</v>
      </c>
      <c r="B36" s="2930" t="s">
        <v>3106</v>
      </c>
      <c r="C36" s="2930" t="s">
        <v>3107</v>
      </c>
      <c r="D36" s="2931">
        <v>260.64999999999998</v>
      </c>
      <c r="E36" s="2931">
        <v>16</v>
      </c>
      <c r="F36" s="2931"/>
    </row>
    <row r="37" spans="1:6">
      <c r="A37" s="2931">
        <v>35</v>
      </c>
      <c r="B37" s="2930" t="s">
        <v>3108</v>
      </c>
      <c r="C37" s="2930" t="s">
        <v>3109</v>
      </c>
      <c r="D37" s="2931">
        <v>183.82</v>
      </c>
      <c r="E37" s="2931">
        <v>20</v>
      </c>
      <c r="F37" s="2931"/>
    </row>
    <row r="38" spans="1:6">
      <c r="A38" s="3010">
        <v>36</v>
      </c>
      <c r="B38" s="3009" t="s">
        <v>3110</v>
      </c>
      <c r="C38" s="3009" t="s">
        <v>3111</v>
      </c>
      <c r="D38" s="3010">
        <v>322.54000000000002</v>
      </c>
      <c r="E38" s="3010">
        <v>10</v>
      </c>
      <c r="F38" s="2931"/>
    </row>
    <row r="39" spans="1:6">
      <c r="A39" s="3010">
        <v>37</v>
      </c>
      <c r="B39" s="3009" t="s">
        <v>3112</v>
      </c>
      <c r="C39" s="3009" t="s">
        <v>3113</v>
      </c>
      <c r="D39" s="3010">
        <v>260.64999999999998</v>
      </c>
      <c r="E39" s="2931">
        <v>8</v>
      </c>
      <c r="F39" s="2931"/>
    </row>
    <row r="40" spans="1:6">
      <c r="A40" s="3010">
        <v>38</v>
      </c>
      <c r="B40" s="3009" t="s">
        <v>3114</v>
      </c>
      <c r="C40" s="3009" t="s">
        <v>3115</v>
      </c>
      <c r="D40" s="3010">
        <v>424.8</v>
      </c>
      <c r="E40" s="2931">
        <v>8</v>
      </c>
      <c r="F40" s="2931"/>
    </row>
    <row r="41" spans="1:6">
      <c r="A41" s="2931">
        <v>39</v>
      </c>
      <c r="B41" s="2930" t="s">
        <v>3116</v>
      </c>
      <c r="C41" s="2930" t="s">
        <v>3117</v>
      </c>
      <c r="D41" s="2931">
        <v>322.54000000000002</v>
      </c>
      <c r="E41" s="2931">
        <v>8</v>
      </c>
      <c r="F41" s="2931"/>
    </row>
    <row r="42" spans="1:6">
      <c r="A42" s="3010">
        <v>40</v>
      </c>
      <c r="B42" s="3009" t="s">
        <v>3118</v>
      </c>
      <c r="C42" s="3009" t="s">
        <v>3119</v>
      </c>
      <c r="D42" s="3010">
        <v>414.92</v>
      </c>
      <c r="E42" s="2931">
        <v>7</v>
      </c>
      <c r="F42" s="2931"/>
    </row>
    <row r="43" spans="1:6">
      <c r="A43" s="2931">
        <v>41</v>
      </c>
      <c r="B43" s="2930" t="s">
        <v>3122</v>
      </c>
      <c r="C43" s="2930" t="s">
        <v>3120</v>
      </c>
      <c r="D43" s="2931">
        <v>303.77999999999997</v>
      </c>
      <c r="E43" s="2931">
        <v>13</v>
      </c>
      <c r="F43" s="2931"/>
    </row>
    <row r="44" spans="1:6">
      <c r="A44" s="2931">
        <v>42</v>
      </c>
      <c r="B44" s="2930" t="s">
        <v>3121</v>
      </c>
      <c r="C44" s="2930" t="s">
        <v>3124</v>
      </c>
      <c r="D44" s="2931">
        <v>424.8</v>
      </c>
      <c r="E44" s="2931">
        <v>13</v>
      </c>
      <c r="F44" s="2931"/>
    </row>
    <row r="45" spans="1:6">
      <c r="A45" s="2931">
        <v>43</v>
      </c>
      <c r="B45" s="2930" t="s">
        <v>3123</v>
      </c>
      <c r="C45" s="2930" t="s">
        <v>3125</v>
      </c>
      <c r="D45" s="2931">
        <v>313.49</v>
      </c>
      <c r="E45" s="2931">
        <v>13</v>
      </c>
      <c r="F45" s="2931"/>
    </row>
    <row r="46" spans="1:6">
      <c r="A46" s="3389" t="s">
        <v>3126</v>
      </c>
      <c r="B46" s="3390"/>
      <c r="C46" s="3391"/>
      <c r="D46" s="2931">
        <f>SUM(D3:D45)</f>
        <v>13866.439999999999</v>
      </c>
      <c r="E46" s="2931"/>
      <c r="F46" s="2931"/>
    </row>
  </sheetData>
  <mergeCells count="1">
    <mergeCell ref="A46:C46"/>
  </mergeCells>
  <phoneticPr fontId="144" type="noConversion"/>
  <pageMargins left="0.7" right="0.7" top="0.75" bottom="0.75" header="0.3" footer="0.3"/>
  <pageSetup paperSize="9" scale="6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5"/>
  <sheetViews>
    <sheetView workbookViewId="0">
      <pane ySplit="3" topLeftCell="A20" activePane="bottomLeft" state="frozen"/>
      <selection pane="bottomLeft" activeCell="K66" sqref="K66"/>
    </sheetView>
  </sheetViews>
  <sheetFormatPr defaultRowHeight="13.5"/>
  <cols>
    <col min="1" max="1" width="5.125" customWidth="1"/>
    <col min="2" max="2" width="8.5" customWidth="1"/>
    <col min="3" max="3" width="22.25" customWidth="1"/>
    <col min="4" max="4" width="7.125" customWidth="1"/>
    <col min="5" max="5" width="9" customWidth="1"/>
    <col min="6" max="6" width="10.375" customWidth="1"/>
    <col min="7" max="7" width="10.875" customWidth="1"/>
    <col min="8" max="8" width="10.25" customWidth="1"/>
    <col min="9" max="9" width="11.75" customWidth="1"/>
    <col min="10" max="13" width="9" customWidth="1"/>
    <col min="14" max="14" width="10.875" customWidth="1"/>
    <col min="15" max="15" width="9" customWidth="1"/>
    <col min="16" max="16" width="15" customWidth="1"/>
    <col min="17" max="26" width="9" customWidth="1"/>
    <col min="27" max="27" width="9.5" customWidth="1"/>
    <col min="30" max="30" width="15" bestFit="1" customWidth="1"/>
    <col min="257" max="257" width="5.125" customWidth="1"/>
    <col min="258" max="258" width="8.5" customWidth="1"/>
    <col min="259" max="259" width="22.25" customWidth="1"/>
    <col min="260" max="260" width="7.125" customWidth="1"/>
    <col min="261" max="262" width="9" customWidth="1"/>
    <col min="263" max="263" width="10.875" customWidth="1"/>
    <col min="264" max="264" width="9" customWidth="1"/>
    <col min="265" max="265" width="9.375" customWidth="1"/>
    <col min="266" max="269" width="9" customWidth="1"/>
    <col min="270" max="270" width="10.875" customWidth="1"/>
    <col min="271" max="282" width="9" customWidth="1"/>
    <col min="283" max="283" width="9.5" customWidth="1"/>
    <col min="286" max="286" width="15" bestFit="1" customWidth="1"/>
    <col min="513" max="513" width="5.125" customWidth="1"/>
    <col min="514" max="514" width="8.5" customWidth="1"/>
    <col min="515" max="515" width="22.25" customWidth="1"/>
    <col min="516" max="516" width="7.125" customWidth="1"/>
    <col min="517" max="518" width="9" customWidth="1"/>
    <col min="519" max="519" width="10.875" customWidth="1"/>
    <col min="520" max="520" width="9" customWidth="1"/>
    <col min="521" max="521" width="9.375" customWidth="1"/>
    <col min="522" max="525" width="9" customWidth="1"/>
    <col min="526" max="526" width="10.875" customWidth="1"/>
    <col min="527" max="538" width="9" customWidth="1"/>
    <col min="539" max="539" width="9.5" customWidth="1"/>
    <col min="542" max="542" width="15" bestFit="1" customWidth="1"/>
    <col min="769" max="769" width="5.125" customWidth="1"/>
    <col min="770" max="770" width="8.5" customWidth="1"/>
    <col min="771" max="771" width="22.25" customWidth="1"/>
    <col min="772" max="772" width="7.125" customWidth="1"/>
    <col min="773" max="774" width="9" customWidth="1"/>
    <col min="775" max="775" width="10.875" customWidth="1"/>
    <col min="776" max="776" width="9" customWidth="1"/>
    <col min="777" max="777" width="9.375" customWidth="1"/>
    <col min="778" max="781" width="9" customWidth="1"/>
    <col min="782" max="782" width="10.875" customWidth="1"/>
    <col min="783" max="794" width="9" customWidth="1"/>
    <col min="795" max="795" width="9.5" customWidth="1"/>
    <col min="798" max="798" width="15" bestFit="1" customWidth="1"/>
    <col min="1025" max="1025" width="5.125" customWidth="1"/>
    <col min="1026" max="1026" width="8.5" customWidth="1"/>
    <col min="1027" max="1027" width="22.25" customWidth="1"/>
    <col min="1028" max="1028" width="7.125" customWidth="1"/>
    <col min="1029" max="1030" width="9" customWidth="1"/>
    <col min="1031" max="1031" width="10.875" customWidth="1"/>
    <col min="1032" max="1032" width="9" customWidth="1"/>
    <col min="1033" max="1033" width="9.375" customWidth="1"/>
    <col min="1034" max="1037" width="9" customWidth="1"/>
    <col min="1038" max="1038" width="10.875" customWidth="1"/>
    <col min="1039" max="1050" width="9" customWidth="1"/>
    <col min="1051" max="1051" width="9.5" customWidth="1"/>
    <col min="1054" max="1054" width="15" bestFit="1" customWidth="1"/>
    <col min="1281" max="1281" width="5.125" customWidth="1"/>
    <col min="1282" max="1282" width="8.5" customWidth="1"/>
    <col min="1283" max="1283" width="22.25" customWidth="1"/>
    <col min="1284" max="1284" width="7.125" customWidth="1"/>
    <col min="1285" max="1286" width="9" customWidth="1"/>
    <col min="1287" max="1287" width="10.875" customWidth="1"/>
    <col min="1288" max="1288" width="9" customWidth="1"/>
    <col min="1289" max="1289" width="9.375" customWidth="1"/>
    <col min="1290" max="1293" width="9" customWidth="1"/>
    <col min="1294" max="1294" width="10.875" customWidth="1"/>
    <col min="1295" max="1306" width="9" customWidth="1"/>
    <col min="1307" max="1307" width="9.5" customWidth="1"/>
    <col min="1310" max="1310" width="15" bestFit="1" customWidth="1"/>
    <col min="1537" max="1537" width="5.125" customWidth="1"/>
    <col min="1538" max="1538" width="8.5" customWidth="1"/>
    <col min="1539" max="1539" width="22.25" customWidth="1"/>
    <col min="1540" max="1540" width="7.125" customWidth="1"/>
    <col min="1541" max="1542" width="9" customWidth="1"/>
    <col min="1543" max="1543" width="10.875" customWidth="1"/>
    <col min="1544" max="1544" width="9" customWidth="1"/>
    <col min="1545" max="1545" width="9.375" customWidth="1"/>
    <col min="1546" max="1549" width="9" customWidth="1"/>
    <col min="1550" max="1550" width="10.875" customWidth="1"/>
    <col min="1551" max="1562" width="9" customWidth="1"/>
    <col min="1563" max="1563" width="9.5" customWidth="1"/>
    <col min="1566" max="1566" width="15" bestFit="1" customWidth="1"/>
    <col min="1793" max="1793" width="5.125" customWidth="1"/>
    <col min="1794" max="1794" width="8.5" customWidth="1"/>
    <col min="1795" max="1795" width="22.25" customWidth="1"/>
    <col min="1796" max="1796" width="7.125" customWidth="1"/>
    <col min="1797" max="1798" width="9" customWidth="1"/>
    <col min="1799" max="1799" width="10.875" customWidth="1"/>
    <col min="1800" max="1800" width="9" customWidth="1"/>
    <col min="1801" max="1801" width="9.375" customWidth="1"/>
    <col min="1802" max="1805" width="9" customWidth="1"/>
    <col min="1806" max="1806" width="10.875" customWidth="1"/>
    <col min="1807" max="1818" width="9" customWidth="1"/>
    <col min="1819" max="1819" width="9.5" customWidth="1"/>
    <col min="1822" max="1822" width="15" bestFit="1" customWidth="1"/>
    <col min="2049" max="2049" width="5.125" customWidth="1"/>
    <col min="2050" max="2050" width="8.5" customWidth="1"/>
    <col min="2051" max="2051" width="22.25" customWidth="1"/>
    <col min="2052" max="2052" width="7.125" customWidth="1"/>
    <col min="2053" max="2054" width="9" customWidth="1"/>
    <col min="2055" max="2055" width="10.875" customWidth="1"/>
    <col min="2056" max="2056" width="9" customWidth="1"/>
    <col min="2057" max="2057" width="9.375" customWidth="1"/>
    <col min="2058" max="2061" width="9" customWidth="1"/>
    <col min="2062" max="2062" width="10.875" customWidth="1"/>
    <col min="2063" max="2074" width="9" customWidth="1"/>
    <col min="2075" max="2075" width="9.5" customWidth="1"/>
    <col min="2078" max="2078" width="15" bestFit="1" customWidth="1"/>
    <col min="2305" max="2305" width="5.125" customWidth="1"/>
    <col min="2306" max="2306" width="8.5" customWidth="1"/>
    <col min="2307" max="2307" width="22.25" customWidth="1"/>
    <col min="2308" max="2308" width="7.125" customWidth="1"/>
    <col min="2309" max="2310" width="9" customWidth="1"/>
    <col min="2311" max="2311" width="10.875" customWidth="1"/>
    <col min="2312" max="2312" width="9" customWidth="1"/>
    <col min="2313" max="2313" width="9.375" customWidth="1"/>
    <col min="2314" max="2317" width="9" customWidth="1"/>
    <col min="2318" max="2318" width="10.875" customWidth="1"/>
    <col min="2319" max="2330" width="9" customWidth="1"/>
    <col min="2331" max="2331" width="9.5" customWidth="1"/>
    <col min="2334" max="2334" width="15" bestFit="1" customWidth="1"/>
    <col min="2561" max="2561" width="5.125" customWidth="1"/>
    <col min="2562" max="2562" width="8.5" customWidth="1"/>
    <col min="2563" max="2563" width="22.25" customWidth="1"/>
    <col min="2564" max="2564" width="7.125" customWidth="1"/>
    <col min="2565" max="2566" width="9" customWidth="1"/>
    <col min="2567" max="2567" width="10.875" customWidth="1"/>
    <col min="2568" max="2568" width="9" customWidth="1"/>
    <col min="2569" max="2569" width="9.375" customWidth="1"/>
    <col min="2570" max="2573" width="9" customWidth="1"/>
    <col min="2574" max="2574" width="10.875" customWidth="1"/>
    <col min="2575" max="2586" width="9" customWidth="1"/>
    <col min="2587" max="2587" width="9.5" customWidth="1"/>
    <col min="2590" max="2590" width="15" bestFit="1" customWidth="1"/>
    <col min="2817" max="2817" width="5.125" customWidth="1"/>
    <col min="2818" max="2818" width="8.5" customWidth="1"/>
    <col min="2819" max="2819" width="22.25" customWidth="1"/>
    <col min="2820" max="2820" width="7.125" customWidth="1"/>
    <col min="2821" max="2822" width="9" customWidth="1"/>
    <col min="2823" max="2823" width="10.875" customWidth="1"/>
    <col min="2824" max="2824" width="9" customWidth="1"/>
    <col min="2825" max="2825" width="9.375" customWidth="1"/>
    <col min="2826" max="2829" width="9" customWidth="1"/>
    <col min="2830" max="2830" width="10.875" customWidth="1"/>
    <col min="2831" max="2842" width="9" customWidth="1"/>
    <col min="2843" max="2843" width="9.5" customWidth="1"/>
    <col min="2846" max="2846" width="15" bestFit="1" customWidth="1"/>
    <col min="3073" max="3073" width="5.125" customWidth="1"/>
    <col min="3074" max="3074" width="8.5" customWidth="1"/>
    <col min="3075" max="3075" width="22.25" customWidth="1"/>
    <col min="3076" max="3076" width="7.125" customWidth="1"/>
    <col min="3077" max="3078" width="9" customWidth="1"/>
    <col min="3079" max="3079" width="10.875" customWidth="1"/>
    <col min="3080" max="3080" width="9" customWidth="1"/>
    <col min="3081" max="3081" width="9.375" customWidth="1"/>
    <col min="3082" max="3085" width="9" customWidth="1"/>
    <col min="3086" max="3086" width="10.875" customWidth="1"/>
    <col min="3087" max="3098" width="9" customWidth="1"/>
    <col min="3099" max="3099" width="9.5" customWidth="1"/>
    <col min="3102" max="3102" width="15" bestFit="1" customWidth="1"/>
    <col min="3329" max="3329" width="5.125" customWidth="1"/>
    <col min="3330" max="3330" width="8.5" customWidth="1"/>
    <col min="3331" max="3331" width="22.25" customWidth="1"/>
    <col min="3332" max="3332" width="7.125" customWidth="1"/>
    <col min="3333" max="3334" width="9" customWidth="1"/>
    <col min="3335" max="3335" width="10.875" customWidth="1"/>
    <col min="3336" max="3336" width="9" customWidth="1"/>
    <col min="3337" max="3337" width="9.375" customWidth="1"/>
    <col min="3338" max="3341" width="9" customWidth="1"/>
    <col min="3342" max="3342" width="10.875" customWidth="1"/>
    <col min="3343" max="3354" width="9" customWidth="1"/>
    <col min="3355" max="3355" width="9.5" customWidth="1"/>
    <col min="3358" max="3358" width="15" bestFit="1" customWidth="1"/>
    <col min="3585" max="3585" width="5.125" customWidth="1"/>
    <col min="3586" max="3586" width="8.5" customWidth="1"/>
    <col min="3587" max="3587" width="22.25" customWidth="1"/>
    <col min="3588" max="3588" width="7.125" customWidth="1"/>
    <col min="3589" max="3590" width="9" customWidth="1"/>
    <col min="3591" max="3591" width="10.875" customWidth="1"/>
    <col min="3592" max="3592" width="9" customWidth="1"/>
    <col min="3593" max="3593" width="9.375" customWidth="1"/>
    <col min="3594" max="3597" width="9" customWidth="1"/>
    <col min="3598" max="3598" width="10.875" customWidth="1"/>
    <col min="3599" max="3610" width="9" customWidth="1"/>
    <col min="3611" max="3611" width="9.5" customWidth="1"/>
    <col min="3614" max="3614" width="15" bestFit="1" customWidth="1"/>
    <col min="3841" max="3841" width="5.125" customWidth="1"/>
    <col min="3842" max="3842" width="8.5" customWidth="1"/>
    <col min="3843" max="3843" width="22.25" customWidth="1"/>
    <col min="3844" max="3844" width="7.125" customWidth="1"/>
    <col min="3845" max="3846" width="9" customWidth="1"/>
    <col min="3847" max="3847" width="10.875" customWidth="1"/>
    <col min="3848" max="3848" width="9" customWidth="1"/>
    <col min="3849" max="3849" width="9.375" customWidth="1"/>
    <col min="3850" max="3853" width="9" customWidth="1"/>
    <col min="3854" max="3854" width="10.875" customWidth="1"/>
    <col min="3855" max="3866" width="9" customWidth="1"/>
    <col min="3867" max="3867" width="9.5" customWidth="1"/>
    <col min="3870" max="3870" width="15" bestFit="1" customWidth="1"/>
    <col min="4097" max="4097" width="5.125" customWidth="1"/>
    <col min="4098" max="4098" width="8.5" customWidth="1"/>
    <col min="4099" max="4099" width="22.25" customWidth="1"/>
    <col min="4100" max="4100" width="7.125" customWidth="1"/>
    <col min="4101" max="4102" width="9" customWidth="1"/>
    <col min="4103" max="4103" width="10.875" customWidth="1"/>
    <col min="4104" max="4104" width="9" customWidth="1"/>
    <col min="4105" max="4105" width="9.375" customWidth="1"/>
    <col min="4106" max="4109" width="9" customWidth="1"/>
    <col min="4110" max="4110" width="10.875" customWidth="1"/>
    <col min="4111" max="4122" width="9" customWidth="1"/>
    <col min="4123" max="4123" width="9.5" customWidth="1"/>
    <col min="4126" max="4126" width="15" bestFit="1" customWidth="1"/>
    <col min="4353" max="4353" width="5.125" customWidth="1"/>
    <col min="4354" max="4354" width="8.5" customWidth="1"/>
    <col min="4355" max="4355" width="22.25" customWidth="1"/>
    <col min="4356" max="4356" width="7.125" customWidth="1"/>
    <col min="4357" max="4358" width="9" customWidth="1"/>
    <col min="4359" max="4359" width="10.875" customWidth="1"/>
    <col min="4360" max="4360" width="9" customWidth="1"/>
    <col min="4361" max="4361" width="9.375" customWidth="1"/>
    <col min="4362" max="4365" width="9" customWidth="1"/>
    <col min="4366" max="4366" width="10.875" customWidth="1"/>
    <col min="4367" max="4378" width="9" customWidth="1"/>
    <col min="4379" max="4379" width="9.5" customWidth="1"/>
    <col min="4382" max="4382" width="15" bestFit="1" customWidth="1"/>
    <col min="4609" max="4609" width="5.125" customWidth="1"/>
    <col min="4610" max="4610" width="8.5" customWidth="1"/>
    <col min="4611" max="4611" width="22.25" customWidth="1"/>
    <col min="4612" max="4612" width="7.125" customWidth="1"/>
    <col min="4613" max="4614" width="9" customWidth="1"/>
    <col min="4615" max="4615" width="10.875" customWidth="1"/>
    <col min="4616" max="4616" width="9" customWidth="1"/>
    <col min="4617" max="4617" width="9.375" customWidth="1"/>
    <col min="4618" max="4621" width="9" customWidth="1"/>
    <col min="4622" max="4622" width="10.875" customWidth="1"/>
    <col min="4623" max="4634" width="9" customWidth="1"/>
    <col min="4635" max="4635" width="9.5" customWidth="1"/>
    <col min="4638" max="4638" width="15" bestFit="1" customWidth="1"/>
    <col min="4865" max="4865" width="5.125" customWidth="1"/>
    <col min="4866" max="4866" width="8.5" customWidth="1"/>
    <col min="4867" max="4867" width="22.25" customWidth="1"/>
    <col min="4868" max="4868" width="7.125" customWidth="1"/>
    <col min="4869" max="4870" width="9" customWidth="1"/>
    <col min="4871" max="4871" width="10.875" customWidth="1"/>
    <col min="4872" max="4872" width="9" customWidth="1"/>
    <col min="4873" max="4873" width="9.375" customWidth="1"/>
    <col min="4874" max="4877" width="9" customWidth="1"/>
    <col min="4878" max="4878" width="10.875" customWidth="1"/>
    <col min="4879" max="4890" width="9" customWidth="1"/>
    <col min="4891" max="4891" width="9.5" customWidth="1"/>
    <col min="4894" max="4894" width="15" bestFit="1" customWidth="1"/>
    <col min="5121" max="5121" width="5.125" customWidth="1"/>
    <col min="5122" max="5122" width="8.5" customWidth="1"/>
    <col min="5123" max="5123" width="22.25" customWidth="1"/>
    <col min="5124" max="5124" width="7.125" customWidth="1"/>
    <col min="5125" max="5126" width="9" customWidth="1"/>
    <col min="5127" max="5127" width="10.875" customWidth="1"/>
    <col min="5128" max="5128" width="9" customWidth="1"/>
    <col min="5129" max="5129" width="9.375" customWidth="1"/>
    <col min="5130" max="5133" width="9" customWidth="1"/>
    <col min="5134" max="5134" width="10.875" customWidth="1"/>
    <col min="5135" max="5146" width="9" customWidth="1"/>
    <col min="5147" max="5147" width="9.5" customWidth="1"/>
    <col min="5150" max="5150" width="15" bestFit="1" customWidth="1"/>
    <col min="5377" max="5377" width="5.125" customWidth="1"/>
    <col min="5378" max="5378" width="8.5" customWidth="1"/>
    <col min="5379" max="5379" width="22.25" customWidth="1"/>
    <col min="5380" max="5380" width="7.125" customWidth="1"/>
    <col min="5381" max="5382" width="9" customWidth="1"/>
    <col min="5383" max="5383" width="10.875" customWidth="1"/>
    <col min="5384" max="5384" width="9" customWidth="1"/>
    <col min="5385" max="5385" width="9.375" customWidth="1"/>
    <col min="5386" max="5389" width="9" customWidth="1"/>
    <col min="5390" max="5390" width="10.875" customWidth="1"/>
    <col min="5391" max="5402" width="9" customWidth="1"/>
    <col min="5403" max="5403" width="9.5" customWidth="1"/>
    <col min="5406" max="5406" width="15" bestFit="1" customWidth="1"/>
    <col min="5633" max="5633" width="5.125" customWidth="1"/>
    <col min="5634" max="5634" width="8.5" customWidth="1"/>
    <col min="5635" max="5635" width="22.25" customWidth="1"/>
    <col min="5636" max="5636" width="7.125" customWidth="1"/>
    <col min="5637" max="5638" width="9" customWidth="1"/>
    <col min="5639" max="5639" width="10.875" customWidth="1"/>
    <col min="5640" max="5640" width="9" customWidth="1"/>
    <col min="5641" max="5641" width="9.375" customWidth="1"/>
    <col min="5642" max="5645" width="9" customWidth="1"/>
    <col min="5646" max="5646" width="10.875" customWidth="1"/>
    <col min="5647" max="5658" width="9" customWidth="1"/>
    <col min="5659" max="5659" width="9.5" customWidth="1"/>
    <col min="5662" max="5662" width="15" bestFit="1" customWidth="1"/>
    <col min="5889" max="5889" width="5.125" customWidth="1"/>
    <col min="5890" max="5890" width="8.5" customWidth="1"/>
    <col min="5891" max="5891" width="22.25" customWidth="1"/>
    <col min="5892" max="5892" width="7.125" customWidth="1"/>
    <col min="5893" max="5894" width="9" customWidth="1"/>
    <col min="5895" max="5895" width="10.875" customWidth="1"/>
    <col min="5896" max="5896" width="9" customWidth="1"/>
    <col min="5897" max="5897" width="9.375" customWidth="1"/>
    <col min="5898" max="5901" width="9" customWidth="1"/>
    <col min="5902" max="5902" width="10.875" customWidth="1"/>
    <col min="5903" max="5914" width="9" customWidth="1"/>
    <col min="5915" max="5915" width="9.5" customWidth="1"/>
    <col min="5918" max="5918" width="15" bestFit="1" customWidth="1"/>
    <col min="6145" max="6145" width="5.125" customWidth="1"/>
    <col min="6146" max="6146" width="8.5" customWidth="1"/>
    <col min="6147" max="6147" width="22.25" customWidth="1"/>
    <col min="6148" max="6148" width="7.125" customWidth="1"/>
    <col min="6149" max="6150" width="9" customWidth="1"/>
    <col min="6151" max="6151" width="10.875" customWidth="1"/>
    <col min="6152" max="6152" width="9" customWidth="1"/>
    <col min="6153" max="6153" width="9.375" customWidth="1"/>
    <col min="6154" max="6157" width="9" customWidth="1"/>
    <col min="6158" max="6158" width="10.875" customWidth="1"/>
    <col min="6159" max="6170" width="9" customWidth="1"/>
    <col min="6171" max="6171" width="9.5" customWidth="1"/>
    <col min="6174" max="6174" width="15" bestFit="1" customWidth="1"/>
    <col min="6401" max="6401" width="5.125" customWidth="1"/>
    <col min="6402" max="6402" width="8.5" customWidth="1"/>
    <col min="6403" max="6403" width="22.25" customWidth="1"/>
    <col min="6404" max="6404" width="7.125" customWidth="1"/>
    <col min="6405" max="6406" width="9" customWidth="1"/>
    <col min="6407" max="6407" width="10.875" customWidth="1"/>
    <col min="6408" max="6408" width="9" customWidth="1"/>
    <col min="6409" max="6409" width="9.375" customWidth="1"/>
    <col min="6410" max="6413" width="9" customWidth="1"/>
    <col min="6414" max="6414" width="10.875" customWidth="1"/>
    <col min="6415" max="6426" width="9" customWidth="1"/>
    <col min="6427" max="6427" width="9.5" customWidth="1"/>
    <col min="6430" max="6430" width="15" bestFit="1" customWidth="1"/>
    <col min="6657" max="6657" width="5.125" customWidth="1"/>
    <col min="6658" max="6658" width="8.5" customWidth="1"/>
    <col min="6659" max="6659" width="22.25" customWidth="1"/>
    <col min="6660" max="6660" width="7.125" customWidth="1"/>
    <col min="6661" max="6662" width="9" customWidth="1"/>
    <col min="6663" max="6663" width="10.875" customWidth="1"/>
    <col min="6664" max="6664" width="9" customWidth="1"/>
    <col min="6665" max="6665" width="9.375" customWidth="1"/>
    <col min="6666" max="6669" width="9" customWidth="1"/>
    <col min="6670" max="6670" width="10.875" customWidth="1"/>
    <col min="6671" max="6682" width="9" customWidth="1"/>
    <col min="6683" max="6683" width="9.5" customWidth="1"/>
    <col min="6686" max="6686" width="15" bestFit="1" customWidth="1"/>
    <col min="6913" max="6913" width="5.125" customWidth="1"/>
    <col min="6914" max="6914" width="8.5" customWidth="1"/>
    <col min="6915" max="6915" width="22.25" customWidth="1"/>
    <col min="6916" max="6916" width="7.125" customWidth="1"/>
    <col min="6917" max="6918" width="9" customWidth="1"/>
    <col min="6919" max="6919" width="10.875" customWidth="1"/>
    <col min="6920" max="6920" width="9" customWidth="1"/>
    <col min="6921" max="6921" width="9.375" customWidth="1"/>
    <col min="6922" max="6925" width="9" customWidth="1"/>
    <col min="6926" max="6926" width="10.875" customWidth="1"/>
    <col min="6927" max="6938" width="9" customWidth="1"/>
    <col min="6939" max="6939" width="9.5" customWidth="1"/>
    <col min="6942" max="6942" width="15" bestFit="1" customWidth="1"/>
    <col min="7169" max="7169" width="5.125" customWidth="1"/>
    <col min="7170" max="7170" width="8.5" customWidth="1"/>
    <col min="7171" max="7171" width="22.25" customWidth="1"/>
    <col min="7172" max="7172" width="7.125" customWidth="1"/>
    <col min="7173" max="7174" width="9" customWidth="1"/>
    <col min="7175" max="7175" width="10.875" customWidth="1"/>
    <col min="7176" max="7176" width="9" customWidth="1"/>
    <col min="7177" max="7177" width="9.375" customWidth="1"/>
    <col min="7178" max="7181" width="9" customWidth="1"/>
    <col min="7182" max="7182" width="10.875" customWidth="1"/>
    <col min="7183" max="7194" width="9" customWidth="1"/>
    <col min="7195" max="7195" width="9.5" customWidth="1"/>
    <col min="7198" max="7198" width="15" bestFit="1" customWidth="1"/>
    <col min="7425" max="7425" width="5.125" customWidth="1"/>
    <col min="7426" max="7426" width="8.5" customWidth="1"/>
    <col min="7427" max="7427" width="22.25" customWidth="1"/>
    <col min="7428" max="7428" width="7.125" customWidth="1"/>
    <col min="7429" max="7430" width="9" customWidth="1"/>
    <col min="7431" max="7431" width="10.875" customWidth="1"/>
    <col min="7432" max="7432" width="9" customWidth="1"/>
    <col min="7433" max="7433" width="9.375" customWidth="1"/>
    <col min="7434" max="7437" width="9" customWidth="1"/>
    <col min="7438" max="7438" width="10.875" customWidth="1"/>
    <col min="7439" max="7450" width="9" customWidth="1"/>
    <col min="7451" max="7451" width="9.5" customWidth="1"/>
    <col min="7454" max="7454" width="15" bestFit="1" customWidth="1"/>
    <col min="7681" max="7681" width="5.125" customWidth="1"/>
    <col min="7682" max="7682" width="8.5" customWidth="1"/>
    <col min="7683" max="7683" width="22.25" customWidth="1"/>
    <col min="7684" max="7684" width="7.125" customWidth="1"/>
    <col min="7685" max="7686" width="9" customWidth="1"/>
    <col min="7687" max="7687" width="10.875" customWidth="1"/>
    <col min="7688" max="7688" width="9" customWidth="1"/>
    <col min="7689" max="7689" width="9.375" customWidth="1"/>
    <col min="7690" max="7693" width="9" customWidth="1"/>
    <col min="7694" max="7694" width="10.875" customWidth="1"/>
    <col min="7695" max="7706" width="9" customWidth="1"/>
    <col min="7707" max="7707" width="9.5" customWidth="1"/>
    <col min="7710" max="7710" width="15" bestFit="1" customWidth="1"/>
    <col min="7937" max="7937" width="5.125" customWidth="1"/>
    <col min="7938" max="7938" width="8.5" customWidth="1"/>
    <col min="7939" max="7939" width="22.25" customWidth="1"/>
    <col min="7940" max="7940" width="7.125" customWidth="1"/>
    <col min="7941" max="7942" width="9" customWidth="1"/>
    <col min="7943" max="7943" width="10.875" customWidth="1"/>
    <col min="7944" max="7944" width="9" customWidth="1"/>
    <col min="7945" max="7945" width="9.375" customWidth="1"/>
    <col min="7946" max="7949" width="9" customWidth="1"/>
    <col min="7950" max="7950" width="10.875" customWidth="1"/>
    <col min="7951" max="7962" width="9" customWidth="1"/>
    <col min="7963" max="7963" width="9.5" customWidth="1"/>
    <col min="7966" max="7966" width="15" bestFit="1" customWidth="1"/>
    <col min="8193" max="8193" width="5.125" customWidth="1"/>
    <col min="8194" max="8194" width="8.5" customWidth="1"/>
    <col min="8195" max="8195" width="22.25" customWidth="1"/>
    <col min="8196" max="8196" width="7.125" customWidth="1"/>
    <col min="8197" max="8198" width="9" customWidth="1"/>
    <col min="8199" max="8199" width="10.875" customWidth="1"/>
    <col min="8200" max="8200" width="9" customWidth="1"/>
    <col min="8201" max="8201" width="9.375" customWidth="1"/>
    <col min="8202" max="8205" width="9" customWidth="1"/>
    <col min="8206" max="8206" width="10.875" customWidth="1"/>
    <col min="8207" max="8218" width="9" customWidth="1"/>
    <col min="8219" max="8219" width="9.5" customWidth="1"/>
    <col min="8222" max="8222" width="15" bestFit="1" customWidth="1"/>
    <col min="8449" max="8449" width="5.125" customWidth="1"/>
    <col min="8450" max="8450" width="8.5" customWidth="1"/>
    <col min="8451" max="8451" width="22.25" customWidth="1"/>
    <col min="8452" max="8452" width="7.125" customWidth="1"/>
    <col min="8453" max="8454" width="9" customWidth="1"/>
    <col min="8455" max="8455" width="10.875" customWidth="1"/>
    <col min="8456" max="8456" width="9" customWidth="1"/>
    <col min="8457" max="8457" width="9.375" customWidth="1"/>
    <col min="8458" max="8461" width="9" customWidth="1"/>
    <col min="8462" max="8462" width="10.875" customWidth="1"/>
    <col min="8463" max="8474" width="9" customWidth="1"/>
    <col min="8475" max="8475" width="9.5" customWidth="1"/>
    <col min="8478" max="8478" width="15" bestFit="1" customWidth="1"/>
    <col min="8705" max="8705" width="5.125" customWidth="1"/>
    <col min="8706" max="8706" width="8.5" customWidth="1"/>
    <col min="8707" max="8707" width="22.25" customWidth="1"/>
    <col min="8708" max="8708" width="7.125" customWidth="1"/>
    <col min="8709" max="8710" width="9" customWidth="1"/>
    <col min="8711" max="8711" width="10.875" customWidth="1"/>
    <col min="8712" max="8712" width="9" customWidth="1"/>
    <col min="8713" max="8713" width="9.375" customWidth="1"/>
    <col min="8714" max="8717" width="9" customWidth="1"/>
    <col min="8718" max="8718" width="10.875" customWidth="1"/>
    <col min="8719" max="8730" width="9" customWidth="1"/>
    <col min="8731" max="8731" width="9.5" customWidth="1"/>
    <col min="8734" max="8734" width="15" bestFit="1" customWidth="1"/>
    <col min="8961" max="8961" width="5.125" customWidth="1"/>
    <col min="8962" max="8962" width="8.5" customWidth="1"/>
    <col min="8963" max="8963" width="22.25" customWidth="1"/>
    <col min="8964" max="8964" width="7.125" customWidth="1"/>
    <col min="8965" max="8966" width="9" customWidth="1"/>
    <col min="8967" max="8967" width="10.875" customWidth="1"/>
    <col min="8968" max="8968" width="9" customWidth="1"/>
    <col min="8969" max="8969" width="9.375" customWidth="1"/>
    <col min="8970" max="8973" width="9" customWidth="1"/>
    <col min="8974" max="8974" width="10.875" customWidth="1"/>
    <col min="8975" max="8986" width="9" customWidth="1"/>
    <col min="8987" max="8987" width="9.5" customWidth="1"/>
    <col min="8990" max="8990" width="15" bestFit="1" customWidth="1"/>
    <col min="9217" max="9217" width="5.125" customWidth="1"/>
    <col min="9218" max="9218" width="8.5" customWidth="1"/>
    <col min="9219" max="9219" width="22.25" customWidth="1"/>
    <col min="9220" max="9220" width="7.125" customWidth="1"/>
    <col min="9221" max="9222" width="9" customWidth="1"/>
    <col min="9223" max="9223" width="10.875" customWidth="1"/>
    <col min="9224" max="9224" width="9" customWidth="1"/>
    <col min="9225" max="9225" width="9.375" customWidth="1"/>
    <col min="9226" max="9229" width="9" customWidth="1"/>
    <col min="9230" max="9230" width="10.875" customWidth="1"/>
    <col min="9231" max="9242" width="9" customWidth="1"/>
    <col min="9243" max="9243" width="9.5" customWidth="1"/>
    <col min="9246" max="9246" width="15" bestFit="1" customWidth="1"/>
    <col min="9473" max="9473" width="5.125" customWidth="1"/>
    <col min="9474" max="9474" width="8.5" customWidth="1"/>
    <col min="9475" max="9475" width="22.25" customWidth="1"/>
    <col min="9476" max="9476" width="7.125" customWidth="1"/>
    <col min="9477" max="9478" width="9" customWidth="1"/>
    <col min="9479" max="9479" width="10.875" customWidth="1"/>
    <col min="9480" max="9480" width="9" customWidth="1"/>
    <col min="9481" max="9481" width="9.375" customWidth="1"/>
    <col min="9482" max="9485" width="9" customWidth="1"/>
    <col min="9486" max="9486" width="10.875" customWidth="1"/>
    <col min="9487" max="9498" width="9" customWidth="1"/>
    <col min="9499" max="9499" width="9.5" customWidth="1"/>
    <col min="9502" max="9502" width="15" bestFit="1" customWidth="1"/>
    <col min="9729" max="9729" width="5.125" customWidth="1"/>
    <col min="9730" max="9730" width="8.5" customWidth="1"/>
    <col min="9731" max="9731" width="22.25" customWidth="1"/>
    <col min="9732" max="9732" width="7.125" customWidth="1"/>
    <col min="9733" max="9734" width="9" customWidth="1"/>
    <col min="9735" max="9735" width="10.875" customWidth="1"/>
    <col min="9736" max="9736" width="9" customWidth="1"/>
    <col min="9737" max="9737" width="9.375" customWidth="1"/>
    <col min="9738" max="9741" width="9" customWidth="1"/>
    <col min="9742" max="9742" width="10.875" customWidth="1"/>
    <col min="9743" max="9754" width="9" customWidth="1"/>
    <col min="9755" max="9755" width="9.5" customWidth="1"/>
    <col min="9758" max="9758" width="15" bestFit="1" customWidth="1"/>
    <col min="9985" max="9985" width="5.125" customWidth="1"/>
    <col min="9986" max="9986" width="8.5" customWidth="1"/>
    <col min="9987" max="9987" width="22.25" customWidth="1"/>
    <col min="9988" max="9988" width="7.125" customWidth="1"/>
    <col min="9989" max="9990" width="9" customWidth="1"/>
    <col min="9991" max="9991" width="10.875" customWidth="1"/>
    <col min="9992" max="9992" width="9" customWidth="1"/>
    <col min="9993" max="9993" width="9.375" customWidth="1"/>
    <col min="9994" max="9997" width="9" customWidth="1"/>
    <col min="9998" max="9998" width="10.875" customWidth="1"/>
    <col min="9999" max="10010" width="9" customWidth="1"/>
    <col min="10011" max="10011" width="9.5" customWidth="1"/>
    <col min="10014" max="10014" width="15" bestFit="1" customWidth="1"/>
    <col min="10241" max="10241" width="5.125" customWidth="1"/>
    <col min="10242" max="10242" width="8.5" customWidth="1"/>
    <col min="10243" max="10243" width="22.25" customWidth="1"/>
    <col min="10244" max="10244" width="7.125" customWidth="1"/>
    <col min="10245" max="10246" width="9" customWidth="1"/>
    <col min="10247" max="10247" width="10.875" customWidth="1"/>
    <col min="10248" max="10248" width="9" customWidth="1"/>
    <col min="10249" max="10249" width="9.375" customWidth="1"/>
    <col min="10250" max="10253" width="9" customWidth="1"/>
    <col min="10254" max="10254" width="10.875" customWidth="1"/>
    <col min="10255" max="10266" width="9" customWidth="1"/>
    <col min="10267" max="10267" width="9.5" customWidth="1"/>
    <col min="10270" max="10270" width="15" bestFit="1" customWidth="1"/>
    <col min="10497" max="10497" width="5.125" customWidth="1"/>
    <col min="10498" max="10498" width="8.5" customWidth="1"/>
    <col min="10499" max="10499" width="22.25" customWidth="1"/>
    <col min="10500" max="10500" width="7.125" customWidth="1"/>
    <col min="10501" max="10502" width="9" customWidth="1"/>
    <col min="10503" max="10503" width="10.875" customWidth="1"/>
    <col min="10504" max="10504" width="9" customWidth="1"/>
    <col min="10505" max="10505" width="9.375" customWidth="1"/>
    <col min="10506" max="10509" width="9" customWidth="1"/>
    <col min="10510" max="10510" width="10.875" customWidth="1"/>
    <col min="10511" max="10522" width="9" customWidth="1"/>
    <col min="10523" max="10523" width="9.5" customWidth="1"/>
    <col min="10526" max="10526" width="15" bestFit="1" customWidth="1"/>
    <col min="10753" max="10753" width="5.125" customWidth="1"/>
    <col min="10754" max="10754" width="8.5" customWidth="1"/>
    <col min="10755" max="10755" width="22.25" customWidth="1"/>
    <col min="10756" max="10756" width="7.125" customWidth="1"/>
    <col min="10757" max="10758" width="9" customWidth="1"/>
    <col min="10759" max="10759" width="10.875" customWidth="1"/>
    <col min="10760" max="10760" width="9" customWidth="1"/>
    <col min="10761" max="10761" width="9.375" customWidth="1"/>
    <col min="10762" max="10765" width="9" customWidth="1"/>
    <col min="10766" max="10766" width="10.875" customWidth="1"/>
    <col min="10767" max="10778" width="9" customWidth="1"/>
    <col min="10779" max="10779" width="9.5" customWidth="1"/>
    <col min="10782" max="10782" width="15" bestFit="1" customWidth="1"/>
    <col min="11009" max="11009" width="5.125" customWidth="1"/>
    <col min="11010" max="11010" width="8.5" customWidth="1"/>
    <col min="11011" max="11011" width="22.25" customWidth="1"/>
    <col min="11012" max="11012" width="7.125" customWidth="1"/>
    <col min="11013" max="11014" width="9" customWidth="1"/>
    <col min="11015" max="11015" width="10.875" customWidth="1"/>
    <col min="11016" max="11016" width="9" customWidth="1"/>
    <col min="11017" max="11017" width="9.375" customWidth="1"/>
    <col min="11018" max="11021" width="9" customWidth="1"/>
    <col min="11022" max="11022" width="10.875" customWidth="1"/>
    <col min="11023" max="11034" width="9" customWidth="1"/>
    <col min="11035" max="11035" width="9.5" customWidth="1"/>
    <col min="11038" max="11038" width="15" bestFit="1" customWidth="1"/>
    <col min="11265" max="11265" width="5.125" customWidth="1"/>
    <col min="11266" max="11266" width="8.5" customWidth="1"/>
    <col min="11267" max="11267" width="22.25" customWidth="1"/>
    <col min="11268" max="11268" width="7.125" customWidth="1"/>
    <col min="11269" max="11270" width="9" customWidth="1"/>
    <col min="11271" max="11271" width="10.875" customWidth="1"/>
    <col min="11272" max="11272" width="9" customWidth="1"/>
    <col min="11273" max="11273" width="9.375" customWidth="1"/>
    <col min="11274" max="11277" width="9" customWidth="1"/>
    <col min="11278" max="11278" width="10.875" customWidth="1"/>
    <col min="11279" max="11290" width="9" customWidth="1"/>
    <col min="11291" max="11291" width="9.5" customWidth="1"/>
    <col min="11294" max="11294" width="15" bestFit="1" customWidth="1"/>
    <col min="11521" max="11521" width="5.125" customWidth="1"/>
    <col min="11522" max="11522" width="8.5" customWidth="1"/>
    <col min="11523" max="11523" width="22.25" customWidth="1"/>
    <col min="11524" max="11524" width="7.125" customWidth="1"/>
    <col min="11525" max="11526" width="9" customWidth="1"/>
    <col min="11527" max="11527" width="10.875" customWidth="1"/>
    <col min="11528" max="11528" width="9" customWidth="1"/>
    <col min="11529" max="11529" width="9.375" customWidth="1"/>
    <col min="11530" max="11533" width="9" customWidth="1"/>
    <col min="11534" max="11534" width="10.875" customWidth="1"/>
    <col min="11535" max="11546" width="9" customWidth="1"/>
    <col min="11547" max="11547" width="9.5" customWidth="1"/>
    <col min="11550" max="11550" width="15" bestFit="1" customWidth="1"/>
    <col min="11777" max="11777" width="5.125" customWidth="1"/>
    <col min="11778" max="11778" width="8.5" customWidth="1"/>
    <col min="11779" max="11779" width="22.25" customWidth="1"/>
    <col min="11780" max="11780" width="7.125" customWidth="1"/>
    <col min="11781" max="11782" width="9" customWidth="1"/>
    <col min="11783" max="11783" width="10.875" customWidth="1"/>
    <col min="11784" max="11784" width="9" customWidth="1"/>
    <col min="11785" max="11785" width="9.375" customWidth="1"/>
    <col min="11786" max="11789" width="9" customWidth="1"/>
    <col min="11790" max="11790" width="10.875" customWidth="1"/>
    <col min="11791" max="11802" width="9" customWidth="1"/>
    <col min="11803" max="11803" width="9.5" customWidth="1"/>
    <col min="11806" max="11806" width="15" bestFit="1" customWidth="1"/>
    <col min="12033" max="12033" width="5.125" customWidth="1"/>
    <col min="12034" max="12034" width="8.5" customWidth="1"/>
    <col min="12035" max="12035" width="22.25" customWidth="1"/>
    <col min="12036" max="12036" width="7.125" customWidth="1"/>
    <col min="12037" max="12038" width="9" customWidth="1"/>
    <col min="12039" max="12039" width="10.875" customWidth="1"/>
    <col min="12040" max="12040" width="9" customWidth="1"/>
    <col min="12041" max="12041" width="9.375" customWidth="1"/>
    <col min="12042" max="12045" width="9" customWidth="1"/>
    <col min="12046" max="12046" width="10.875" customWidth="1"/>
    <col min="12047" max="12058" width="9" customWidth="1"/>
    <col min="12059" max="12059" width="9.5" customWidth="1"/>
    <col min="12062" max="12062" width="15" bestFit="1" customWidth="1"/>
    <col min="12289" max="12289" width="5.125" customWidth="1"/>
    <col min="12290" max="12290" width="8.5" customWidth="1"/>
    <col min="12291" max="12291" width="22.25" customWidth="1"/>
    <col min="12292" max="12292" width="7.125" customWidth="1"/>
    <col min="12293" max="12294" width="9" customWidth="1"/>
    <col min="12295" max="12295" width="10.875" customWidth="1"/>
    <col min="12296" max="12296" width="9" customWidth="1"/>
    <col min="12297" max="12297" width="9.375" customWidth="1"/>
    <col min="12298" max="12301" width="9" customWidth="1"/>
    <col min="12302" max="12302" width="10.875" customWidth="1"/>
    <col min="12303" max="12314" width="9" customWidth="1"/>
    <col min="12315" max="12315" width="9.5" customWidth="1"/>
    <col min="12318" max="12318" width="15" bestFit="1" customWidth="1"/>
    <col min="12545" max="12545" width="5.125" customWidth="1"/>
    <col min="12546" max="12546" width="8.5" customWidth="1"/>
    <col min="12547" max="12547" width="22.25" customWidth="1"/>
    <col min="12548" max="12548" width="7.125" customWidth="1"/>
    <col min="12549" max="12550" width="9" customWidth="1"/>
    <col min="12551" max="12551" width="10.875" customWidth="1"/>
    <col min="12552" max="12552" width="9" customWidth="1"/>
    <col min="12553" max="12553" width="9.375" customWidth="1"/>
    <col min="12554" max="12557" width="9" customWidth="1"/>
    <col min="12558" max="12558" width="10.875" customWidth="1"/>
    <col min="12559" max="12570" width="9" customWidth="1"/>
    <col min="12571" max="12571" width="9.5" customWidth="1"/>
    <col min="12574" max="12574" width="15" bestFit="1" customWidth="1"/>
    <col min="12801" max="12801" width="5.125" customWidth="1"/>
    <col min="12802" max="12802" width="8.5" customWidth="1"/>
    <col min="12803" max="12803" width="22.25" customWidth="1"/>
    <col min="12804" max="12804" width="7.125" customWidth="1"/>
    <col min="12805" max="12806" width="9" customWidth="1"/>
    <col min="12807" max="12807" width="10.875" customWidth="1"/>
    <col min="12808" max="12808" width="9" customWidth="1"/>
    <col min="12809" max="12809" width="9.375" customWidth="1"/>
    <col min="12810" max="12813" width="9" customWidth="1"/>
    <col min="12814" max="12814" width="10.875" customWidth="1"/>
    <col min="12815" max="12826" width="9" customWidth="1"/>
    <col min="12827" max="12827" width="9.5" customWidth="1"/>
    <col min="12830" max="12830" width="15" bestFit="1" customWidth="1"/>
    <col min="13057" max="13057" width="5.125" customWidth="1"/>
    <col min="13058" max="13058" width="8.5" customWidth="1"/>
    <col min="13059" max="13059" width="22.25" customWidth="1"/>
    <col min="13060" max="13060" width="7.125" customWidth="1"/>
    <col min="13061" max="13062" width="9" customWidth="1"/>
    <col min="13063" max="13063" width="10.875" customWidth="1"/>
    <col min="13064" max="13064" width="9" customWidth="1"/>
    <col min="13065" max="13065" width="9.375" customWidth="1"/>
    <col min="13066" max="13069" width="9" customWidth="1"/>
    <col min="13070" max="13070" width="10.875" customWidth="1"/>
    <col min="13071" max="13082" width="9" customWidth="1"/>
    <col min="13083" max="13083" width="9.5" customWidth="1"/>
    <col min="13086" max="13086" width="15" bestFit="1" customWidth="1"/>
    <col min="13313" max="13313" width="5.125" customWidth="1"/>
    <col min="13314" max="13314" width="8.5" customWidth="1"/>
    <col min="13315" max="13315" width="22.25" customWidth="1"/>
    <col min="13316" max="13316" width="7.125" customWidth="1"/>
    <col min="13317" max="13318" width="9" customWidth="1"/>
    <col min="13319" max="13319" width="10.875" customWidth="1"/>
    <col min="13320" max="13320" width="9" customWidth="1"/>
    <col min="13321" max="13321" width="9.375" customWidth="1"/>
    <col min="13322" max="13325" width="9" customWidth="1"/>
    <col min="13326" max="13326" width="10.875" customWidth="1"/>
    <col min="13327" max="13338" width="9" customWidth="1"/>
    <col min="13339" max="13339" width="9.5" customWidth="1"/>
    <col min="13342" max="13342" width="15" bestFit="1" customWidth="1"/>
    <col min="13569" max="13569" width="5.125" customWidth="1"/>
    <col min="13570" max="13570" width="8.5" customWidth="1"/>
    <col min="13571" max="13571" width="22.25" customWidth="1"/>
    <col min="13572" max="13572" width="7.125" customWidth="1"/>
    <col min="13573" max="13574" width="9" customWidth="1"/>
    <col min="13575" max="13575" width="10.875" customWidth="1"/>
    <col min="13576" max="13576" width="9" customWidth="1"/>
    <col min="13577" max="13577" width="9.375" customWidth="1"/>
    <col min="13578" max="13581" width="9" customWidth="1"/>
    <col min="13582" max="13582" width="10.875" customWidth="1"/>
    <col min="13583" max="13594" width="9" customWidth="1"/>
    <col min="13595" max="13595" width="9.5" customWidth="1"/>
    <col min="13598" max="13598" width="15" bestFit="1" customWidth="1"/>
    <col min="13825" max="13825" width="5.125" customWidth="1"/>
    <col min="13826" max="13826" width="8.5" customWidth="1"/>
    <col min="13827" max="13827" width="22.25" customWidth="1"/>
    <col min="13828" max="13828" width="7.125" customWidth="1"/>
    <col min="13829" max="13830" width="9" customWidth="1"/>
    <col min="13831" max="13831" width="10.875" customWidth="1"/>
    <col min="13832" max="13832" width="9" customWidth="1"/>
    <col min="13833" max="13833" width="9.375" customWidth="1"/>
    <col min="13834" max="13837" width="9" customWidth="1"/>
    <col min="13838" max="13838" width="10.875" customWidth="1"/>
    <col min="13839" max="13850" width="9" customWidth="1"/>
    <col min="13851" max="13851" width="9.5" customWidth="1"/>
    <col min="13854" max="13854" width="15" bestFit="1" customWidth="1"/>
    <col min="14081" max="14081" width="5.125" customWidth="1"/>
    <col min="14082" max="14082" width="8.5" customWidth="1"/>
    <col min="14083" max="14083" width="22.25" customWidth="1"/>
    <col min="14084" max="14084" width="7.125" customWidth="1"/>
    <col min="14085" max="14086" width="9" customWidth="1"/>
    <col min="14087" max="14087" width="10.875" customWidth="1"/>
    <col min="14088" max="14088" width="9" customWidth="1"/>
    <col min="14089" max="14089" width="9.375" customWidth="1"/>
    <col min="14090" max="14093" width="9" customWidth="1"/>
    <col min="14094" max="14094" width="10.875" customWidth="1"/>
    <col min="14095" max="14106" width="9" customWidth="1"/>
    <col min="14107" max="14107" width="9.5" customWidth="1"/>
    <col min="14110" max="14110" width="15" bestFit="1" customWidth="1"/>
    <col min="14337" max="14337" width="5.125" customWidth="1"/>
    <col min="14338" max="14338" width="8.5" customWidth="1"/>
    <col min="14339" max="14339" width="22.25" customWidth="1"/>
    <col min="14340" max="14340" width="7.125" customWidth="1"/>
    <col min="14341" max="14342" width="9" customWidth="1"/>
    <col min="14343" max="14343" width="10.875" customWidth="1"/>
    <col min="14344" max="14344" width="9" customWidth="1"/>
    <col min="14345" max="14345" width="9.375" customWidth="1"/>
    <col min="14346" max="14349" width="9" customWidth="1"/>
    <col min="14350" max="14350" width="10.875" customWidth="1"/>
    <col min="14351" max="14362" width="9" customWidth="1"/>
    <col min="14363" max="14363" width="9.5" customWidth="1"/>
    <col min="14366" max="14366" width="15" bestFit="1" customWidth="1"/>
    <col min="14593" max="14593" width="5.125" customWidth="1"/>
    <col min="14594" max="14594" width="8.5" customWidth="1"/>
    <col min="14595" max="14595" width="22.25" customWidth="1"/>
    <col min="14596" max="14596" width="7.125" customWidth="1"/>
    <col min="14597" max="14598" width="9" customWidth="1"/>
    <col min="14599" max="14599" width="10.875" customWidth="1"/>
    <col min="14600" max="14600" width="9" customWidth="1"/>
    <col min="14601" max="14601" width="9.375" customWidth="1"/>
    <col min="14602" max="14605" width="9" customWidth="1"/>
    <col min="14606" max="14606" width="10.875" customWidth="1"/>
    <col min="14607" max="14618" width="9" customWidth="1"/>
    <col min="14619" max="14619" width="9.5" customWidth="1"/>
    <col min="14622" max="14622" width="15" bestFit="1" customWidth="1"/>
    <col min="14849" max="14849" width="5.125" customWidth="1"/>
    <col min="14850" max="14850" width="8.5" customWidth="1"/>
    <col min="14851" max="14851" width="22.25" customWidth="1"/>
    <col min="14852" max="14852" width="7.125" customWidth="1"/>
    <col min="14853" max="14854" width="9" customWidth="1"/>
    <col min="14855" max="14855" width="10.875" customWidth="1"/>
    <col min="14856" max="14856" width="9" customWidth="1"/>
    <col min="14857" max="14857" width="9.375" customWidth="1"/>
    <col min="14858" max="14861" width="9" customWidth="1"/>
    <col min="14862" max="14862" width="10.875" customWidth="1"/>
    <col min="14863" max="14874" width="9" customWidth="1"/>
    <col min="14875" max="14875" width="9.5" customWidth="1"/>
    <col min="14878" max="14878" width="15" bestFit="1" customWidth="1"/>
    <col min="15105" max="15105" width="5.125" customWidth="1"/>
    <col min="15106" max="15106" width="8.5" customWidth="1"/>
    <col min="15107" max="15107" width="22.25" customWidth="1"/>
    <col min="15108" max="15108" width="7.125" customWidth="1"/>
    <col min="15109" max="15110" width="9" customWidth="1"/>
    <col min="15111" max="15111" width="10.875" customWidth="1"/>
    <col min="15112" max="15112" width="9" customWidth="1"/>
    <col min="15113" max="15113" width="9.375" customWidth="1"/>
    <col min="15114" max="15117" width="9" customWidth="1"/>
    <col min="15118" max="15118" width="10.875" customWidth="1"/>
    <col min="15119" max="15130" width="9" customWidth="1"/>
    <col min="15131" max="15131" width="9.5" customWidth="1"/>
    <col min="15134" max="15134" width="15" bestFit="1" customWidth="1"/>
    <col min="15361" max="15361" width="5.125" customWidth="1"/>
    <col min="15362" max="15362" width="8.5" customWidth="1"/>
    <col min="15363" max="15363" width="22.25" customWidth="1"/>
    <col min="15364" max="15364" width="7.125" customWidth="1"/>
    <col min="15365" max="15366" width="9" customWidth="1"/>
    <col min="15367" max="15367" width="10.875" customWidth="1"/>
    <col min="15368" max="15368" width="9" customWidth="1"/>
    <col min="15369" max="15369" width="9.375" customWidth="1"/>
    <col min="15370" max="15373" width="9" customWidth="1"/>
    <col min="15374" max="15374" width="10.875" customWidth="1"/>
    <col min="15375" max="15386" width="9" customWidth="1"/>
    <col min="15387" max="15387" width="9.5" customWidth="1"/>
    <col min="15390" max="15390" width="15" bestFit="1" customWidth="1"/>
    <col min="15617" max="15617" width="5.125" customWidth="1"/>
    <col min="15618" max="15618" width="8.5" customWidth="1"/>
    <col min="15619" max="15619" width="22.25" customWidth="1"/>
    <col min="15620" max="15620" width="7.125" customWidth="1"/>
    <col min="15621" max="15622" width="9" customWidth="1"/>
    <col min="15623" max="15623" width="10.875" customWidth="1"/>
    <col min="15624" max="15624" width="9" customWidth="1"/>
    <col min="15625" max="15625" width="9.375" customWidth="1"/>
    <col min="15626" max="15629" width="9" customWidth="1"/>
    <col min="15630" max="15630" width="10.875" customWidth="1"/>
    <col min="15631" max="15642" width="9" customWidth="1"/>
    <col min="15643" max="15643" width="9.5" customWidth="1"/>
    <col min="15646" max="15646" width="15" bestFit="1" customWidth="1"/>
    <col min="15873" max="15873" width="5.125" customWidth="1"/>
    <col min="15874" max="15874" width="8.5" customWidth="1"/>
    <col min="15875" max="15875" width="22.25" customWidth="1"/>
    <col min="15876" max="15876" width="7.125" customWidth="1"/>
    <col min="15877" max="15878" width="9" customWidth="1"/>
    <col min="15879" max="15879" width="10.875" customWidth="1"/>
    <col min="15880" max="15880" width="9" customWidth="1"/>
    <col min="15881" max="15881" width="9.375" customWidth="1"/>
    <col min="15882" max="15885" width="9" customWidth="1"/>
    <col min="15886" max="15886" width="10.875" customWidth="1"/>
    <col min="15887" max="15898" width="9" customWidth="1"/>
    <col min="15899" max="15899" width="9.5" customWidth="1"/>
    <col min="15902" max="15902" width="15" bestFit="1" customWidth="1"/>
    <col min="16129" max="16129" width="5.125" customWidth="1"/>
    <col min="16130" max="16130" width="8.5" customWidth="1"/>
    <col min="16131" max="16131" width="22.25" customWidth="1"/>
    <col min="16132" max="16132" width="7.125" customWidth="1"/>
    <col min="16133" max="16134" width="9" customWidth="1"/>
    <col min="16135" max="16135" width="10.875" customWidth="1"/>
    <col min="16136" max="16136" width="9" customWidth="1"/>
    <col min="16137" max="16137" width="9.375" customWidth="1"/>
    <col min="16138" max="16141" width="9" customWidth="1"/>
    <col min="16142" max="16142" width="10.875" customWidth="1"/>
    <col min="16143" max="16154" width="9" customWidth="1"/>
    <col min="16155" max="16155" width="9.5" customWidth="1"/>
    <col min="16158" max="16158" width="15" bestFit="1" customWidth="1"/>
  </cols>
  <sheetData>
    <row r="1" spans="1:30" ht="20.25">
      <c r="A1" s="2935"/>
      <c r="B1" s="2936"/>
      <c r="C1" s="2937"/>
      <c r="D1" s="2937"/>
      <c r="E1" s="2935"/>
      <c r="F1" s="3402" t="s">
        <v>3132</v>
      </c>
      <c r="G1" s="3402"/>
      <c r="H1" s="3402"/>
      <c r="I1" s="3402"/>
      <c r="J1" s="3402"/>
      <c r="K1" s="3402"/>
      <c r="L1" s="3402"/>
      <c r="M1" s="3402"/>
      <c r="N1" s="3402"/>
      <c r="O1" s="3402"/>
      <c r="P1" s="3402"/>
      <c r="Q1" s="3402"/>
      <c r="R1" s="3402"/>
      <c r="S1" s="3402"/>
      <c r="T1" s="3402"/>
      <c r="U1" s="3402"/>
      <c r="V1" s="2935"/>
      <c r="W1" s="2935"/>
      <c r="X1" s="2935"/>
      <c r="Y1" s="2935"/>
      <c r="Z1" s="2935"/>
      <c r="AA1" s="2935"/>
      <c r="AB1" s="2935"/>
      <c r="AC1" s="2936"/>
      <c r="AD1" s="2936"/>
    </row>
    <row r="2" spans="1:30" ht="20.25">
      <c r="A2" s="2935"/>
      <c r="B2" s="2936"/>
      <c r="C2" s="2936"/>
      <c r="D2" s="2938"/>
      <c r="E2" s="2938"/>
      <c r="F2" s="2939"/>
      <c r="G2" s="2939" t="s">
        <v>3133</v>
      </c>
      <c r="H2" s="2939" t="s">
        <v>3134</v>
      </c>
      <c r="I2" s="2939"/>
      <c r="J2" s="2939" t="s">
        <v>3135</v>
      </c>
      <c r="K2" s="2939"/>
      <c r="L2" s="2939" t="s">
        <v>3136</v>
      </c>
      <c r="M2" s="2939"/>
      <c r="N2" s="2940" t="s">
        <v>3137</v>
      </c>
      <c r="O2" s="2939" t="s">
        <v>3138</v>
      </c>
      <c r="P2" s="3403" t="s">
        <v>3139</v>
      </c>
      <c r="Q2" s="3403"/>
      <c r="R2" s="2936"/>
      <c r="S2" s="2936"/>
      <c r="T2" s="2941"/>
      <c r="U2" s="2941"/>
      <c r="V2" s="2935"/>
      <c r="W2" s="2935"/>
      <c r="X2" s="2935"/>
      <c r="Y2" s="2935"/>
      <c r="Z2" s="3392" t="s">
        <v>3140</v>
      </c>
      <c r="AA2" s="3392"/>
      <c r="AB2" s="3392"/>
      <c r="AC2" s="3392"/>
      <c r="AD2" s="3393"/>
    </row>
    <row r="3" spans="1:30" ht="24">
      <c r="A3" s="2942" t="s">
        <v>3141</v>
      </c>
      <c r="B3" s="2943" t="s">
        <v>3142</v>
      </c>
      <c r="C3" s="2943" t="s">
        <v>3143</v>
      </c>
      <c r="D3" s="2943" t="s">
        <v>3144</v>
      </c>
      <c r="E3" s="2943" t="s">
        <v>3145</v>
      </c>
      <c r="F3" s="2943" t="s">
        <v>3146</v>
      </c>
      <c r="G3" s="2944" t="s">
        <v>3147</v>
      </c>
      <c r="H3" s="2944" t="s">
        <v>3148</v>
      </c>
      <c r="I3" s="2944" t="s">
        <v>3149</v>
      </c>
      <c r="J3" s="2945" t="s">
        <v>3150</v>
      </c>
      <c r="K3" s="2945" t="s">
        <v>3150</v>
      </c>
      <c r="L3" s="2944" t="s">
        <v>3151</v>
      </c>
      <c r="M3" s="2944" t="s">
        <v>3152</v>
      </c>
      <c r="N3" s="2944" t="s">
        <v>3153</v>
      </c>
      <c r="O3" s="2944" t="s">
        <v>3154</v>
      </c>
      <c r="P3" s="2944" t="s">
        <v>3155</v>
      </c>
      <c r="Q3" s="2944" t="s">
        <v>3156</v>
      </c>
      <c r="R3" s="2943" t="s">
        <v>3157</v>
      </c>
      <c r="S3" s="2944" t="s">
        <v>3158</v>
      </c>
      <c r="T3" s="2944" t="s">
        <v>3159</v>
      </c>
      <c r="U3" s="2944" t="s">
        <v>3160</v>
      </c>
      <c r="V3" s="2943" t="s">
        <v>3161</v>
      </c>
      <c r="W3" s="2943" t="s">
        <v>3162</v>
      </c>
      <c r="X3" s="2943" t="s">
        <v>3163</v>
      </c>
      <c r="Y3" s="2943" t="s">
        <v>3164</v>
      </c>
      <c r="Z3" s="2943" t="s">
        <v>3165</v>
      </c>
      <c r="AA3" s="2943" t="s">
        <v>3166</v>
      </c>
      <c r="AB3" s="2943" t="s">
        <v>3167</v>
      </c>
      <c r="AC3" s="2943" t="s">
        <v>3168</v>
      </c>
      <c r="AD3" s="2946"/>
    </row>
    <row r="4" spans="1:30" ht="14.25">
      <c r="A4" s="3394" t="s">
        <v>3169</v>
      </c>
      <c r="B4" s="3394"/>
      <c r="C4" s="3395"/>
      <c r="D4" s="2947"/>
      <c r="E4" s="2948"/>
      <c r="F4" s="2948"/>
      <c r="G4" s="2948"/>
      <c r="H4" s="2948"/>
      <c r="I4" s="2948"/>
      <c r="J4" s="2948"/>
      <c r="K4" s="2948"/>
      <c r="L4" s="2948"/>
      <c r="M4" s="2948"/>
      <c r="N4" s="2948"/>
      <c r="O4" s="2948"/>
      <c r="P4" s="2948"/>
      <c r="Q4" s="2948"/>
      <c r="R4" s="2948"/>
      <c r="S4" s="2949"/>
      <c r="T4" s="2949"/>
      <c r="U4" s="2949"/>
      <c r="V4" s="2948"/>
      <c r="W4" s="2948"/>
      <c r="X4" s="2948"/>
      <c r="Y4" s="2948"/>
      <c r="Z4" s="2948"/>
      <c r="AA4" s="2948"/>
      <c r="AB4" s="2950"/>
      <c r="AC4" s="2951"/>
      <c r="AD4" s="2952"/>
    </row>
    <row r="5" spans="1:30" ht="14.25">
      <c r="A5" s="2953">
        <v>1</v>
      </c>
      <c r="B5" s="2954">
        <v>501</v>
      </c>
      <c r="C5" s="2955" t="s">
        <v>3170</v>
      </c>
      <c r="D5" s="2956">
        <v>3</v>
      </c>
      <c r="E5" s="2957" t="s">
        <v>3171</v>
      </c>
      <c r="F5" s="2957" t="s">
        <v>3172</v>
      </c>
      <c r="G5" s="2957">
        <v>337.41</v>
      </c>
      <c r="H5" s="2958">
        <v>72.760000000000005</v>
      </c>
      <c r="I5" s="2958">
        <v>80.0505</v>
      </c>
      <c r="J5" s="2959">
        <f>H5*10000/G5/365</f>
        <v>5.908018901438151</v>
      </c>
      <c r="K5" s="2959">
        <f t="shared" ref="K5:K22" si="0">I5*10000/G5/365</f>
        <v>6.4999981730287884</v>
      </c>
      <c r="L5" s="2960">
        <v>1</v>
      </c>
      <c r="M5" s="2960">
        <v>20.012599999999999</v>
      </c>
      <c r="N5" s="2960"/>
      <c r="O5" s="2958">
        <f>$H5/12</f>
        <v>6.0633333333333335</v>
      </c>
      <c r="P5" s="2958">
        <f t="shared" ref="P5:Y6" si="1">$H5/12</f>
        <v>6.0633333333333335</v>
      </c>
      <c r="Q5" s="2958">
        <f t="shared" si="1"/>
        <v>6.0633333333333335</v>
      </c>
      <c r="R5" s="2958">
        <f t="shared" si="1"/>
        <v>6.0633333333333335</v>
      </c>
      <c r="S5" s="2958">
        <f t="shared" si="1"/>
        <v>6.0633333333333335</v>
      </c>
      <c r="T5" s="2958">
        <f t="shared" si="1"/>
        <v>6.0633333333333335</v>
      </c>
      <c r="U5" s="2958">
        <f t="shared" si="1"/>
        <v>6.0633333333333335</v>
      </c>
      <c r="V5" s="2958">
        <f t="shared" si="1"/>
        <v>6.0633333333333335</v>
      </c>
      <c r="W5" s="2958">
        <f t="shared" si="1"/>
        <v>6.0633333333333335</v>
      </c>
      <c r="X5" s="2958">
        <f t="shared" si="1"/>
        <v>6.0633333333333335</v>
      </c>
      <c r="Y5" s="2958">
        <f t="shared" si="1"/>
        <v>6.0633333333333335</v>
      </c>
      <c r="Z5" s="2959"/>
      <c r="AA5" s="2961">
        <f t="shared" ref="AA5:AA13" si="2">SUM(O5:Z5)</f>
        <v>66.696666666666673</v>
      </c>
      <c r="AB5" s="2962"/>
      <c r="AC5" s="2957" t="s">
        <v>3173</v>
      </c>
      <c r="AD5" s="2946"/>
    </row>
    <row r="6" spans="1:30" ht="24">
      <c r="A6" s="2953">
        <v>2</v>
      </c>
      <c r="B6" s="2954" t="s">
        <v>3174</v>
      </c>
      <c r="C6" s="2955" t="s">
        <v>3175</v>
      </c>
      <c r="D6" s="2957">
        <v>3</v>
      </c>
      <c r="E6" s="2957" t="s">
        <v>3176</v>
      </c>
      <c r="F6" s="2957" t="s">
        <v>3177</v>
      </c>
      <c r="G6" s="2957">
        <v>455.49</v>
      </c>
      <c r="H6" s="2958">
        <v>106.5391</v>
      </c>
      <c r="I6" s="2958">
        <v>116.3777</v>
      </c>
      <c r="J6" s="2959">
        <f>H6*10000/G6/365</f>
        <v>6.4082185164433785</v>
      </c>
      <c r="K6" s="2959">
        <f t="shared" si="0"/>
        <v>7.0000003007449152</v>
      </c>
      <c r="L6" s="2960">
        <v>1</v>
      </c>
      <c r="M6" s="2960">
        <v>19.399999999999999</v>
      </c>
      <c r="N6" s="2960"/>
      <c r="O6" s="2958">
        <f>$H6/12</f>
        <v>8.8782583333333331</v>
      </c>
      <c r="P6" s="2958">
        <f t="shared" si="1"/>
        <v>8.8782583333333331</v>
      </c>
      <c r="Q6" s="2958">
        <f t="shared" si="1"/>
        <v>8.8782583333333331</v>
      </c>
      <c r="R6" s="2958">
        <f t="shared" si="1"/>
        <v>8.8782583333333331</v>
      </c>
      <c r="S6" s="2958">
        <f t="shared" si="1"/>
        <v>8.8782583333333331</v>
      </c>
      <c r="T6" s="2958">
        <f t="shared" si="1"/>
        <v>8.8782583333333331</v>
      </c>
      <c r="U6" s="2958">
        <f t="shared" si="1"/>
        <v>8.8782583333333331</v>
      </c>
      <c r="V6" s="2958">
        <f t="shared" si="1"/>
        <v>8.8782583333333331</v>
      </c>
      <c r="W6" s="2958">
        <f t="shared" si="1"/>
        <v>8.8782583333333331</v>
      </c>
      <c r="X6" s="2958">
        <f t="shared" si="1"/>
        <v>8.8782583333333331</v>
      </c>
      <c r="Y6" s="2958">
        <f t="shared" si="1"/>
        <v>8.8782583333333331</v>
      </c>
      <c r="Z6" s="2959"/>
      <c r="AA6" s="2961">
        <f t="shared" si="2"/>
        <v>97.66084166666667</v>
      </c>
      <c r="AB6" s="2962" t="s">
        <v>3178</v>
      </c>
      <c r="AC6" s="2957" t="s">
        <v>3179</v>
      </c>
      <c r="AD6" s="2946"/>
    </row>
    <row r="7" spans="1:30" ht="24">
      <c r="A7" s="2953">
        <v>3</v>
      </c>
      <c r="B7" s="2954" t="s">
        <v>3180</v>
      </c>
      <c r="C7" s="2963" t="s">
        <v>3181</v>
      </c>
      <c r="D7" s="2964">
        <v>2</v>
      </c>
      <c r="E7" s="2964" t="s">
        <v>3182</v>
      </c>
      <c r="F7" s="2964" t="s">
        <v>3183</v>
      </c>
      <c r="G7" s="2965">
        <v>150</v>
      </c>
      <c r="H7" s="2966">
        <v>39.659999999999997</v>
      </c>
      <c r="I7" s="2966">
        <v>43.8</v>
      </c>
      <c r="J7" s="2959">
        <f>H7*10000/G7/365</f>
        <v>7.2438356164383553</v>
      </c>
      <c r="K7" s="2959">
        <f t="shared" si="0"/>
        <v>8</v>
      </c>
      <c r="L7" s="2967">
        <v>3</v>
      </c>
      <c r="M7" s="2967">
        <v>3.65</v>
      </c>
      <c r="N7" s="2968"/>
      <c r="O7" s="2966"/>
      <c r="P7" s="2966"/>
      <c r="Q7" s="2966">
        <f>$H7/4</f>
        <v>9.9149999999999991</v>
      </c>
      <c r="R7" s="2966"/>
      <c r="S7" s="2966"/>
      <c r="T7" s="2966">
        <f>$H7/4</f>
        <v>9.9149999999999991</v>
      </c>
      <c r="U7" s="2966"/>
      <c r="V7" s="2966"/>
      <c r="W7" s="2959">
        <v>8.35</v>
      </c>
      <c r="X7" s="2966"/>
      <c r="Y7" s="2966"/>
      <c r="Z7" s="2959"/>
      <c r="AA7" s="2969">
        <f t="shared" si="2"/>
        <v>28.18</v>
      </c>
      <c r="AB7" s="2962" t="s">
        <v>3184</v>
      </c>
      <c r="AC7" s="2957" t="s">
        <v>3185</v>
      </c>
      <c r="AD7" s="2970"/>
    </row>
    <row r="8" spans="1:30" ht="24">
      <c r="A8" s="2953">
        <v>4</v>
      </c>
      <c r="B8" s="2954" t="s">
        <v>3186</v>
      </c>
      <c r="C8" s="2963" t="s">
        <v>3187</v>
      </c>
      <c r="D8" s="2957">
        <v>2</v>
      </c>
      <c r="E8" s="2964" t="s">
        <v>3182</v>
      </c>
      <c r="F8" s="2964" t="s">
        <v>3183</v>
      </c>
      <c r="G8" s="2943">
        <v>267.48</v>
      </c>
      <c r="H8" s="2958">
        <v>70.721699999999998</v>
      </c>
      <c r="I8" s="2958">
        <v>78.104200000000006</v>
      </c>
      <c r="J8" s="2959">
        <f>H8*10000/G8/365</f>
        <v>7.2438343873104838</v>
      </c>
      <c r="K8" s="2959">
        <f t="shared" si="0"/>
        <v>8.0000040970929085</v>
      </c>
      <c r="L8" s="2960">
        <v>3</v>
      </c>
      <c r="M8" s="2960">
        <v>13.0174</v>
      </c>
      <c r="N8" s="2960"/>
      <c r="O8" s="2958">
        <f>$H8/4</f>
        <v>17.680425</v>
      </c>
      <c r="P8" s="2958"/>
      <c r="Q8" s="2958"/>
      <c r="R8" s="2958">
        <f>$H8/4</f>
        <v>17.680425</v>
      </c>
      <c r="S8" s="2958"/>
      <c r="T8" s="2959"/>
      <c r="U8" s="2958">
        <f>$H8/4</f>
        <v>17.680425</v>
      </c>
      <c r="V8" s="2958"/>
      <c r="W8" s="2958"/>
      <c r="X8" s="2958">
        <v>8.99</v>
      </c>
      <c r="Y8" s="2958"/>
      <c r="Z8" s="2958"/>
      <c r="AA8" s="2961">
        <f t="shared" si="2"/>
        <v>62.031275000000001</v>
      </c>
      <c r="AB8" s="2962" t="s">
        <v>3188</v>
      </c>
      <c r="AC8" s="2957" t="s">
        <v>3189</v>
      </c>
      <c r="AD8" s="2946"/>
    </row>
    <row r="9" spans="1:30" ht="14.25">
      <c r="A9" s="2953">
        <v>5</v>
      </c>
      <c r="B9" s="2954">
        <v>603</v>
      </c>
      <c r="C9" s="2963" t="s">
        <v>3190</v>
      </c>
      <c r="D9" s="2956">
        <v>1</v>
      </c>
      <c r="E9" s="2956" t="s">
        <v>3191</v>
      </c>
      <c r="F9" s="2956" t="s">
        <v>3192</v>
      </c>
      <c r="G9" s="2957">
        <v>198.76</v>
      </c>
      <c r="H9" s="2959">
        <v>45.297404</v>
      </c>
      <c r="I9" s="2959">
        <v>50.783180000000002</v>
      </c>
      <c r="J9" s="2959">
        <f>H9*10000/G9/365</f>
        <v>6.2438356164383562</v>
      </c>
      <c r="K9" s="2959">
        <f t="shared" si="0"/>
        <v>7</v>
      </c>
      <c r="L9" s="2960">
        <v>6</v>
      </c>
      <c r="M9" s="2960">
        <v>8.4638639999999992</v>
      </c>
      <c r="N9" s="2960"/>
      <c r="O9" s="2958"/>
      <c r="P9" s="2958"/>
      <c r="Q9" s="2958"/>
      <c r="R9" s="2958"/>
      <c r="S9" s="2959"/>
      <c r="T9" s="2958">
        <f>H9/2</f>
        <v>22.648702</v>
      </c>
      <c r="U9" s="2958"/>
      <c r="V9" s="2971"/>
      <c r="W9" s="2958"/>
      <c r="X9" s="2958"/>
      <c r="Y9" s="2958">
        <f>H9/6</f>
        <v>7.5495673333333331</v>
      </c>
      <c r="Z9" s="2958"/>
      <c r="AA9" s="2961">
        <f t="shared" si="2"/>
        <v>30.198269333333332</v>
      </c>
      <c r="AB9" s="2962" t="s">
        <v>3193</v>
      </c>
      <c r="AC9" s="2957" t="s">
        <v>3194</v>
      </c>
      <c r="AD9" s="2946"/>
    </row>
    <row r="10" spans="1:30" ht="14.25">
      <c r="A10" s="2953">
        <v>6</v>
      </c>
      <c r="B10" s="2954" t="s">
        <v>3195</v>
      </c>
      <c r="C10" s="2963" t="s">
        <v>3196</v>
      </c>
      <c r="D10" s="2956">
        <v>2</v>
      </c>
      <c r="E10" s="2956" t="s">
        <v>3197</v>
      </c>
      <c r="F10" s="2956" t="s">
        <v>3198</v>
      </c>
      <c r="G10" s="2957">
        <v>147</v>
      </c>
      <c r="H10" s="2959">
        <v>39.939900000000002</v>
      </c>
      <c r="I10" s="2959">
        <v>43.997100000000003</v>
      </c>
      <c r="J10" s="2959">
        <f t="shared" ref="J10:J12" si="3">H10*10000/G10/365</f>
        <v>7.4438356164383563</v>
      </c>
      <c r="K10" s="2959">
        <f t="shared" si="0"/>
        <v>8.2000000000000011</v>
      </c>
      <c r="L10" s="2960">
        <v>6</v>
      </c>
      <c r="M10" s="2960">
        <v>7.3328499999999996</v>
      </c>
      <c r="N10" s="2960"/>
      <c r="O10" s="2958">
        <f>$H10/2</f>
        <v>19.969950000000001</v>
      </c>
      <c r="P10" s="2958"/>
      <c r="Q10" s="2958"/>
      <c r="R10" s="2958"/>
      <c r="S10" s="2959"/>
      <c r="T10" s="2972"/>
      <c r="U10" s="2958">
        <f>$H10/2</f>
        <v>19.969950000000001</v>
      </c>
      <c r="V10" s="2971"/>
      <c r="W10" s="2971"/>
      <c r="X10" s="2958"/>
      <c r="Y10" s="2958"/>
      <c r="Z10" s="2971"/>
      <c r="AA10" s="2961">
        <f t="shared" si="2"/>
        <v>39.939900000000002</v>
      </c>
      <c r="AB10" s="2962"/>
      <c r="AC10" s="2957" t="s">
        <v>3199</v>
      </c>
      <c r="AD10" s="2946"/>
    </row>
    <row r="11" spans="1:30" ht="24">
      <c r="A11" s="2953">
        <v>7</v>
      </c>
      <c r="B11" s="2954">
        <v>605</v>
      </c>
      <c r="C11" s="2963" t="s">
        <v>3200</v>
      </c>
      <c r="D11" s="2956">
        <v>2</v>
      </c>
      <c r="E11" s="2956" t="s">
        <v>3201</v>
      </c>
      <c r="F11" s="3004" t="s">
        <v>3202</v>
      </c>
      <c r="G11" s="2957">
        <v>317.57</v>
      </c>
      <c r="H11" s="2959">
        <v>83.965500000000006</v>
      </c>
      <c r="I11" s="2959">
        <v>92.730400000000003</v>
      </c>
      <c r="J11" s="2959">
        <f>H11*10000/G11/365</f>
        <v>7.2438349262658521</v>
      </c>
      <c r="K11" s="2959">
        <f>I11*10000/G11/365</f>
        <v>7.999996549137478</v>
      </c>
      <c r="L11" s="2960">
        <v>1</v>
      </c>
      <c r="M11" s="2960">
        <v>23.182600000000001</v>
      </c>
      <c r="N11" s="2960"/>
      <c r="O11" s="2959">
        <f>$H11/12</f>
        <v>6.9971250000000005</v>
      </c>
      <c r="P11" s="2959">
        <f t="shared" ref="P11:Z11" si="4">$H11/12</f>
        <v>6.9971250000000005</v>
      </c>
      <c r="Q11" s="2959">
        <f t="shared" si="4"/>
        <v>6.9971250000000005</v>
      </c>
      <c r="R11" s="2959">
        <f t="shared" si="4"/>
        <v>6.9971250000000005</v>
      </c>
      <c r="S11" s="2959">
        <f t="shared" si="4"/>
        <v>6.9971250000000005</v>
      </c>
      <c r="T11" s="2959">
        <f t="shared" si="4"/>
        <v>6.9971250000000005</v>
      </c>
      <c r="U11" s="2959">
        <f t="shared" si="4"/>
        <v>6.9971250000000005</v>
      </c>
      <c r="V11" s="2959">
        <f t="shared" si="4"/>
        <v>6.9971250000000005</v>
      </c>
      <c r="W11" s="2959">
        <f t="shared" si="4"/>
        <v>6.9971250000000005</v>
      </c>
      <c r="X11" s="2959">
        <f t="shared" si="4"/>
        <v>6.9971250000000005</v>
      </c>
      <c r="Y11" s="2959">
        <f t="shared" si="4"/>
        <v>6.9971250000000005</v>
      </c>
      <c r="Z11" s="2959">
        <f t="shared" si="4"/>
        <v>6.9971250000000005</v>
      </c>
      <c r="AA11" s="2961">
        <f t="shared" si="2"/>
        <v>83.965499999999977</v>
      </c>
      <c r="AB11" s="2962"/>
      <c r="AC11" s="2957" t="s">
        <v>3203</v>
      </c>
      <c r="AD11" s="2946" t="s">
        <v>3204</v>
      </c>
    </row>
    <row r="12" spans="1:30" ht="36">
      <c r="A12" s="2953">
        <v>8</v>
      </c>
      <c r="B12" s="2954">
        <v>703</v>
      </c>
      <c r="C12" s="2963" t="s">
        <v>3205</v>
      </c>
      <c r="D12" s="2956">
        <v>5</v>
      </c>
      <c r="E12" s="2956" t="s">
        <v>3206</v>
      </c>
      <c r="F12" s="3004" t="s">
        <v>3207</v>
      </c>
      <c r="G12" s="2957">
        <v>453.8</v>
      </c>
      <c r="H12" s="2959">
        <v>119.9847</v>
      </c>
      <c r="I12" s="2959">
        <v>132.50960000000001</v>
      </c>
      <c r="J12" s="2959">
        <f t="shared" si="3"/>
        <v>7.2438344089786701</v>
      </c>
      <c r="K12" s="2959">
        <f>I12*10000/G12/365</f>
        <v>8</v>
      </c>
      <c r="L12" s="2960">
        <v>3</v>
      </c>
      <c r="M12" s="2960">
        <v>22.084900000000001</v>
      </c>
      <c r="N12" s="2973" t="s">
        <v>3208</v>
      </c>
      <c r="O12" s="2958"/>
      <c r="P12" s="2958">
        <f>$H12/4</f>
        <v>29.996175000000001</v>
      </c>
      <c r="Q12" s="2958"/>
      <c r="R12" s="2958"/>
      <c r="S12" s="2958">
        <f>$H12/4</f>
        <v>29.996175000000001</v>
      </c>
      <c r="T12" s="2972"/>
      <c r="U12" s="2958"/>
      <c r="V12" s="2958">
        <f>$H12/4</f>
        <v>29.996175000000001</v>
      </c>
      <c r="W12" s="2971"/>
      <c r="X12" s="2958"/>
      <c r="Y12" s="2958">
        <f>$H12/4</f>
        <v>29.996175000000001</v>
      </c>
      <c r="Z12" s="2971"/>
      <c r="AA12" s="2961">
        <f t="shared" si="2"/>
        <v>119.9847</v>
      </c>
      <c r="AB12" s="2962" t="s">
        <v>3209</v>
      </c>
      <c r="AC12" s="2957" t="s">
        <v>3210</v>
      </c>
      <c r="AD12" s="2946"/>
    </row>
    <row r="13" spans="1:30" ht="24">
      <c r="A13" s="2953">
        <v>9</v>
      </c>
      <c r="B13" s="2954">
        <v>705</v>
      </c>
      <c r="C13" s="2955" t="s">
        <v>3211</v>
      </c>
      <c r="D13" s="2957">
        <v>2</v>
      </c>
      <c r="E13" s="2957" t="s">
        <v>3212</v>
      </c>
      <c r="F13" s="2957" t="s">
        <v>3213</v>
      </c>
      <c r="G13" s="2957">
        <v>224.55</v>
      </c>
      <c r="H13" s="2959">
        <v>56.6203</v>
      </c>
      <c r="I13" s="2959">
        <v>61.470599999999997</v>
      </c>
      <c r="J13" s="2959">
        <f>H13*10000/G13/365</f>
        <v>6.9082213132505501</v>
      </c>
      <c r="K13" s="2959">
        <f t="shared" si="0"/>
        <v>7.5000045753607667</v>
      </c>
      <c r="L13" s="2960">
        <v>3</v>
      </c>
      <c r="M13" s="2960">
        <v>10.245094</v>
      </c>
      <c r="N13" s="2960"/>
      <c r="O13" s="2958"/>
      <c r="P13" s="2958">
        <f>$H13/4</f>
        <v>14.155075</v>
      </c>
      <c r="Q13" s="2958"/>
      <c r="R13" s="2959"/>
      <c r="S13" s="2958">
        <f>$H13/4</f>
        <v>14.155075</v>
      </c>
      <c r="T13" s="2958"/>
      <c r="U13" s="2958"/>
      <c r="V13" s="2959">
        <v>9.44</v>
      </c>
      <c r="W13" s="2958"/>
      <c r="X13" s="2959"/>
      <c r="Y13" s="2959"/>
      <c r="Z13" s="2958"/>
      <c r="AA13" s="2961">
        <f t="shared" si="2"/>
        <v>37.750149999999998</v>
      </c>
      <c r="AB13" s="2962" t="s">
        <v>3214</v>
      </c>
      <c r="AC13" s="2957" t="s">
        <v>3215</v>
      </c>
      <c r="AD13" s="2946"/>
    </row>
    <row r="14" spans="1:30" ht="24">
      <c r="A14" s="2953">
        <v>10</v>
      </c>
      <c r="B14" s="2954">
        <v>801</v>
      </c>
      <c r="C14" s="2974" t="s">
        <v>3216</v>
      </c>
      <c r="D14" s="2957"/>
      <c r="E14" s="2957" t="s">
        <v>3217</v>
      </c>
      <c r="F14" s="2957" t="s">
        <v>3218</v>
      </c>
      <c r="G14" s="2957">
        <v>414.92</v>
      </c>
      <c r="H14" s="2959">
        <v>117.22</v>
      </c>
      <c r="I14" s="2959">
        <v>128.72999999999999</v>
      </c>
      <c r="J14" s="2959">
        <f>H14*10000/G14/365</f>
        <v>7.7400627815363645</v>
      </c>
      <c r="K14" s="2959">
        <f t="shared" si="0"/>
        <v>8.5000706523389873</v>
      </c>
      <c r="L14" s="2960"/>
      <c r="M14" s="2960">
        <v>18.930723</v>
      </c>
      <c r="N14" s="2960"/>
      <c r="O14" s="2958"/>
      <c r="P14" s="2958"/>
      <c r="Q14" s="2958"/>
      <c r="R14" s="2959"/>
      <c r="S14" s="2959"/>
      <c r="T14" s="2959"/>
      <c r="U14" s="2959"/>
      <c r="V14" s="2959"/>
      <c r="W14" s="2959"/>
      <c r="X14" s="2959"/>
      <c r="Y14" s="2959"/>
      <c r="Z14" s="2958"/>
      <c r="AA14" s="2961">
        <f>SUM(P14:Z14)</f>
        <v>0</v>
      </c>
      <c r="AB14" s="2962" t="s">
        <v>3219</v>
      </c>
      <c r="AC14" s="2957" t="s">
        <v>3220</v>
      </c>
      <c r="AD14" s="2946"/>
    </row>
    <row r="15" spans="1:30" ht="14.25">
      <c r="A15" s="2953">
        <v>11</v>
      </c>
      <c r="B15" s="2954">
        <v>903</v>
      </c>
      <c r="C15" s="2963" t="s">
        <v>3221</v>
      </c>
      <c r="D15" s="2957">
        <v>1</v>
      </c>
      <c r="E15" s="2957" t="s">
        <v>3222</v>
      </c>
      <c r="F15" s="2957" t="s">
        <v>3223</v>
      </c>
      <c r="G15" s="2957">
        <v>424.8</v>
      </c>
      <c r="H15" s="2958">
        <v>112.3171</v>
      </c>
      <c r="I15" s="2958">
        <v>124.0416</v>
      </c>
      <c r="J15" s="2959">
        <f>H15*10000/G15/365</f>
        <v>7.2438343265485123</v>
      </c>
      <c r="K15" s="2959">
        <f t="shared" si="0"/>
        <v>8</v>
      </c>
      <c r="L15" s="2960">
        <v>3</v>
      </c>
      <c r="M15" s="2960">
        <v>10.3368</v>
      </c>
      <c r="N15" s="2975"/>
      <c r="O15" s="2960"/>
      <c r="P15" s="2959">
        <v>22.1</v>
      </c>
      <c r="Q15" s="2958"/>
      <c r="R15" s="2958"/>
      <c r="S15" s="2959"/>
      <c r="T15" s="2959"/>
      <c r="U15" s="2959"/>
      <c r="V15" s="2959"/>
      <c r="W15" s="2959"/>
      <c r="X15" s="2959"/>
      <c r="Y15" s="2959"/>
      <c r="Z15" s="2958"/>
      <c r="AA15" s="2961">
        <f t="shared" ref="AA15:AA20" si="5">SUM(O15:Z15)</f>
        <v>22.1</v>
      </c>
      <c r="AB15" s="2962" t="s">
        <v>3224</v>
      </c>
      <c r="AC15" s="2957" t="s">
        <v>3225</v>
      </c>
      <c r="AD15" s="2946"/>
    </row>
    <row r="16" spans="1:30" ht="14.25">
      <c r="A16" s="2953">
        <v>12</v>
      </c>
      <c r="B16" s="2954">
        <v>906</v>
      </c>
      <c r="C16" s="2939" t="s">
        <v>3226</v>
      </c>
      <c r="D16" s="2957">
        <v>2</v>
      </c>
      <c r="E16" s="2957" t="s">
        <v>3227</v>
      </c>
      <c r="F16" s="3004" t="s">
        <v>3228</v>
      </c>
      <c r="G16" s="2957">
        <v>260.64999999999998</v>
      </c>
      <c r="H16" s="2958">
        <v>71.8</v>
      </c>
      <c r="I16" s="2958">
        <v>78.959999999999994</v>
      </c>
      <c r="J16" s="2959">
        <f t="shared" ref="J16:J22" si="6">H16*10000/G16/365</f>
        <v>7.546991320434425</v>
      </c>
      <c r="K16" s="2959">
        <f t="shared" si="0"/>
        <v>8.2995882264833174</v>
      </c>
      <c r="L16" s="2960">
        <v>3</v>
      </c>
      <c r="M16" s="2960">
        <v>13.1607</v>
      </c>
      <c r="N16" s="2960"/>
      <c r="O16" s="2958">
        <f>H16/4</f>
        <v>17.95</v>
      </c>
      <c r="P16" s="2958"/>
      <c r="Q16" s="2958"/>
      <c r="R16" s="2958"/>
      <c r="S16" s="2958"/>
      <c r="T16" s="2958">
        <f>$H16/4</f>
        <v>17.95</v>
      </c>
      <c r="U16" s="2958"/>
      <c r="V16" s="2958"/>
      <c r="W16" s="2958">
        <f>$H16/4</f>
        <v>17.95</v>
      </c>
      <c r="X16" s="2958"/>
      <c r="Y16" s="2958"/>
      <c r="Z16" s="2958">
        <f>$H16/4</f>
        <v>17.95</v>
      </c>
      <c r="AA16" s="2976">
        <f t="shared" si="5"/>
        <v>71.8</v>
      </c>
      <c r="AB16" s="2962" t="s">
        <v>3229</v>
      </c>
      <c r="AC16" s="2957" t="s">
        <v>3230</v>
      </c>
      <c r="AD16" s="2946"/>
    </row>
    <row r="17" spans="1:30" ht="24">
      <c r="A17" s="2953">
        <v>13</v>
      </c>
      <c r="B17" s="2954" t="s">
        <v>3231</v>
      </c>
      <c r="C17" s="2963" t="s">
        <v>3232</v>
      </c>
      <c r="D17" s="2964">
        <v>2</v>
      </c>
      <c r="E17" s="2964" t="s">
        <v>3233</v>
      </c>
      <c r="F17" s="2964" t="s">
        <v>3234</v>
      </c>
      <c r="G17" s="2964">
        <v>807.86</v>
      </c>
      <c r="H17" s="2966">
        <v>213.59819999999999</v>
      </c>
      <c r="I17" s="2966">
        <v>235.89510000000001</v>
      </c>
      <c r="J17" s="2966">
        <f t="shared" si="6"/>
        <v>7.2438361590523792</v>
      </c>
      <c r="K17" s="2966">
        <f t="shared" si="0"/>
        <v>7.9999993217324716</v>
      </c>
      <c r="L17" s="2967">
        <v>3</v>
      </c>
      <c r="M17" s="2967">
        <v>39.315899999999999</v>
      </c>
      <c r="N17" s="2967"/>
      <c r="O17" s="2966"/>
      <c r="P17" s="2966">
        <f>$H17/4</f>
        <v>53.399549999999998</v>
      </c>
      <c r="Q17" s="2966"/>
      <c r="R17" s="2966"/>
      <c r="S17" s="2966">
        <f>$H17/4</f>
        <v>53.399549999999998</v>
      </c>
      <c r="T17" s="2966"/>
      <c r="U17" s="2966"/>
      <c r="V17" s="2966">
        <f>$H17/4</f>
        <v>53.399549999999998</v>
      </c>
      <c r="W17" s="2966"/>
      <c r="X17" s="2966"/>
      <c r="Y17" s="2966">
        <f>$H17/4</f>
        <v>53.399549999999998</v>
      </c>
      <c r="Z17" s="2966"/>
      <c r="AA17" s="2969">
        <f t="shared" si="5"/>
        <v>213.59819999999999</v>
      </c>
      <c r="AB17" s="2977" t="s">
        <v>3235</v>
      </c>
      <c r="AC17" s="2957" t="s">
        <v>3236</v>
      </c>
      <c r="AD17" s="2978"/>
    </row>
    <row r="18" spans="1:30" ht="24">
      <c r="A18" s="2953">
        <v>14</v>
      </c>
      <c r="B18" s="2954" t="s">
        <v>3237</v>
      </c>
      <c r="C18" s="2974" t="s">
        <v>3238</v>
      </c>
      <c r="D18" s="2957">
        <v>2</v>
      </c>
      <c r="E18" s="2957" t="s">
        <v>3239</v>
      </c>
      <c r="F18" s="3004" t="s">
        <v>3240</v>
      </c>
      <c r="G18" s="2957">
        <v>629.13</v>
      </c>
      <c r="H18" s="2959">
        <v>161.74930000000001</v>
      </c>
      <c r="I18" s="2959">
        <v>179.11330000000001</v>
      </c>
      <c r="J18" s="2966">
        <f t="shared" si="6"/>
        <v>7.0438346148377553</v>
      </c>
      <c r="K18" s="2959">
        <f t="shared" si="0"/>
        <v>7.7999995209736257</v>
      </c>
      <c r="L18" s="2960">
        <v>3</v>
      </c>
      <c r="M18" s="2960">
        <v>14.9261</v>
      </c>
      <c r="N18" s="2960"/>
      <c r="O18" s="2958"/>
      <c r="P18" s="2959">
        <f>H18/4</f>
        <v>40.437325000000001</v>
      </c>
      <c r="Q18" s="2958"/>
      <c r="R18" s="2958"/>
      <c r="S18" s="2959">
        <f>H18/4</f>
        <v>40.437325000000001</v>
      </c>
      <c r="T18" s="2959"/>
      <c r="U18" s="2959"/>
      <c r="V18" s="2959">
        <f>H18/4</f>
        <v>40.437325000000001</v>
      </c>
      <c r="W18" s="2959"/>
      <c r="X18" s="2959"/>
      <c r="Y18" s="2959">
        <f>H18/4</f>
        <v>40.437325000000001</v>
      </c>
      <c r="Z18" s="2966"/>
      <c r="AA18" s="2961">
        <f t="shared" si="5"/>
        <v>161.74930000000001</v>
      </c>
      <c r="AB18" s="2962"/>
      <c r="AC18" s="2943" t="s">
        <v>3241</v>
      </c>
      <c r="AD18" s="2946"/>
    </row>
    <row r="19" spans="1:30" ht="24">
      <c r="A19" s="2953">
        <v>15</v>
      </c>
      <c r="B19" s="2954" t="s">
        <v>3242</v>
      </c>
      <c r="C19" s="2974" t="s">
        <v>3243</v>
      </c>
      <c r="D19" s="2957">
        <v>2</v>
      </c>
      <c r="E19" s="2957" t="s">
        <v>3244</v>
      </c>
      <c r="F19" s="3004" t="s">
        <v>3245</v>
      </c>
      <c r="G19" s="2957">
        <v>20</v>
      </c>
      <c r="H19" s="2959">
        <v>5.1420000000000003</v>
      </c>
      <c r="I19" s="2959">
        <v>5.694</v>
      </c>
      <c r="J19" s="2966">
        <f t="shared" si="6"/>
        <v>7.043835616438356</v>
      </c>
      <c r="K19" s="2959">
        <f t="shared" si="0"/>
        <v>7.8</v>
      </c>
      <c r="L19" s="2960">
        <v>3</v>
      </c>
      <c r="M19" s="2960">
        <v>0.47449999999999998</v>
      </c>
      <c r="N19" s="2960"/>
      <c r="O19" s="2958"/>
      <c r="P19" s="2959">
        <f>H19/4</f>
        <v>1.2855000000000001</v>
      </c>
      <c r="Q19" s="2958"/>
      <c r="R19" s="2958"/>
      <c r="S19" s="2959">
        <f>H19/4</f>
        <v>1.2855000000000001</v>
      </c>
      <c r="T19" s="2959"/>
      <c r="U19" s="2959"/>
      <c r="V19" s="2959">
        <f>H19/4</f>
        <v>1.2855000000000001</v>
      </c>
      <c r="W19" s="2959"/>
      <c r="X19" s="2959"/>
      <c r="Y19" s="2959">
        <f>H19/4</f>
        <v>1.2855000000000001</v>
      </c>
      <c r="Z19" s="2966"/>
      <c r="AA19" s="2961">
        <f t="shared" si="5"/>
        <v>5.1420000000000003</v>
      </c>
      <c r="AB19" s="2962"/>
      <c r="AC19" s="2943" t="s">
        <v>3246</v>
      </c>
      <c r="AD19" s="2946"/>
    </row>
    <row r="20" spans="1:30" ht="24">
      <c r="A20" s="2953">
        <v>16</v>
      </c>
      <c r="B20" s="2954" t="s">
        <v>3247</v>
      </c>
      <c r="C20" s="2963" t="s">
        <v>3248</v>
      </c>
      <c r="D20" s="2957">
        <v>4</v>
      </c>
      <c r="E20" s="2957" t="s">
        <v>3249</v>
      </c>
      <c r="F20" s="3004" t="s">
        <v>3250</v>
      </c>
      <c r="G20" s="2957">
        <v>1456.99</v>
      </c>
      <c r="H20" s="2958">
        <v>385.22820000000002</v>
      </c>
      <c r="I20" s="2958">
        <v>425.44110000000001</v>
      </c>
      <c r="J20" s="2959">
        <f>H20*10000/G20/365</f>
        <v>7.2438364438149696</v>
      </c>
      <c r="K20" s="2959">
        <f t="shared" si="0"/>
        <v>8.0000003760802798</v>
      </c>
      <c r="L20" s="2960">
        <v>3</v>
      </c>
      <c r="M20" s="2960">
        <v>70.906800000000004</v>
      </c>
      <c r="N20" s="2975" t="s">
        <v>3251</v>
      </c>
      <c r="O20" s="2979">
        <f>$H20/4</f>
        <v>96.307050000000004</v>
      </c>
      <c r="P20" s="2958"/>
      <c r="Q20" s="2958"/>
      <c r="R20" s="2979">
        <f>$H20/4</f>
        <v>96.307050000000004</v>
      </c>
      <c r="S20" s="2958"/>
      <c r="T20" s="2959"/>
      <c r="U20" s="2979">
        <f>$H20/4</f>
        <v>96.307050000000004</v>
      </c>
      <c r="V20" s="2958"/>
      <c r="W20" s="2958"/>
      <c r="X20" s="2979">
        <f>$H20/4</f>
        <v>96.307050000000004</v>
      </c>
      <c r="Y20" s="2958"/>
      <c r="Z20" s="2958"/>
      <c r="AA20" s="2961">
        <f t="shared" si="5"/>
        <v>385.22820000000002</v>
      </c>
      <c r="AB20" s="2962"/>
      <c r="AC20" s="2943" t="s">
        <v>3252</v>
      </c>
      <c r="AD20" s="2946"/>
    </row>
    <row r="21" spans="1:30" ht="14.25">
      <c r="A21" s="2953">
        <v>17</v>
      </c>
      <c r="B21" s="2954">
        <v>2303</v>
      </c>
      <c r="C21" s="2963" t="s">
        <v>3253</v>
      </c>
      <c r="D21" s="2957">
        <v>2</v>
      </c>
      <c r="E21" s="2957" t="s">
        <v>3254</v>
      </c>
      <c r="F21" s="2957" t="s">
        <v>3255</v>
      </c>
      <c r="G21" s="2957">
        <v>394.18</v>
      </c>
      <c r="H21" s="2958">
        <v>104.2212</v>
      </c>
      <c r="I21" s="2958">
        <v>115.1006</v>
      </c>
      <c r="J21" s="2959">
        <f>H21*10000/G21/365</f>
        <v>7.2438361724738778</v>
      </c>
      <c r="K21" s="2959">
        <f t="shared" si="0"/>
        <v>8.0000027801776117</v>
      </c>
      <c r="L21" s="2960">
        <v>3</v>
      </c>
      <c r="M21" s="2960">
        <v>19.183399999999999</v>
      </c>
      <c r="N21" s="2960"/>
      <c r="O21" s="2946"/>
      <c r="P21" s="2958">
        <f>$H21/4</f>
        <v>26.055299999999999</v>
      </c>
      <c r="Q21" s="2958"/>
      <c r="R21" s="2958"/>
      <c r="S21" s="2958">
        <f>$H21/4</f>
        <v>26.055299999999999</v>
      </c>
      <c r="T21" s="2958"/>
      <c r="U21" s="2959"/>
      <c r="V21" s="2958">
        <f>$H21/4</f>
        <v>26.055299999999999</v>
      </c>
      <c r="W21" s="2958"/>
      <c r="X21" s="2958"/>
      <c r="Y21" s="2958">
        <f>$H21/4</f>
        <v>26.055299999999999</v>
      </c>
      <c r="Z21" s="2958"/>
      <c r="AA21" s="2961">
        <f>SUM(P21:Z21)</f>
        <v>104.2212</v>
      </c>
      <c r="AB21" s="2962" t="s">
        <v>3256</v>
      </c>
      <c r="AC21" s="2943" t="s">
        <v>3257</v>
      </c>
      <c r="AD21" s="2946"/>
    </row>
    <row r="22" spans="1:30" ht="14.25">
      <c r="A22" s="2953"/>
      <c r="B22" s="2944"/>
      <c r="C22" s="2980" t="s">
        <v>3258</v>
      </c>
      <c r="D22" s="2957"/>
      <c r="E22" s="2957"/>
      <c r="F22" s="2957"/>
      <c r="G22" s="2981">
        <f>SUM(G5:G21)</f>
        <v>6960.5900000000011</v>
      </c>
      <c r="H22" s="2961">
        <f>SUM(H5:H21)</f>
        <v>1806.764604</v>
      </c>
      <c r="I22" s="2961">
        <f>SUM(I5:I21)</f>
        <v>1992.7989799999998</v>
      </c>
      <c r="J22" s="2982">
        <f t="shared" si="6"/>
        <v>7.1115236078535053</v>
      </c>
      <c r="K22" s="2982">
        <f t="shared" si="0"/>
        <v>7.8437650154321839</v>
      </c>
      <c r="L22" s="2981"/>
      <c r="M22" s="2983">
        <f>SUM(M5:M21)</f>
        <v>314.62423100000001</v>
      </c>
      <c r="N22" s="2981"/>
      <c r="O22" s="2961">
        <f>SUM(O5:O21)</f>
        <v>173.84614166666665</v>
      </c>
      <c r="P22" s="2961">
        <f t="shared" ref="P22:Z22" si="7">SUM(P5:P21)</f>
        <v>209.36764166666666</v>
      </c>
      <c r="Q22" s="2961">
        <f t="shared" si="7"/>
        <v>31.853716666666667</v>
      </c>
      <c r="R22" s="2961">
        <f t="shared" si="7"/>
        <v>135.92619166666668</v>
      </c>
      <c r="S22" s="2961">
        <f t="shared" si="7"/>
        <v>187.26764166666669</v>
      </c>
      <c r="T22" s="2961">
        <f t="shared" si="7"/>
        <v>72.452418666666674</v>
      </c>
      <c r="U22" s="2961">
        <f t="shared" si="7"/>
        <v>155.89614166666667</v>
      </c>
      <c r="V22" s="2961">
        <f t="shared" si="7"/>
        <v>182.55256666666668</v>
      </c>
      <c r="W22" s="2961">
        <f t="shared" si="7"/>
        <v>48.238716666666669</v>
      </c>
      <c r="X22" s="2961">
        <f t="shared" si="7"/>
        <v>127.23576666666668</v>
      </c>
      <c r="Y22" s="2961">
        <f t="shared" si="7"/>
        <v>180.66213399999998</v>
      </c>
      <c r="Z22" s="2961">
        <f t="shared" si="7"/>
        <v>24.947125</v>
      </c>
      <c r="AA22" s="2961">
        <f>SUM(AA5:AA21)</f>
        <v>1530.2462026666667</v>
      </c>
      <c r="AB22" s="2962"/>
      <c r="AC22" s="2984"/>
      <c r="AD22" s="2985"/>
    </row>
    <row r="23" spans="1:30" ht="14.25" hidden="1">
      <c r="A23" s="3396" t="s">
        <v>3259</v>
      </c>
      <c r="B23" s="3397"/>
      <c r="C23" s="3397"/>
      <c r="D23" s="2943"/>
      <c r="E23" s="2957"/>
      <c r="F23" s="2957"/>
      <c r="G23" s="2957"/>
      <c r="H23" s="2981"/>
      <c r="I23" s="2981"/>
      <c r="J23" s="2958"/>
      <c r="K23" s="2958"/>
      <c r="L23" s="2986"/>
      <c r="M23" s="2986"/>
      <c r="N23" s="2986"/>
      <c r="O23" s="2943"/>
      <c r="P23" s="2943"/>
      <c r="Q23" s="2943"/>
      <c r="R23" s="2943"/>
      <c r="S23" s="2944"/>
      <c r="T23" s="2944"/>
      <c r="U23" s="2944"/>
      <c r="V23" s="2943"/>
      <c r="W23" s="2943"/>
      <c r="X23" s="2943"/>
      <c r="Y23" s="2943"/>
      <c r="Z23" s="2943"/>
      <c r="AA23" s="2987"/>
      <c r="AB23" s="2988"/>
      <c r="AC23" s="2989"/>
      <c r="AD23" s="2946"/>
    </row>
    <row r="24" spans="1:30" ht="24" hidden="1">
      <c r="A24" s="2953">
        <v>17</v>
      </c>
      <c r="B24" s="2963" t="s">
        <v>3260</v>
      </c>
      <c r="C24" s="2963" t="s">
        <v>3261</v>
      </c>
      <c r="D24" s="2943">
        <v>5</v>
      </c>
      <c r="E24" s="2957" t="s">
        <v>3262</v>
      </c>
      <c r="F24" s="2957" t="s">
        <v>3263</v>
      </c>
      <c r="G24" s="2957">
        <v>28809</v>
      </c>
      <c r="H24" s="2958">
        <v>1094.4000000000001</v>
      </c>
      <c r="I24" s="2958"/>
      <c r="J24" s="2958">
        <f>H24*10000/G24/365</f>
        <v>1.0407706495829641</v>
      </c>
      <c r="K24" s="2958"/>
      <c r="L24" s="2990">
        <v>1</v>
      </c>
      <c r="M24" s="2990"/>
      <c r="N24" s="2990"/>
      <c r="O24" s="2943">
        <v>91.2</v>
      </c>
      <c r="P24" s="2943">
        <v>91.2</v>
      </c>
      <c r="Q24" s="2943">
        <v>91.2</v>
      </c>
      <c r="R24" s="2943">
        <v>91.2</v>
      </c>
      <c r="S24" s="2943">
        <v>91.2</v>
      </c>
      <c r="T24" s="2943">
        <v>91.2</v>
      </c>
      <c r="U24" s="2943">
        <v>91.2</v>
      </c>
      <c r="V24" s="2943">
        <v>91.2</v>
      </c>
      <c r="W24" s="2943">
        <v>91.2</v>
      </c>
      <c r="X24" s="2943">
        <v>91.2</v>
      </c>
      <c r="Y24" s="2943">
        <v>91.2</v>
      </c>
      <c r="Z24" s="2943">
        <v>91.2</v>
      </c>
      <c r="AA24" s="2991">
        <f>SUM(O24:Z24)</f>
        <v>1094.4000000000003</v>
      </c>
      <c r="AB24" s="2988"/>
      <c r="AC24" s="2989"/>
      <c r="AD24" s="2946"/>
    </row>
    <row r="25" spans="1:30" ht="24" hidden="1">
      <c r="A25" s="2953"/>
      <c r="B25" s="2963" t="s">
        <v>3260</v>
      </c>
      <c r="C25" s="2963" t="s">
        <v>3264</v>
      </c>
      <c r="D25" s="2943"/>
      <c r="E25" s="2957" t="s">
        <v>3265</v>
      </c>
      <c r="F25" s="2957" t="s">
        <v>3266</v>
      </c>
      <c r="G25" s="2957">
        <v>7640.61</v>
      </c>
      <c r="H25" s="2958">
        <v>219.99959999999999</v>
      </c>
      <c r="I25" s="2958"/>
      <c r="J25" s="2958">
        <f>H25*10000/G25/365</f>
        <v>0.78886192350739837</v>
      </c>
      <c r="K25" s="2958"/>
      <c r="L25" s="2990">
        <v>1</v>
      </c>
      <c r="M25" s="2990"/>
      <c r="N25" s="2990"/>
      <c r="O25" s="2979">
        <v>18.333300000000001</v>
      </c>
      <c r="P25" s="2979">
        <v>18.333300000000001</v>
      </c>
      <c r="Q25" s="2979">
        <v>18.333300000000001</v>
      </c>
      <c r="R25" s="2979">
        <v>18.333300000000001</v>
      </c>
      <c r="S25" s="2979">
        <v>18.333300000000001</v>
      </c>
      <c r="T25" s="2979">
        <v>18.333300000000001</v>
      </c>
      <c r="U25" s="2979">
        <v>18.333300000000001</v>
      </c>
      <c r="V25" s="2979">
        <v>18.333300000000001</v>
      </c>
      <c r="W25" s="2979">
        <v>18.333300000000001</v>
      </c>
      <c r="X25" s="2979">
        <v>18.333300000000001</v>
      </c>
      <c r="Y25" s="2979">
        <v>18.333300000000001</v>
      </c>
      <c r="Z25" s="2979">
        <v>18.333300000000001</v>
      </c>
      <c r="AA25" s="2991">
        <f>SUM(O25:Z25)</f>
        <v>219.99960000000007</v>
      </c>
      <c r="AB25" s="2988"/>
      <c r="AC25" s="2989"/>
      <c r="AD25" s="2946"/>
    </row>
    <row r="26" spans="1:30" ht="24" hidden="1">
      <c r="A26" s="2953">
        <v>18</v>
      </c>
      <c r="B26" s="2963" t="s">
        <v>3267</v>
      </c>
      <c r="C26" s="2963" t="s">
        <v>3268</v>
      </c>
      <c r="D26" s="2965">
        <v>2</v>
      </c>
      <c r="E26" s="2964" t="s">
        <v>3269</v>
      </c>
      <c r="F26" s="2964" t="s">
        <v>3270</v>
      </c>
      <c r="G26" s="2964">
        <v>37981</v>
      </c>
      <c r="H26" s="2966">
        <f>12840.989137*0.11</f>
        <v>1412.5088050700001</v>
      </c>
      <c r="I26" s="2966"/>
      <c r="J26" s="2966">
        <f>H26*10000/G26/365</f>
        <v>1.018900802290114</v>
      </c>
      <c r="K26" s="2966"/>
      <c r="L26" s="2992">
        <v>3</v>
      </c>
      <c r="M26" s="2992"/>
      <c r="N26" s="2992"/>
      <c r="O26" s="2993"/>
      <c r="P26" s="2993">
        <f>H26/4</f>
        <v>353.12720126750003</v>
      </c>
      <c r="Q26" s="2993"/>
      <c r="R26" s="2993"/>
      <c r="S26" s="2993">
        <v>353.12720100000001</v>
      </c>
      <c r="T26" s="2993"/>
      <c r="U26" s="2993"/>
      <c r="V26" s="2994">
        <v>353.12720100000001</v>
      </c>
      <c r="W26" s="2993"/>
      <c r="X26" s="2993"/>
      <c r="Y26" s="2994"/>
      <c r="Z26" s="2993"/>
      <c r="AA26" s="2995">
        <f>SUM(O26:Z26)</f>
        <v>1059.3816032674999</v>
      </c>
      <c r="AB26" s="2996"/>
      <c r="AC26" s="2997"/>
      <c r="AD26" s="2978"/>
    </row>
    <row r="27" spans="1:30" ht="14.25" hidden="1">
      <c r="A27" s="2942"/>
      <c r="B27" s="2943"/>
      <c r="C27" s="2987" t="s">
        <v>3258</v>
      </c>
      <c r="D27" s="2998"/>
      <c r="E27" s="2998"/>
      <c r="F27" s="2957"/>
      <c r="G27" s="2981">
        <f>SUM(G24:G26)</f>
        <v>74430.61</v>
      </c>
      <c r="H27" s="2961">
        <f>SUM(H24:H26)</f>
        <v>2726.9084050700003</v>
      </c>
      <c r="I27" s="2961"/>
      <c r="J27" s="2961">
        <f>H27*10000/G27/365</f>
        <v>1.0037512700350877</v>
      </c>
      <c r="K27" s="2961"/>
      <c r="L27" s="2986"/>
      <c r="M27" s="2986"/>
      <c r="N27" s="2986"/>
      <c r="O27" s="2991">
        <f t="shared" ref="O27:AA27" si="8">SUM(O24:O26)</f>
        <v>109.5333</v>
      </c>
      <c r="P27" s="2991">
        <f t="shared" si="8"/>
        <v>462.66050126750002</v>
      </c>
      <c r="Q27" s="2991">
        <f t="shared" si="8"/>
        <v>109.5333</v>
      </c>
      <c r="R27" s="2991">
        <f t="shared" si="8"/>
        <v>109.5333</v>
      </c>
      <c r="S27" s="2999">
        <f t="shared" si="8"/>
        <v>462.66050100000001</v>
      </c>
      <c r="T27" s="2999">
        <f t="shared" si="8"/>
        <v>109.5333</v>
      </c>
      <c r="U27" s="2999">
        <f t="shared" si="8"/>
        <v>109.5333</v>
      </c>
      <c r="V27" s="2991">
        <f t="shared" si="8"/>
        <v>462.66050100000001</v>
      </c>
      <c r="W27" s="2991">
        <f t="shared" si="8"/>
        <v>109.5333</v>
      </c>
      <c r="X27" s="2991">
        <f t="shared" si="8"/>
        <v>109.5333</v>
      </c>
      <c r="Y27" s="2991">
        <f t="shared" si="8"/>
        <v>109.5333</v>
      </c>
      <c r="Z27" s="2991">
        <f t="shared" si="8"/>
        <v>109.5333</v>
      </c>
      <c r="AA27" s="2991">
        <f t="shared" si="8"/>
        <v>2373.7812032675001</v>
      </c>
      <c r="AB27" s="2988"/>
      <c r="AC27" s="2989"/>
      <c r="AD27" s="2946"/>
    </row>
    <row r="28" spans="1:30" ht="14.25" hidden="1">
      <c r="A28" s="3000"/>
      <c r="B28" s="3001"/>
      <c r="C28" s="2987" t="s">
        <v>3271</v>
      </c>
      <c r="D28" s="2957"/>
      <c r="E28" s="2957"/>
      <c r="F28" s="2957"/>
      <c r="G28" s="2961">
        <f>G22+G27</f>
        <v>81391.199999999997</v>
      </c>
      <c r="H28" s="2961">
        <f>H22+H27</f>
        <v>4533.6730090700003</v>
      </c>
      <c r="I28" s="2961"/>
      <c r="J28" s="2961">
        <f>H28*10000/G28/365</f>
        <v>1.5260890541800016</v>
      </c>
      <c r="K28" s="2961"/>
      <c r="L28" s="2956"/>
      <c r="M28" s="2956"/>
      <c r="N28" s="2956"/>
      <c r="O28" s="2961">
        <f t="shared" ref="O28:AA28" si="9">O22+O27</f>
        <v>283.37944166666665</v>
      </c>
      <c r="P28" s="2961">
        <f t="shared" si="9"/>
        <v>672.02814293416668</v>
      </c>
      <c r="Q28" s="2961">
        <f t="shared" si="9"/>
        <v>141.38701666666665</v>
      </c>
      <c r="R28" s="2961">
        <f t="shared" si="9"/>
        <v>245.45949166666668</v>
      </c>
      <c r="S28" s="2982">
        <f t="shared" si="9"/>
        <v>649.92814266666664</v>
      </c>
      <c r="T28" s="2982">
        <f t="shared" si="9"/>
        <v>181.98571866666668</v>
      </c>
      <c r="U28" s="2982">
        <f t="shared" si="9"/>
        <v>265.42944166666666</v>
      </c>
      <c r="V28" s="2961">
        <f t="shared" si="9"/>
        <v>645.21306766666669</v>
      </c>
      <c r="W28" s="2961">
        <f t="shared" si="9"/>
        <v>157.77201666666667</v>
      </c>
      <c r="X28" s="2961">
        <f t="shared" si="9"/>
        <v>236.76906666666667</v>
      </c>
      <c r="Y28" s="2961">
        <f t="shared" si="9"/>
        <v>290.19543399999998</v>
      </c>
      <c r="Z28" s="2961">
        <f t="shared" si="9"/>
        <v>134.480425</v>
      </c>
      <c r="AA28" s="2961">
        <f t="shared" si="9"/>
        <v>3904.0274059341668</v>
      </c>
      <c r="AB28" s="2962"/>
      <c r="AC28" s="2948"/>
      <c r="AD28" s="3002"/>
    </row>
    <row r="31" spans="1:30" ht="14.25" thickBot="1"/>
    <row r="32" spans="1:30" ht="14.25" thickBot="1">
      <c r="O32" s="3024" t="s">
        <v>3303</v>
      </c>
      <c r="P32" s="3025">
        <v>43047</v>
      </c>
      <c r="Q32" s="3026"/>
      <c r="R32" s="3026"/>
      <c r="S32" s="3026"/>
    </row>
    <row r="33" spans="5:19" ht="40.5">
      <c r="E33" s="3400" t="s">
        <v>3035</v>
      </c>
      <c r="F33" s="3400" t="s">
        <v>3272</v>
      </c>
      <c r="G33" s="3398" t="s">
        <v>3274</v>
      </c>
      <c r="H33" s="3399"/>
      <c r="I33" s="3399"/>
      <c r="J33" s="3399"/>
      <c r="K33" s="3399"/>
      <c r="O33" s="3027" t="s">
        <v>3304</v>
      </c>
      <c r="P33" s="3028" t="s">
        <v>3305</v>
      </c>
      <c r="Q33" s="3029" t="s">
        <v>3306</v>
      </c>
      <c r="R33" s="3028" t="s">
        <v>3307</v>
      </c>
      <c r="S33" s="3030" t="s">
        <v>3308</v>
      </c>
    </row>
    <row r="34" spans="5:19" ht="14.25" thickBot="1">
      <c r="E34" s="3401"/>
      <c r="F34" s="3401"/>
      <c r="G34" s="2931">
        <v>2018</v>
      </c>
      <c r="H34" s="2931">
        <v>2019</v>
      </c>
      <c r="I34" s="2931">
        <v>2020</v>
      </c>
      <c r="J34" s="2931">
        <v>2021</v>
      </c>
      <c r="K34" s="2931">
        <v>2022</v>
      </c>
      <c r="M34" s="3003" t="s">
        <v>3273</v>
      </c>
      <c r="O34" s="3031">
        <v>70</v>
      </c>
      <c r="P34" s="3032">
        <v>44575</v>
      </c>
      <c r="Q34" s="3033">
        <f>ROUNDDOWN(MIN((P34-P32)/365,O34),2)</f>
        <v>4.18</v>
      </c>
      <c r="R34" s="3034">
        <f>IF(ISERROR(ROUND(POWER(1+S34,O34-Q34)*(POWER(1+S34,Q34)-1)/(POWER(1+S34,O34)-1),3)),0,ROUND(POWER(1+S34,O34-Q34)*(POWER(1+S34,Q34)-1)/(POWER(1+S34,O34)-1),3))</f>
        <v>0.16200000000000001</v>
      </c>
      <c r="S34" s="3035">
        <v>0.04</v>
      </c>
    </row>
    <row r="35" spans="5:19">
      <c r="E35" s="3062">
        <v>1</v>
      </c>
      <c r="F35" s="3062">
        <f>G5</f>
        <v>337.41</v>
      </c>
      <c r="G35" s="3007">
        <f>H5</f>
        <v>72.760000000000005</v>
      </c>
      <c r="H35" s="3007">
        <f>G35</f>
        <v>72.760000000000005</v>
      </c>
      <c r="I35" s="3007">
        <f t="shared" ref="I35:K35" si="10">H35</f>
        <v>72.760000000000005</v>
      </c>
      <c r="J35" s="3007">
        <f t="shared" si="10"/>
        <v>72.760000000000005</v>
      </c>
      <c r="K35" s="3007">
        <f t="shared" si="10"/>
        <v>72.760000000000005</v>
      </c>
    </row>
    <row r="36" spans="5:19">
      <c r="E36" s="3062">
        <v>2</v>
      </c>
      <c r="F36" s="3062">
        <f t="shared" ref="F36:G40" si="11">G6</f>
        <v>455.49</v>
      </c>
      <c r="G36" s="3007">
        <f t="shared" si="11"/>
        <v>106.5391</v>
      </c>
      <c r="H36" s="3007">
        <f>G36</f>
        <v>106.5391</v>
      </c>
      <c r="I36" s="3007">
        <f t="shared" ref="I36:K36" si="12">H36</f>
        <v>106.5391</v>
      </c>
      <c r="J36" s="3007">
        <f t="shared" si="12"/>
        <v>106.5391</v>
      </c>
      <c r="K36" s="3007">
        <f t="shared" si="12"/>
        <v>106.5391</v>
      </c>
      <c r="M36" s="3005">
        <f>I12-H12</f>
        <v>12.524900000000002</v>
      </c>
    </row>
    <row r="37" spans="5:19">
      <c r="E37" s="3062">
        <v>3</v>
      </c>
      <c r="F37" s="3062">
        <f t="shared" si="11"/>
        <v>150</v>
      </c>
      <c r="G37" s="3007">
        <f t="shared" si="11"/>
        <v>39.659999999999997</v>
      </c>
      <c r="H37" s="3007">
        <f>G37</f>
        <v>39.659999999999997</v>
      </c>
      <c r="I37" s="3007">
        <f t="shared" ref="I37:K37" si="13">H37</f>
        <v>39.659999999999997</v>
      </c>
      <c r="J37" s="3007">
        <f t="shared" si="13"/>
        <v>39.659999999999997</v>
      </c>
      <c r="K37" s="3007">
        <f t="shared" si="13"/>
        <v>39.659999999999997</v>
      </c>
    </row>
    <row r="38" spans="5:19">
      <c r="E38" s="3062">
        <v>4</v>
      </c>
      <c r="F38" s="3062">
        <f t="shared" si="11"/>
        <v>267.48</v>
      </c>
      <c r="G38" s="3007">
        <f t="shared" si="11"/>
        <v>70.721699999999998</v>
      </c>
      <c r="H38" s="3007">
        <f>G38</f>
        <v>70.721699999999998</v>
      </c>
      <c r="I38" s="3007">
        <f t="shared" ref="I38:K39" si="14">H38</f>
        <v>70.721699999999998</v>
      </c>
      <c r="J38" s="3007">
        <f t="shared" si="14"/>
        <v>70.721699999999998</v>
      </c>
      <c r="K38" s="3007">
        <f t="shared" si="14"/>
        <v>70.721699999999998</v>
      </c>
    </row>
    <row r="39" spans="5:19">
      <c r="E39" s="3062">
        <v>5</v>
      </c>
      <c r="F39" s="3062">
        <f t="shared" si="11"/>
        <v>198.76</v>
      </c>
      <c r="G39" s="3007">
        <f t="shared" si="11"/>
        <v>45.297404</v>
      </c>
      <c r="H39" s="3007">
        <f>G39</f>
        <v>45.297404</v>
      </c>
      <c r="I39" s="3007">
        <f t="shared" ref="I39:K40" si="15">H39</f>
        <v>45.297404</v>
      </c>
      <c r="J39" s="3007">
        <f t="shared" si="15"/>
        <v>45.297404</v>
      </c>
      <c r="K39" s="3007">
        <f t="shared" si="15"/>
        <v>45.297404</v>
      </c>
    </row>
    <row r="40" spans="5:19">
      <c r="E40" s="3062">
        <v>6</v>
      </c>
      <c r="F40" s="3062">
        <f t="shared" si="11"/>
        <v>147</v>
      </c>
      <c r="G40" s="3007">
        <f t="shared" si="11"/>
        <v>39.939900000000002</v>
      </c>
      <c r="H40" s="3007">
        <f>G40</f>
        <v>39.939900000000002</v>
      </c>
      <c r="I40" s="3007">
        <f t="shared" ref="I40:K40" si="16">H40</f>
        <v>39.939900000000002</v>
      </c>
      <c r="J40" s="3007">
        <f t="shared" si="16"/>
        <v>39.939900000000002</v>
      </c>
      <c r="K40" s="3007">
        <f t="shared" si="16"/>
        <v>39.939900000000002</v>
      </c>
      <c r="M40" s="3005">
        <f>I20-H20</f>
        <v>40.212899999999991</v>
      </c>
    </row>
    <row r="41" spans="5:19">
      <c r="E41" s="3062">
        <v>7</v>
      </c>
      <c r="F41" s="2931">
        <f>G11</f>
        <v>317.57</v>
      </c>
      <c r="G41" s="3007">
        <f>H11</f>
        <v>83.965500000000006</v>
      </c>
      <c r="H41" s="3007">
        <f>G41</f>
        <v>83.965500000000006</v>
      </c>
      <c r="I41" s="3007">
        <f>G41</f>
        <v>83.965500000000006</v>
      </c>
      <c r="J41" s="3007">
        <f>G41</f>
        <v>83.965500000000006</v>
      </c>
      <c r="K41" s="3007">
        <f>G41</f>
        <v>83.965500000000006</v>
      </c>
    </row>
    <row r="42" spans="5:19">
      <c r="E42" s="3062">
        <v>8</v>
      </c>
      <c r="F42" s="3008">
        <f>G12</f>
        <v>453.8</v>
      </c>
      <c r="G42" s="3007">
        <f>H12</f>
        <v>119.9847</v>
      </c>
      <c r="H42" s="3007">
        <f>G42</f>
        <v>119.9847</v>
      </c>
      <c r="I42" s="2931">
        <f>ROUND(8.4*365*F42/10000-M36,2)</f>
        <v>126.61</v>
      </c>
      <c r="J42" s="2931">
        <f>ROUND(8.8*F42*365/10000-M36,2)</f>
        <v>133.24</v>
      </c>
      <c r="K42" s="2931">
        <f>J42</f>
        <v>133.24</v>
      </c>
    </row>
    <row r="43" spans="5:19">
      <c r="E43" s="3062">
        <v>9</v>
      </c>
      <c r="F43" s="2957">
        <v>224.55</v>
      </c>
      <c r="G43" s="3007">
        <f>H13</f>
        <v>56.6203</v>
      </c>
      <c r="H43" s="3007">
        <f>G43</f>
        <v>56.6203</v>
      </c>
      <c r="I43" s="3007">
        <f t="shared" ref="I43:K43" si="17">H43</f>
        <v>56.6203</v>
      </c>
      <c r="J43" s="3007">
        <f t="shared" si="17"/>
        <v>56.6203</v>
      </c>
      <c r="K43" s="3007">
        <f t="shared" si="17"/>
        <v>56.6203</v>
      </c>
    </row>
    <row r="44" spans="5:19">
      <c r="E44" s="3062">
        <v>10</v>
      </c>
      <c r="F44" s="2957">
        <v>414.92</v>
      </c>
      <c r="G44" s="3007">
        <f>H14</f>
        <v>117.22</v>
      </c>
      <c r="H44" s="3007">
        <f>G44</f>
        <v>117.22</v>
      </c>
      <c r="I44" s="3007">
        <f t="shared" ref="I44:K44" si="18">H44</f>
        <v>117.22</v>
      </c>
      <c r="J44" s="3007">
        <f t="shared" si="18"/>
        <v>117.22</v>
      </c>
      <c r="K44" s="3007">
        <f t="shared" si="18"/>
        <v>117.22</v>
      </c>
    </row>
    <row r="45" spans="5:19">
      <c r="E45" s="3062">
        <v>11</v>
      </c>
      <c r="F45" s="2957">
        <v>424.8</v>
      </c>
      <c r="G45" s="3007">
        <f>H15</f>
        <v>112.3171</v>
      </c>
      <c r="H45" s="3007">
        <f>G45</f>
        <v>112.3171</v>
      </c>
      <c r="I45" s="3007">
        <f t="shared" ref="I45:K45" si="19">H45</f>
        <v>112.3171</v>
      </c>
      <c r="J45" s="3007">
        <f t="shared" si="19"/>
        <v>112.3171</v>
      </c>
      <c r="K45" s="3007">
        <f t="shared" si="19"/>
        <v>112.3171</v>
      </c>
    </row>
    <row r="46" spans="5:19">
      <c r="E46" s="3062">
        <v>12</v>
      </c>
      <c r="F46" s="2931">
        <f>G16</f>
        <v>260.64999999999998</v>
      </c>
      <c r="G46" s="3007">
        <f>H16</f>
        <v>71.8</v>
      </c>
      <c r="H46" s="3007">
        <f>G46</f>
        <v>71.8</v>
      </c>
      <c r="I46" s="3007">
        <f>G46</f>
        <v>71.8</v>
      </c>
      <c r="J46" s="3007">
        <f>G46</f>
        <v>71.8</v>
      </c>
      <c r="K46" s="3007">
        <f>G46</f>
        <v>71.8</v>
      </c>
    </row>
    <row r="47" spans="5:19">
      <c r="E47" s="3062">
        <v>13</v>
      </c>
      <c r="F47" s="2964">
        <v>807.86</v>
      </c>
      <c r="G47" s="3005">
        <f>H17</f>
        <v>213.59819999999999</v>
      </c>
      <c r="H47" s="3409">
        <f>G47</f>
        <v>213.59819999999999</v>
      </c>
      <c r="I47" s="3409">
        <f t="shared" ref="I47:K47" si="20">H47</f>
        <v>213.59819999999999</v>
      </c>
      <c r="J47" s="3409">
        <f t="shared" si="20"/>
        <v>213.59819999999999</v>
      </c>
      <c r="K47" s="3409">
        <f t="shared" si="20"/>
        <v>213.59819999999999</v>
      </c>
    </row>
    <row r="48" spans="5:19">
      <c r="E48" s="3062">
        <v>14</v>
      </c>
      <c r="F48" s="2931">
        <f>G18</f>
        <v>629.13</v>
      </c>
      <c r="G48" s="3007">
        <f>H18</f>
        <v>161.74930000000001</v>
      </c>
      <c r="H48" s="3007">
        <f>G48</f>
        <v>161.74930000000001</v>
      </c>
      <c r="I48" s="3007">
        <f>G48</f>
        <v>161.74930000000001</v>
      </c>
      <c r="J48" s="3007">
        <f>G48</f>
        <v>161.74930000000001</v>
      </c>
      <c r="K48" s="3007">
        <f>G48</f>
        <v>161.74930000000001</v>
      </c>
    </row>
    <row r="49" spans="5:11">
      <c r="E49" s="3062">
        <v>15</v>
      </c>
      <c r="F49" s="2931">
        <f>G19</f>
        <v>20</v>
      </c>
      <c r="G49" s="3007">
        <f>H19</f>
        <v>5.1420000000000003</v>
      </c>
      <c r="H49" s="3007">
        <f>G49</f>
        <v>5.1420000000000003</v>
      </c>
      <c r="I49" s="3007">
        <f>G49</f>
        <v>5.1420000000000003</v>
      </c>
      <c r="J49" s="3007">
        <f>G49</f>
        <v>5.1420000000000003</v>
      </c>
      <c r="K49" s="3007">
        <f>G49</f>
        <v>5.1420000000000003</v>
      </c>
    </row>
    <row r="50" spans="5:11">
      <c r="E50" s="3062">
        <v>16</v>
      </c>
      <c r="F50" s="3008">
        <f>G20</f>
        <v>1456.99</v>
      </c>
      <c r="G50" s="3007">
        <f>ROUND(8*F50*365/10000-M40,2)</f>
        <v>385.23</v>
      </c>
      <c r="H50" s="3007">
        <f>G50</f>
        <v>385.23</v>
      </c>
      <c r="I50" s="3007">
        <f>ROUND(8.4*365*F50/10000,2)</f>
        <v>446.71</v>
      </c>
      <c r="J50" s="3007">
        <f>I50</f>
        <v>446.71</v>
      </c>
      <c r="K50" s="3007">
        <f>I50</f>
        <v>446.71</v>
      </c>
    </row>
    <row r="51" spans="5:11">
      <c r="E51" s="3062">
        <v>17</v>
      </c>
      <c r="F51" s="2957">
        <v>394.18</v>
      </c>
      <c r="G51" s="3005">
        <f>H21</f>
        <v>104.2212</v>
      </c>
      <c r="H51" s="3409">
        <f>G51</f>
        <v>104.2212</v>
      </c>
      <c r="I51" s="3409">
        <f t="shared" ref="I51:K51" si="21">H51</f>
        <v>104.2212</v>
      </c>
      <c r="J51" s="3409">
        <f t="shared" si="21"/>
        <v>104.2212</v>
      </c>
      <c r="K51" s="3409">
        <f t="shared" si="21"/>
        <v>104.2212</v>
      </c>
    </row>
    <row r="52" spans="5:11">
      <c r="E52" s="2930" t="s">
        <v>3126</v>
      </c>
      <c r="F52" s="2931">
        <f>SUM(F35:F51)</f>
        <v>6960.5900000000011</v>
      </c>
      <c r="G52" s="3007">
        <f>SUM(G35:G51)</f>
        <v>1806.766404</v>
      </c>
      <c r="H52" s="3007">
        <f>SUM(H35:H51)</f>
        <v>1806.766404</v>
      </c>
      <c r="I52" s="3007">
        <f>SUM(I35:I51)</f>
        <v>1874.8717039999999</v>
      </c>
      <c r="J52" s="3007">
        <f>SUM(J35:J51)</f>
        <v>1881.501704</v>
      </c>
      <c r="K52" s="3007">
        <f>SUM(K35:K51)</f>
        <v>1881.501704</v>
      </c>
    </row>
    <row r="54" spans="5:11">
      <c r="G54" s="3005">
        <f>SUM(G52:K52)</f>
        <v>9251.4079199999996</v>
      </c>
      <c r="I54">
        <f>ROUND(G54/F52/365/5*10000,2)</f>
        <v>7.28</v>
      </c>
    </row>
    <row r="60" spans="5:11">
      <c r="I60" s="3046"/>
    </row>
    <row r="63" spans="5:11">
      <c r="E63" s="3047"/>
      <c r="F63" s="3046"/>
      <c r="G63" s="3047"/>
      <c r="H63" s="3047"/>
      <c r="I63" s="3047"/>
      <c r="J63" s="3047"/>
      <c r="K63" s="3047"/>
    </row>
    <row r="65" spans="7:8">
      <c r="G65" s="3046"/>
      <c r="H65" s="3046"/>
    </row>
  </sheetData>
  <mergeCells count="8">
    <mergeCell ref="F1:U1"/>
    <mergeCell ref="P2:Q2"/>
    <mergeCell ref="Z2:AD2"/>
    <mergeCell ref="A4:C4"/>
    <mergeCell ref="A23:C23"/>
    <mergeCell ref="G33:K33"/>
    <mergeCell ref="E33:E34"/>
    <mergeCell ref="F33:F34"/>
  </mergeCells>
  <phoneticPr fontId="144" type="noConversion"/>
  <dataValidations count="1">
    <dataValidation type="list" allowBlank="1" showInputMessage="1" showErrorMessage="1" sqref="O34">
      <formula1>"40,50,70"</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1" sqref="G21"/>
    </sheetView>
  </sheetViews>
  <sheetFormatPr defaultRowHeight="12"/>
  <cols>
    <col min="1" max="1" width="6.375" style="3012" customWidth="1"/>
    <col min="2" max="2" width="27.125" style="3012" customWidth="1"/>
    <col min="3" max="3" width="40" style="3012" customWidth="1"/>
    <col min="4" max="16384" width="9" style="3012"/>
  </cols>
  <sheetData>
    <row r="1" spans="1:9">
      <c r="A1" s="3011" t="s">
        <v>3035</v>
      </c>
      <c r="B1" s="3011" t="s">
        <v>3397</v>
      </c>
      <c r="C1" s="3011" t="s">
        <v>1370</v>
      </c>
      <c r="D1" s="3011" t="s">
        <v>3036</v>
      </c>
      <c r="E1" s="3011" t="s">
        <v>3037</v>
      </c>
      <c r="F1" s="3011" t="s">
        <v>3398</v>
      </c>
    </row>
    <row r="2" spans="1:9">
      <c r="A2" s="3013">
        <v>1</v>
      </c>
      <c r="B2" s="3013" t="s">
        <v>3054</v>
      </c>
      <c r="C2" s="3013" t="s">
        <v>3055</v>
      </c>
      <c r="D2" s="3013">
        <v>337.41</v>
      </c>
      <c r="E2" s="3013">
        <v>4</v>
      </c>
      <c r="F2" s="3013" t="s">
        <v>3383</v>
      </c>
    </row>
    <row r="3" spans="1:9">
      <c r="A3" s="3013">
        <v>2</v>
      </c>
      <c r="B3" s="3013" t="s">
        <v>3052</v>
      </c>
      <c r="C3" s="3013" t="s">
        <v>3053</v>
      </c>
      <c r="D3" s="3013">
        <v>183.38</v>
      </c>
      <c r="E3" s="3013">
        <v>4</v>
      </c>
      <c r="F3" s="3013" t="s">
        <v>3383</v>
      </c>
    </row>
    <row r="4" spans="1:9">
      <c r="A4" s="3013">
        <v>3</v>
      </c>
      <c r="B4" s="3013" t="s">
        <v>3050</v>
      </c>
      <c r="C4" s="3013" t="s">
        <v>3051</v>
      </c>
      <c r="D4" s="3013">
        <v>272.11</v>
      </c>
      <c r="E4" s="3013">
        <v>4</v>
      </c>
      <c r="F4" s="3013" t="s">
        <v>3383</v>
      </c>
    </row>
    <row r="5" spans="1:9">
      <c r="A5" s="3013">
        <v>4</v>
      </c>
      <c r="B5" s="3013" t="s">
        <v>3070</v>
      </c>
      <c r="C5" s="3013" t="s">
        <v>3071</v>
      </c>
      <c r="D5" s="3013">
        <v>417.48</v>
      </c>
      <c r="E5" s="3013">
        <v>5</v>
      </c>
      <c r="F5" s="3013" t="s">
        <v>3383</v>
      </c>
    </row>
    <row r="6" spans="1:9">
      <c r="A6" s="3013">
        <v>5</v>
      </c>
      <c r="B6" s="3013" t="s">
        <v>3048</v>
      </c>
      <c r="C6" s="3013" t="s">
        <v>3049</v>
      </c>
      <c r="D6" s="3013">
        <v>345.76</v>
      </c>
      <c r="E6" s="3013">
        <v>5</v>
      </c>
      <c r="F6" s="3013" t="s">
        <v>3383</v>
      </c>
    </row>
    <row r="7" spans="1:9" ht="13.5">
      <c r="A7" s="3013">
        <v>6</v>
      </c>
      <c r="B7" s="3013" t="s">
        <v>3046</v>
      </c>
      <c r="C7" s="3013" t="s">
        <v>3047</v>
      </c>
      <c r="D7" s="3013">
        <v>317.57</v>
      </c>
      <c r="E7" s="3013">
        <v>5</v>
      </c>
      <c r="F7" s="3013" t="s">
        <v>3383</v>
      </c>
    </row>
    <row r="8" spans="1:9" ht="13.5">
      <c r="A8" s="3013">
        <v>7</v>
      </c>
      <c r="B8" s="3013" t="s">
        <v>3044</v>
      </c>
      <c r="C8" s="3013" t="s">
        <v>3045</v>
      </c>
      <c r="D8" s="3013">
        <v>453.8</v>
      </c>
      <c r="E8" s="3013">
        <v>6</v>
      </c>
      <c r="F8" s="3013" t="s">
        <v>3383</v>
      </c>
    </row>
    <row r="9" spans="1:9">
      <c r="A9" s="3013">
        <v>8</v>
      </c>
      <c r="B9" s="3013" t="s">
        <v>3283</v>
      </c>
      <c r="C9" s="3013" t="s">
        <v>3039</v>
      </c>
      <c r="D9" s="3013">
        <v>224.55</v>
      </c>
      <c r="E9" s="3013">
        <v>6</v>
      </c>
      <c r="F9" s="3013" t="s">
        <v>3383</v>
      </c>
    </row>
    <row r="10" spans="1:9">
      <c r="A10" s="3013">
        <v>9</v>
      </c>
      <c r="B10" s="3013" t="s">
        <v>3118</v>
      </c>
      <c r="C10" s="3013" t="s">
        <v>3119</v>
      </c>
      <c r="D10" s="3013">
        <v>414.92</v>
      </c>
      <c r="E10" s="3013">
        <v>7</v>
      </c>
      <c r="F10" s="3013" t="s">
        <v>3383</v>
      </c>
      <c r="H10" s="3023" t="s">
        <v>3286</v>
      </c>
      <c r="I10" s="3012" t="s">
        <v>3289</v>
      </c>
    </row>
    <row r="11" spans="1:9">
      <c r="A11" s="3013">
        <v>10</v>
      </c>
      <c r="B11" s="3013" t="s">
        <v>3114</v>
      </c>
      <c r="C11" s="3013" t="s">
        <v>3115</v>
      </c>
      <c r="D11" s="3013">
        <v>424.8</v>
      </c>
      <c r="E11" s="3013">
        <v>8</v>
      </c>
      <c r="F11" s="3013" t="s">
        <v>3383</v>
      </c>
      <c r="H11" s="3012" t="s">
        <v>3287</v>
      </c>
      <c r="I11" s="3012" t="s">
        <v>3290</v>
      </c>
    </row>
    <row r="12" spans="1:9">
      <c r="A12" s="3013">
        <v>11</v>
      </c>
      <c r="B12" s="3013" t="s">
        <v>3112</v>
      </c>
      <c r="C12" s="3013" t="s">
        <v>3113</v>
      </c>
      <c r="D12" s="3013">
        <v>260.64999999999998</v>
      </c>
      <c r="E12" s="3013">
        <v>8</v>
      </c>
      <c r="F12" s="3013" t="s">
        <v>3383</v>
      </c>
      <c r="H12" s="3012" t="s">
        <v>3288</v>
      </c>
      <c r="I12" s="3012" t="s">
        <v>3291</v>
      </c>
    </row>
    <row r="13" spans="1:9">
      <c r="A13" s="3013">
        <v>12</v>
      </c>
      <c r="B13" s="3013" t="s">
        <v>3110</v>
      </c>
      <c r="C13" s="3013" t="s">
        <v>3111</v>
      </c>
      <c r="D13" s="3013">
        <v>322.54000000000002</v>
      </c>
      <c r="E13" s="3013">
        <v>10</v>
      </c>
      <c r="F13" s="3013" t="s">
        <v>3383</v>
      </c>
    </row>
    <row r="14" spans="1:9">
      <c r="A14" s="3013">
        <v>13</v>
      </c>
      <c r="B14" s="3013" t="s">
        <v>3092</v>
      </c>
      <c r="C14" s="3013" t="s">
        <v>3093</v>
      </c>
      <c r="D14" s="3013">
        <v>224.33</v>
      </c>
      <c r="E14" s="3013">
        <v>10</v>
      </c>
      <c r="F14" s="3013" t="s">
        <v>3383</v>
      </c>
    </row>
    <row r="15" spans="1:9">
      <c r="A15" s="3013">
        <v>14</v>
      </c>
      <c r="B15" s="3013" t="s">
        <v>3088</v>
      </c>
      <c r="C15" s="3013" t="s">
        <v>3089</v>
      </c>
      <c r="D15" s="3013">
        <v>424.8</v>
      </c>
      <c r="E15" s="3013">
        <v>10</v>
      </c>
      <c r="F15" s="3013" t="s">
        <v>3383</v>
      </c>
    </row>
    <row r="16" spans="1:9">
      <c r="A16" s="3013">
        <v>15</v>
      </c>
      <c r="B16" s="3013" t="s">
        <v>3086</v>
      </c>
      <c r="C16" s="3013" t="s">
        <v>3087</v>
      </c>
      <c r="D16" s="3013">
        <v>224.67</v>
      </c>
      <c r="E16" s="3013">
        <v>10</v>
      </c>
      <c r="F16" s="3013" t="s">
        <v>3383</v>
      </c>
    </row>
    <row r="17" spans="1:6">
      <c r="A17" s="3013">
        <v>16</v>
      </c>
      <c r="B17" s="3013" t="s">
        <v>3084</v>
      </c>
      <c r="C17" s="3013" t="s">
        <v>3085</v>
      </c>
      <c r="D17" s="3013">
        <v>260.64999999999998</v>
      </c>
      <c r="E17" s="3013">
        <v>10</v>
      </c>
      <c r="F17" s="3013" t="s">
        <v>3383</v>
      </c>
    </row>
    <row r="18" spans="1:6">
      <c r="A18" s="3013">
        <v>17</v>
      </c>
      <c r="B18" s="3013" t="s">
        <v>3082</v>
      </c>
      <c r="C18" s="3013" t="s">
        <v>3083</v>
      </c>
      <c r="D18" s="3013">
        <v>414.92</v>
      </c>
      <c r="E18" s="3013">
        <v>11</v>
      </c>
      <c r="F18" s="3013" t="s">
        <v>3383</v>
      </c>
    </row>
    <row r="19" spans="1:6">
      <c r="A19" s="3013">
        <v>18</v>
      </c>
      <c r="B19" s="3013" t="s">
        <v>3090</v>
      </c>
      <c r="C19" s="3013" t="s">
        <v>3091</v>
      </c>
      <c r="D19" s="3013">
        <v>303.77999999999997</v>
      </c>
      <c r="E19" s="3013">
        <v>11</v>
      </c>
      <c r="F19" s="3013" t="s">
        <v>3383</v>
      </c>
    </row>
    <row r="20" spans="1:6">
      <c r="A20" s="3013">
        <v>19</v>
      </c>
      <c r="B20" s="3013" t="s">
        <v>3080</v>
      </c>
      <c r="C20" s="3013" t="s">
        <v>3081</v>
      </c>
      <c r="D20" s="3013">
        <v>424.8</v>
      </c>
      <c r="E20" s="3013">
        <v>11</v>
      </c>
      <c r="F20" s="3013" t="s">
        <v>3383</v>
      </c>
    </row>
    <row r="21" spans="1:6">
      <c r="A21" s="3013">
        <v>20</v>
      </c>
      <c r="B21" s="3013" t="s">
        <v>3078</v>
      </c>
      <c r="C21" s="3013" t="s">
        <v>3079</v>
      </c>
      <c r="D21" s="3013">
        <v>313.49</v>
      </c>
      <c r="E21" s="3013">
        <v>11</v>
      </c>
      <c r="F21" s="3013" t="s">
        <v>3383</v>
      </c>
    </row>
    <row r="22" spans="1:6">
      <c r="A22" s="3013">
        <v>21</v>
      </c>
      <c r="B22" s="3013" t="s">
        <v>3056</v>
      </c>
      <c r="C22" s="3013" t="s">
        <v>3057</v>
      </c>
      <c r="D22" s="3013">
        <v>394.18</v>
      </c>
      <c r="E22" s="3013">
        <v>20</v>
      </c>
      <c r="F22" s="3013" t="s">
        <v>3383</v>
      </c>
    </row>
    <row r="23" spans="1:6">
      <c r="A23" s="3404" t="s">
        <v>3126</v>
      </c>
      <c r="B23" s="3404"/>
      <c r="C23" s="3404"/>
      <c r="D23" s="3013">
        <f>SUM(D2:D22)</f>
        <v>6960.5900000000011</v>
      </c>
      <c r="E23" s="3013" t="s">
        <v>3284</v>
      </c>
      <c r="F23" s="3013" t="s">
        <v>3399</v>
      </c>
    </row>
  </sheetData>
  <mergeCells count="1">
    <mergeCell ref="A23:C2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33126</v>
      </c>
      <c r="C2" s="2" t="s">
        <v>133</v>
      </c>
      <c r="D2" s="244"/>
      <c r="E2" s="244"/>
      <c r="F2" s="244"/>
      <c r="G2" s="244"/>
    </row>
    <row r="3" spans="1:7" s="245" customFormat="1" ht="18" customHeight="1" thickBot="1">
      <c r="A3" s="248" t="s">
        <v>85</v>
      </c>
      <c r="B3" s="249">
        <f ca="1">ROUND(B2*10000/'数据-汇总表'!E3,0)</f>
        <v>47591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0</v>
      </c>
      <c r="D10" s="1035">
        <f>'数据-汇总表'!E6</f>
        <v>6960.5900000000011</v>
      </c>
      <c r="E10" s="270">
        <f>'数据-取费表'!B28</f>
        <v>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139</v>
      </c>
      <c r="D19" s="1039">
        <f>'数据-汇总表'!E3</f>
        <v>6960.5900000000011</v>
      </c>
      <c r="E19" s="256">
        <f>'数据-取费表'!B31</f>
        <v>200</v>
      </c>
      <c r="F19" s="276"/>
      <c r="G19" s="1" t="s">
        <v>1074</v>
      </c>
    </row>
    <row r="20" spans="1:7" s="259" customFormat="1" ht="13.5" customHeight="1">
      <c r="A20" s="951" t="s">
        <v>1057</v>
      </c>
      <c r="B20" s="255" t="s">
        <v>104</v>
      </c>
      <c r="C20" s="277">
        <f>ROUND((C5+C19)*F20,0)</f>
        <v>622</v>
      </c>
      <c r="D20" s="277"/>
      <c r="E20" s="277"/>
      <c r="F20" s="278">
        <f>'数据-取费表'!B37</f>
        <v>0.03</v>
      </c>
      <c r="G20" s="1292" t="s">
        <v>1068</v>
      </c>
    </row>
    <row r="21" spans="1:7" s="259" customFormat="1" ht="13.5" customHeight="1">
      <c r="A21" s="951" t="s">
        <v>1059</v>
      </c>
      <c r="B21" s="255" t="s">
        <v>105</v>
      </c>
      <c r="C21" s="280">
        <f>F21</f>
        <v>0.03</v>
      </c>
      <c r="D21" s="281" t="s">
        <v>126</v>
      </c>
      <c r="E21" s="277"/>
      <c r="F21" s="278">
        <f>'数据-取费表'!B38</f>
        <v>0.03</v>
      </c>
      <c r="G21" s="279" t="s">
        <v>106</v>
      </c>
    </row>
    <row r="22" spans="1:7" s="259" customFormat="1" ht="13.5" customHeight="1">
      <c r="A22" s="951" t="s">
        <v>786</v>
      </c>
      <c r="B22" s="255" t="s">
        <v>107</v>
      </c>
      <c r="C22" s="1357">
        <f ca="1">ROUND(SUM(C23:C25),0)</f>
        <v>2048</v>
      </c>
      <c r="D22" s="280">
        <f ca="1">C26</f>
        <v>1.4E-3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14</v>
      </c>
      <c r="D24" s="283"/>
      <c r="E24" s="283"/>
      <c r="F24" s="284"/>
      <c r="G24" s="285" t="s">
        <v>109</v>
      </c>
    </row>
    <row r="25" spans="1:7" s="259" customFormat="1" ht="24">
      <c r="A25" s="954" t="s">
        <v>793</v>
      </c>
      <c r="B25" s="260" t="s">
        <v>1058</v>
      </c>
      <c r="C25" s="1358">
        <f ca="1">ROUND(IF('数据-取费表'!B22&lt;=1,C20*F22*'数据-取费表'!B23/2,C20*(POWER((1+F22),'数据-取费表'!B23/2)-1)),0)</f>
        <v>30</v>
      </c>
      <c r="D25" s="283"/>
      <c r="E25" s="286"/>
      <c r="F25" s="284"/>
      <c r="G25" s="287" t="s">
        <v>110</v>
      </c>
    </row>
    <row r="26" spans="1:7" s="259" customFormat="1">
      <c r="A26" s="954" t="s">
        <v>795</v>
      </c>
      <c r="B26" s="260" t="s">
        <v>1060</v>
      </c>
      <c r="C26" s="283">
        <f ca="1">ROUND(IF('数据-取费表'!B22&lt;=1,F21*F22*'数据-取费表'!B23/2,F21*(POWER((1+F22),'数据-取费表'!B23/2)-1)),4)</f>
        <v>1.4E-3</v>
      </c>
      <c r="D26" s="283"/>
      <c r="E26" s="286"/>
      <c r="F26" s="284"/>
      <c r="G26" s="288"/>
    </row>
    <row r="27" spans="1:7" s="259" customFormat="1" ht="24.75">
      <c r="A27" s="951" t="s">
        <v>787</v>
      </c>
      <c r="B27" s="289" t="s">
        <v>112</v>
      </c>
      <c r="C27" s="290">
        <f>C28</f>
        <v>4274</v>
      </c>
      <c r="D27" s="280">
        <f>C29</f>
        <v>6.0000000000000001E-3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4274</v>
      </c>
      <c r="D28" s="280"/>
      <c r="E28" s="281"/>
      <c r="F28" s="291"/>
      <c r="G28" s="292"/>
    </row>
    <row r="29" spans="1:7" s="259" customFormat="1" ht="13.5" customHeight="1">
      <c r="A29" s="954" t="s">
        <v>792</v>
      </c>
      <c r="B29" s="293" t="s">
        <v>1063</v>
      </c>
      <c r="C29" s="283">
        <f>ROUND(C21*F27*'数据-取费表'!B21/'数据-取费表'!B20,4)</f>
        <v>6.0000000000000001E-3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30456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2362</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2088</v>
      </c>
      <c r="D34" s="262"/>
      <c r="E34" s="265"/>
      <c r="F34" s="302">
        <f>IF('数据-取费表'!B24=0,1,'数据-取费表'!N16)</f>
        <v>1</v>
      </c>
      <c r="G34" s="264" t="s">
        <v>116</v>
      </c>
    </row>
    <row r="35" spans="1:7" ht="13.5" customHeight="1">
      <c r="A35" s="954" t="s">
        <v>796</v>
      </c>
      <c r="B35" s="260" t="s">
        <v>60</v>
      </c>
      <c r="C35" s="265">
        <f>ROUND(C34*F35,0)</f>
        <v>104</v>
      </c>
      <c r="D35" s="265"/>
      <c r="E35" s="265"/>
      <c r="F35" s="304">
        <f>'数据-取费表'!B33</f>
        <v>0.05</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139</v>
      </c>
      <c r="D37" s="262">
        <f>'数据-汇总表'!E3</f>
        <v>6960.5900000000011</v>
      </c>
      <c r="E37" s="294">
        <f>'数据-取费表'!B35</f>
        <v>200</v>
      </c>
      <c r="F37" s="304"/>
      <c r="G37" s="306" t="s">
        <v>119</v>
      </c>
    </row>
    <row r="38" spans="1:7" ht="13.5" customHeight="1">
      <c r="A38" s="954" t="s">
        <v>799</v>
      </c>
      <c r="B38" s="260" t="s">
        <v>63</v>
      </c>
      <c r="C38" s="265">
        <f>ROUND(C34*F38,0)</f>
        <v>31</v>
      </c>
      <c r="D38" s="265"/>
      <c r="E38" s="265"/>
      <c r="F38" s="304">
        <f>'数据-取费表'!B36</f>
        <v>1.4999999999999999E-2</v>
      </c>
      <c r="G38" s="264" t="s">
        <v>117</v>
      </c>
    </row>
    <row r="39" spans="1:7" s="259" customFormat="1" ht="13.5" customHeight="1">
      <c r="A39" s="951" t="s">
        <v>783</v>
      </c>
      <c r="B39" s="255" t="s">
        <v>104</v>
      </c>
      <c r="C39" s="277">
        <f>ROUND(C33*F20,0)</f>
        <v>71</v>
      </c>
      <c r="D39" s="277"/>
      <c r="E39" s="277"/>
      <c r="F39" s="278"/>
      <c r="G39" s="1292" t="s">
        <v>1071</v>
      </c>
    </row>
    <row r="40" spans="1:7" s="259" customFormat="1" ht="13.5" customHeight="1">
      <c r="A40" s="951" t="s">
        <v>784</v>
      </c>
      <c r="B40" s="255" t="s">
        <v>105</v>
      </c>
      <c r="C40" s="307">
        <f>F21</f>
        <v>0.03</v>
      </c>
      <c r="D40" s="281" t="s">
        <v>129</v>
      </c>
      <c r="E40" s="277"/>
      <c r="F40" s="278"/>
      <c r="G40" s="279" t="s">
        <v>120</v>
      </c>
    </row>
    <row r="41" spans="1:7" s="259" customFormat="1" ht="13.5" customHeight="1">
      <c r="A41" s="951" t="s">
        <v>785</v>
      </c>
      <c r="B41" s="255" t="s">
        <v>107</v>
      </c>
      <c r="C41" s="277">
        <f ca="1">ROUND(SUM(C42:C43),0)</f>
        <v>115</v>
      </c>
      <c r="D41" s="280">
        <f ca="1">C44</f>
        <v>1.4E-3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112</v>
      </c>
      <c r="D42" s="283"/>
      <c r="E42" s="283"/>
      <c r="F42" s="284"/>
      <c r="G42" s="3250" t="s">
        <v>121</v>
      </c>
    </row>
    <row r="43" spans="1:7" ht="13.5" customHeight="1">
      <c r="A43" s="954" t="s">
        <v>792</v>
      </c>
      <c r="B43" s="260" t="s">
        <v>1064</v>
      </c>
      <c r="C43" s="283">
        <f ca="1">ROUND(IF('数据-取费表'!B22&lt;=1,C39*F22*'数据-取费表'!B21/2,C39*(POWER((1+F22),'数据-取费表'!B21/2)-1)),0)</f>
        <v>3</v>
      </c>
      <c r="D43" s="283"/>
      <c r="E43" s="283"/>
      <c r="F43" s="284"/>
      <c r="G43" s="3251"/>
    </row>
    <row r="44" spans="1:7" ht="13.5" customHeight="1">
      <c r="A44" s="954" t="s">
        <v>793</v>
      </c>
      <c r="B44" s="260" t="s">
        <v>1066</v>
      </c>
      <c r="C44" s="283">
        <f ca="1">ROUND(IF('数据-取费表'!B22&lt;=1,C40*F22*'数据-取费表'!B21/2,C40*(POWER((1+F22),'数据-取费表'!B21/2)-1)),4)</f>
        <v>1.4E-3</v>
      </c>
      <c r="D44" s="283"/>
      <c r="E44" s="283"/>
      <c r="F44" s="284"/>
      <c r="G44" s="3252"/>
    </row>
    <row r="45" spans="1:7" s="259" customFormat="1" ht="13.5" customHeight="1">
      <c r="A45" s="951" t="s">
        <v>786</v>
      </c>
      <c r="B45" s="289" t="s">
        <v>112</v>
      </c>
      <c r="C45" s="290">
        <f>C46</f>
        <v>487</v>
      </c>
      <c r="D45" s="280">
        <f>C47</f>
        <v>6.0000000000000001E-3</v>
      </c>
      <c r="E45" s="281" t="s">
        <v>129</v>
      </c>
      <c r="F45" s="291"/>
      <c r="G45" s="292" t="s">
        <v>1072</v>
      </c>
    </row>
    <row r="46" spans="1:7" s="259" customFormat="1" ht="13.5" customHeight="1">
      <c r="A46" s="954" t="s">
        <v>794</v>
      </c>
      <c r="B46" s="293" t="s">
        <v>1065</v>
      </c>
      <c r="C46" s="294">
        <f>ROUND((C33+C39)*F27,0)</f>
        <v>487</v>
      </c>
      <c r="D46" s="308"/>
      <c r="E46" s="281"/>
      <c r="F46" s="291"/>
      <c r="G46" s="292"/>
    </row>
    <row r="47" spans="1:7" s="259" customFormat="1" ht="13.5" customHeight="1">
      <c r="A47" s="954" t="s">
        <v>792</v>
      </c>
      <c r="B47" s="293" t="s">
        <v>1067</v>
      </c>
      <c r="C47" s="283">
        <f>ROUND(C40*F27,4)</f>
        <v>6.0000000000000001E-3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3338</v>
      </c>
      <c r="D49" s="277"/>
      <c r="E49" s="277"/>
      <c r="F49" s="309"/>
      <c r="G49" s="279" t="s">
        <v>1073</v>
      </c>
    </row>
    <row r="50" spans="1:7" s="303" customFormat="1" ht="24">
      <c r="A50" s="951" t="s">
        <v>789</v>
      </c>
      <c r="B50" s="255" t="s">
        <v>124</v>
      </c>
      <c r="C50" s="277"/>
      <c r="D50" s="277"/>
      <c r="E50" s="277"/>
      <c r="F50" s="309">
        <f>IF('数据-取费表'!B24=0,'数据-取费表'!N16,1)</f>
        <v>0.8</v>
      </c>
      <c r="G50" s="292" t="s">
        <v>125</v>
      </c>
    </row>
    <row r="51" spans="1:7" ht="16.5" customHeight="1">
      <c r="A51" s="951" t="s">
        <v>790</v>
      </c>
      <c r="B51" s="255" t="s">
        <v>132</v>
      </c>
      <c r="C51" s="277">
        <f ca="1">ROUND(C49*F50,0)</f>
        <v>2670</v>
      </c>
      <c r="D51" s="277"/>
      <c r="E51" s="277"/>
      <c r="F51" s="309"/>
      <c r="G51" s="279" t="s">
        <v>64</v>
      </c>
    </row>
    <row r="52" spans="1:7" s="253" customFormat="1" ht="16.5" thickBot="1">
      <c r="A52" s="310" t="s">
        <v>65</v>
      </c>
      <c r="B52" s="311"/>
      <c r="C52" s="312">
        <f ca="1">C31+C51</f>
        <v>33126</v>
      </c>
      <c r="D52" s="311"/>
      <c r="E52" s="311"/>
      <c r="F52" s="311"/>
      <c r="G52" s="313"/>
    </row>
    <row r="55" spans="1:7" ht="15">
      <c r="B55" s="315" t="s">
        <v>66</v>
      </c>
      <c r="C55" s="316"/>
    </row>
    <row r="56" spans="1:7">
      <c r="B56" s="318" t="s">
        <v>67</v>
      </c>
      <c r="C56" s="319">
        <f ca="1">ROUND(C51/C52,3)</f>
        <v>8.1000000000000003E-2</v>
      </c>
    </row>
    <row r="57" spans="1:7">
      <c r="B57" s="318" t="s">
        <v>68</v>
      </c>
      <c r="C57" s="320">
        <f ca="1">1-C56</f>
        <v>0.91900000000000004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5" t="s">
        <v>156</v>
      </c>
      <c r="B1" s="3405"/>
      <c r="C1" s="3405"/>
      <c r="D1" s="3405"/>
      <c r="E1" s="3405"/>
      <c r="F1" s="34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6" t="s">
        <v>169</v>
      </c>
      <c r="B2" s="3406"/>
      <c r="C2" s="3406"/>
      <c r="D2" s="3406"/>
      <c r="E2" s="3406"/>
      <c r="F2" s="34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5" t="s">
        <v>871</v>
      </c>
      <c r="B1" s="340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5" t="str">
        <f>IF(项目基本情况!B9="房地产市场价值","估价结果一览表","结果表-2")</f>
        <v>估价结果一览表</v>
      </c>
      <c r="B1" s="3075"/>
      <c r="C1" s="3075"/>
      <c r="D1" s="3075"/>
      <c r="E1" s="3075"/>
      <c r="F1" s="3075"/>
      <c r="G1" s="3075"/>
      <c r="H1" s="3075"/>
      <c r="I1" s="3075"/>
    </row>
    <row r="2" spans="1:9" ht="30" customHeight="1" thickTop="1">
      <c r="A2" s="3076" t="s">
        <v>1643</v>
      </c>
      <c r="B2" s="3076" t="s">
        <v>1644</v>
      </c>
      <c r="C2" s="3076" t="s">
        <v>1645</v>
      </c>
      <c r="D2" s="3076" t="str">
        <f>结果表!D116</f>
        <v>出让国有建设用地使用权价值</v>
      </c>
      <c r="E2" s="3076"/>
      <c r="F2" s="3076" t="str">
        <f>结果表!F116</f>
        <v>在建建筑物价值</v>
      </c>
      <c r="G2" s="3076"/>
      <c r="H2" s="3076" t="str">
        <f>IF(项目基本情况!B9="房地产市场价值","房地产市场价值","房地产价值")</f>
        <v>房地产市场价值</v>
      </c>
      <c r="I2" s="3076"/>
    </row>
    <row r="3" spans="1:9" ht="15">
      <c r="A3" s="3077"/>
      <c r="B3" s="3077"/>
      <c r="C3" s="3077"/>
      <c r="D3" s="1047" t="s">
        <v>1640</v>
      </c>
      <c r="E3" s="1047" t="s">
        <v>1646</v>
      </c>
      <c r="F3" s="1047" t="s">
        <v>1640</v>
      </c>
      <c r="G3" s="1047" t="s">
        <v>1641</v>
      </c>
      <c r="H3" s="1047" t="s">
        <v>1640</v>
      </c>
      <c r="I3" s="1047" t="s">
        <v>1641</v>
      </c>
    </row>
    <row r="4" spans="1:9" ht="45">
      <c r="A4" s="1977" t="str">
        <f>项目基本情况!S2</f>
        <v>北京市朝阳区东三环中路59号楼501号等21套办公用房房地产</v>
      </c>
      <c r="B4" s="1047">
        <f>项目基本情况!C17</f>
        <v>6960.5900000000011</v>
      </c>
      <c r="C4" s="1047">
        <f>项目基本情况!C18</f>
        <v>0</v>
      </c>
      <c r="D4" s="1047" t="e">
        <f ca="1">结果表!D118</f>
        <v>#REF!</v>
      </c>
      <c r="E4" s="1047" t="e">
        <f ca="1">结果表!E118</f>
        <v>#REF!</v>
      </c>
      <c r="F4" s="1047" t="e">
        <f ca="1">结果表!F118</f>
        <v>#REF!</v>
      </c>
      <c r="G4" s="1047" t="e">
        <f ca="1">结果表!G118</f>
        <v>#REF!</v>
      </c>
      <c r="H4" s="1047">
        <f ca="1">结果表!H118</f>
        <v>26907</v>
      </c>
      <c r="I4" s="1047">
        <f ca="1">结果表!I118</f>
        <v>38656</v>
      </c>
    </row>
    <row r="5" spans="1:9" ht="30" customHeight="1">
      <c r="A5" s="3077" t="s">
        <v>1642</v>
      </c>
      <c r="B5" s="3077"/>
      <c r="C5" s="3077"/>
      <c r="D5" s="3078" t="e">
        <f ca="1">结果表!D119</f>
        <v>#REF!</v>
      </c>
      <c r="E5" s="3078"/>
      <c r="F5" s="3078" t="e">
        <f ca="1">结果表!F119</f>
        <v>#REF!</v>
      </c>
      <c r="G5" s="3078"/>
      <c r="H5" s="3078" t="str">
        <f ca="1">结果表!H119</f>
        <v>贰亿陆仟玖佰零柒万元整</v>
      </c>
      <c r="I5" s="3078"/>
    </row>
    <row r="6" spans="1:9" ht="15.75">
      <c r="A6" s="3079" t="str">
        <f>结果表!A120</f>
        <v/>
      </c>
      <c r="B6" s="3079"/>
      <c r="C6" s="3079"/>
      <c r="D6" s="3079">
        <f>结果表!D120</f>
        <v>0</v>
      </c>
      <c r="E6" s="3079"/>
      <c r="F6" s="3079"/>
      <c r="G6" s="3079"/>
      <c r="H6" s="3079"/>
      <c r="I6" s="3079"/>
    </row>
    <row r="7" spans="1:9" ht="15">
      <c r="A7" s="3077" t="s">
        <v>1642</v>
      </c>
      <c r="B7" s="3077"/>
      <c r="C7" s="3077"/>
      <c r="D7" s="3080" t="str">
        <f>结果表!D121</f>
        <v>零元整</v>
      </c>
      <c r="E7" s="3081"/>
      <c r="F7" s="3081"/>
      <c r="G7" s="3081"/>
      <c r="H7" s="3081"/>
      <c r="I7" s="3082"/>
    </row>
    <row r="8" spans="1:9" ht="15.75">
      <c r="A8" s="3079" t="str">
        <f>结果表!A122</f>
        <v/>
      </c>
      <c r="B8" s="3079"/>
      <c r="C8" s="3079"/>
      <c r="D8" s="3079">
        <f ca="1">结果表!D122</f>
        <v>26907</v>
      </c>
      <c r="E8" s="3079"/>
      <c r="F8" s="3079"/>
      <c r="G8" s="3079"/>
      <c r="H8" s="3079"/>
      <c r="I8" s="3079"/>
    </row>
    <row r="9" spans="1:9" ht="15">
      <c r="A9" s="3077" t="s">
        <v>1642</v>
      </c>
      <c r="B9" s="3077"/>
      <c r="C9" s="3077"/>
      <c r="D9" s="3078" t="str">
        <f ca="1">结果表!D123</f>
        <v>贰亿陆仟玖佰零柒万元整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1642</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1642</v>
      </c>
      <c r="B13" s="3083"/>
      <c r="C13" s="3083"/>
      <c r="D13" s="3084" t="e">
        <f>结果表!D127</f>
        <v>#VALUE!</v>
      </c>
      <c r="E13" s="3084"/>
      <c r="F13" s="3084"/>
      <c r="G13" s="3084"/>
      <c r="H13" s="3084"/>
      <c r="I13" s="3084"/>
    </row>
    <row r="14" spans="1:9" ht="15" thickTop="1">
      <c r="A14" s="3085" t="s">
        <v>1647</v>
      </c>
      <c r="B14" s="3085"/>
      <c r="C14" s="3085"/>
      <c r="D14" s="3085"/>
      <c r="E14" s="3085"/>
      <c r="F14" s="3085"/>
      <c r="G14" s="3085"/>
      <c r="H14" s="3085"/>
      <c r="I14" s="3085"/>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6" t="s">
        <v>1664</v>
      </c>
      <c r="B1" s="3086"/>
      <c r="C1" s="3086"/>
      <c r="D1" s="3086"/>
    </row>
    <row r="2" spans="1:4" ht="18">
      <c r="A2" s="3087" t="s">
        <v>1648</v>
      </c>
      <c r="B2" s="3087"/>
      <c r="C2" s="3087"/>
      <c r="D2" s="3087"/>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吴薇</v>
      </c>
      <c r="B5" s="1983">
        <f ca="1">项目基本情况!E4</f>
        <v>1419970001</v>
      </c>
      <c r="C5" s="1986"/>
      <c r="D5" s="1985" t="s">
        <v>1653</v>
      </c>
    </row>
    <row r="6" spans="1:4" ht="18">
      <c r="A6" s="3087" t="s">
        <v>1654</v>
      </c>
      <c r="B6" s="3087"/>
      <c r="C6" s="3087"/>
      <c r="D6" s="3087"/>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8" t="s">
        <v>1657</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0"/>
      <c r="C12" s="3090"/>
      <c r="D12" s="3090"/>
    </row>
    <row r="13" spans="1:4" ht="30" customHeight="1">
      <c r="A13" s="3089" t="str">
        <f>IF(项目基本情况!B8="抵押","3.抵押双方在办理抵押登记手续时，应使用本公司出具的正式《房地产评估报告》，特提醒报告使用者注意。","——")</f>
        <v>——</v>
      </c>
      <c r="B13" s="3090"/>
      <c r="C13" s="3090"/>
      <c r="D13" s="3090"/>
    </row>
    <row r="14" spans="1:4" ht="15.75" customHeight="1">
      <c r="A14" s="3089" t="str">
        <f>IF(项目基本情况!B8="抵押","4.本次评估估价师所知悉的法定优先受偿款情况说明如下：","——")</f>
        <v>——</v>
      </c>
      <c r="B14" s="3090"/>
      <c r="C14" s="3090"/>
      <c r="D14" s="3090"/>
    </row>
    <row r="15" spans="1:4" ht="42" customHeight="1">
      <c r="A15" s="3089" t="str">
        <f>IF(项目基本情况!B8="抵押","（1）"&amp;CONCATENATE(项目基本情况!L20,项目基本情况!L21,项目基本情况!L22),"——")</f>
        <v>——</v>
      </c>
      <c r="B15" s="3089"/>
      <c r="C15" s="3089"/>
      <c r="D15" s="3089"/>
    </row>
    <row r="16" spans="1:4" ht="30" customHeight="1">
      <c r="A16" s="3092" t="s">
        <v>1658</v>
      </c>
      <c r="B16" s="3092"/>
      <c r="C16" s="3092"/>
      <c r="D16" s="3092"/>
    </row>
    <row r="17" spans="1:4" ht="144" customHeight="1">
      <c r="A17" s="3092" t="s">
        <v>1659</v>
      </c>
      <c r="B17" s="3092"/>
      <c r="C17" s="3092"/>
      <c r="D17" s="3092"/>
    </row>
    <row r="18" spans="1:4" ht="15.75" customHeight="1">
      <c r="A18" s="3089" t="str">
        <f>IF(项目基本情况!B8="抵押",结果表!K120,"——")</f>
        <v>——</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1660</v>
      </c>
      <c r="B22" s="3094"/>
      <c r="C22" s="3094"/>
      <c r="D22" s="3094"/>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100" t="s">
        <v>1671</v>
      </c>
      <c r="B15" s="3095" t="s">
        <v>136</v>
      </c>
      <c r="C15" s="3096"/>
    </row>
    <row r="16" spans="1:7" ht="13.5">
      <c r="A16" s="3101"/>
      <c r="B16" s="3095" t="s">
        <v>69</v>
      </c>
      <c r="C16" s="3096"/>
    </row>
    <row r="17" spans="1:3" ht="13.5">
      <c r="A17" s="3101"/>
      <c r="B17" s="3098" t="s">
        <v>1672</v>
      </c>
      <c r="C17" s="2004" t="s">
        <v>1671</v>
      </c>
    </row>
    <row r="18" spans="1:3" ht="13.5">
      <c r="A18" s="3101"/>
      <c r="B18" s="3098"/>
      <c r="C18" s="2004" t="s">
        <v>1673</v>
      </c>
    </row>
    <row r="19" spans="1:3" ht="13.5">
      <c r="A19" s="3101"/>
      <c r="B19" s="3098"/>
      <c r="C19" s="2004" t="s">
        <v>1674</v>
      </c>
    </row>
    <row r="20" spans="1:3" ht="13.5">
      <c r="A20" s="3102"/>
      <c r="B20" s="3097" t="s">
        <v>1675</v>
      </c>
      <c r="C20" s="3096"/>
    </row>
    <row r="21" spans="1:3" ht="13.5">
      <c r="A21" s="2005" t="s">
        <v>1676</v>
      </c>
      <c r="B21" s="2006"/>
      <c r="C21" s="2007"/>
    </row>
    <row r="22" spans="1:3" ht="13.5">
      <c r="A22" s="3099" t="s">
        <v>1677</v>
      </c>
      <c r="B22" s="3097" t="s">
        <v>1678</v>
      </c>
      <c r="C22" s="3096"/>
    </row>
    <row r="23" spans="1:3" ht="13.5">
      <c r="A23" s="3099"/>
      <c r="B23" s="3097" t="s">
        <v>1679</v>
      </c>
      <c r="C23" s="3096"/>
    </row>
    <row r="24" spans="1:3" ht="13.5">
      <c r="A24" s="3099"/>
      <c r="B24" s="3097" t="s">
        <v>1680</v>
      </c>
      <c r="C24" s="3096"/>
    </row>
    <row r="25" spans="1:3" ht="13.5">
      <c r="A25" s="3099"/>
      <c r="B25" s="3098" t="s">
        <v>1681</v>
      </c>
      <c r="C25" s="2004" t="s">
        <v>1682</v>
      </c>
    </row>
    <row r="26" spans="1:3" ht="13.5">
      <c r="A26" s="3099"/>
      <c r="B26" s="3098"/>
      <c r="C26" s="2004" t="s">
        <v>1683</v>
      </c>
    </row>
    <row r="27" spans="1:3" ht="13.5">
      <c r="A27" s="3099"/>
      <c r="B27" s="3098"/>
      <c r="C27" s="2004" t="s">
        <v>1684</v>
      </c>
    </row>
    <row r="28" spans="1:3" ht="13.5">
      <c r="A28" s="3099"/>
      <c r="B28" s="3098"/>
      <c r="C28" s="2004" t="s">
        <v>1685</v>
      </c>
    </row>
    <row r="29" spans="1:3" ht="13.5">
      <c r="A29" s="3099"/>
      <c r="B29" s="3098"/>
      <c r="C29" s="2004" t="s">
        <v>1686</v>
      </c>
    </row>
    <row r="30" spans="1:3" ht="13.5">
      <c r="A30" s="3099"/>
      <c r="B30" s="3098"/>
      <c r="C30" s="2004" t="s">
        <v>1687</v>
      </c>
    </row>
    <row r="31" spans="1:3" ht="13.5">
      <c r="A31" s="3099"/>
      <c r="B31" s="3098"/>
      <c r="C31" s="2004" t="s">
        <v>1688</v>
      </c>
    </row>
    <row r="32" spans="1:3" ht="13.5">
      <c r="A32" s="3099"/>
      <c r="B32" s="3098"/>
      <c r="C32" s="2004" t="s">
        <v>1689</v>
      </c>
    </row>
    <row r="33" spans="1:3" ht="13.5">
      <c r="A33" s="3099"/>
      <c r="B33" s="3098"/>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03" t="s">
        <v>846</v>
      </c>
      <c r="B25" s="3103"/>
      <c r="C25" s="3103"/>
      <c r="D25" s="3103"/>
      <c r="E25" s="3103"/>
      <c r="F25" s="3103"/>
      <c r="G25" s="3103"/>
    </row>
    <row r="26" spans="1:7" s="1028" customFormat="1" ht="24" customHeight="1">
      <c r="A26" s="3104" t="s">
        <v>847</v>
      </c>
      <c r="B26" s="3104"/>
      <c r="C26" s="3105"/>
      <c r="D26" s="3106" t="s">
        <v>848</v>
      </c>
      <c r="E26" s="3104"/>
      <c r="F26" s="310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比较法-办公 (租金)</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全部</vt:lpstr>
      <vt:lpstr>租约</vt:lpstr>
      <vt:lpstr>清单及结果</vt:lpstr>
      <vt:lpstr>成本法（废）</vt:lpstr>
      <vt:lpstr>区片价</vt:lpstr>
      <vt:lpstr>因素修正幅度</vt:lpstr>
      <vt:lpstr>存贷款利率</vt:lpstr>
      <vt:lpstr>区片价（范围）</vt:lpstr>
      <vt:lpstr>'比较法-办公'!Print_Area</vt:lpstr>
      <vt:lpstr>'比较法-办公 (租金)'!Print_Area</vt:lpstr>
      <vt:lpstr>典型户型修正!Print_Area</vt:lpstr>
      <vt:lpstr>估价对象房地状况!Print_Area</vt:lpstr>
      <vt:lpstr>估价师及机构信息!Print_Area</vt:lpstr>
      <vt:lpstr>结果表!Print_Area</vt:lpstr>
      <vt:lpstr>全部!Print_Area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2017-11-10T05:45:10Z</cp:lastPrinted>
  <dcterms:created xsi:type="dcterms:W3CDTF">2015-07-13T07:17:23Z</dcterms:created>
  <dcterms:modified xsi:type="dcterms:W3CDTF">2017-11-17T02:46:29Z</dcterms:modified>
</cp:coreProperties>
</file>